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85" windowWidth="14940" windowHeight="7875" tabRatio="703"/>
  </bookViews>
  <sheets>
    <sheet name="przedsiewziecia UE" sheetId="7" r:id="rId1"/>
    <sheet name="Arkusz1" sheetId="11" r:id="rId2"/>
    <sheet name="Arkusz2" sheetId="12" r:id="rId3"/>
    <sheet name="Arkusz3" sheetId="13" r:id="rId4"/>
    <sheet name="Arkusz4" sheetId="14" r:id="rId5"/>
    <sheet name="Arkusz5" sheetId="15" r:id="rId6"/>
    <sheet name="Arkusz6" sheetId="16" r:id="rId7"/>
    <sheet name="Arkusz3 (2)" sheetId="17" r:id="rId8"/>
    <sheet name="Arkusz4 (2)" sheetId="18" r:id="rId9"/>
    <sheet name="Arkusz7" sheetId="19" r:id="rId10"/>
    <sheet name="Arkusz8" sheetId="20" r:id="rId11"/>
    <sheet name="Arkusz9" sheetId="21" r:id="rId12"/>
    <sheet name="Arkusz10" sheetId="22" r:id="rId13"/>
  </sheets>
  <externalReferences>
    <externalReference r:id="rId14"/>
    <externalReference r:id="rId15"/>
    <externalReference r:id="rId16"/>
  </externalReferences>
  <definedNames>
    <definedName name="_xlnm.Print_Area" localSheetId="0">'przedsiewziecia UE'!$A$1:$O$885</definedName>
    <definedName name="_xlnm.Print_Titles" localSheetId="0">'przedsiewziecia UE'!$7:$9</definedName>
  </definedNames>
  <calcPr calcId="145621"/>
</workbook>
</file>

<file path=xl/calcChain.xml><?xml version="1.0" encoding="utf-8"?>
<calcChain xmlns="http://schemas.openxmlformats.org/spreadsheetml/2006/main">
  <c r="M770" i="7" l="1"/>
  <c r="M767" i="7"/>
  <c r="M167" i="7" l="1"/>
  <c r="M176" i="7"/>
  <c r="B19" i="22" l="1"/>
  <c r="B12" i="22"/>
  <c r="B2" i="22"/>
  <c r="B2" i="21"/>
  <c r="B3" i="21"/>
  <c r="B4" i="21"/>
  <c r="B5" i="21"/>
  <c r="B6" i="21" s="1"/>
  <c r="B2" i="20"/>
  <c r="B12" i="20"/>
  <c r="B10" i="20"/>
  <c r="B13" i="20" s="1"/>
  <c r="B11" i="20"/>
  <c r="B3" i="20"/>
  <c r="B6" i="20" s="1"/>
  <c r="B5" i="20"/>
  <c r="B4" i="20"/>
  <c r="B5" i="19"/>
  <c r="B4" i="19"/>
  <c r="B8" i="19"/>
  <c r="B6" i="19"/>
  <c r="B9" i="19"/>
  <c r="I17" i="18"/>
  <c r="H17" i="18"/>
  <c r="F8" i="17"/>
  <c r="F6" i="17"/>
  <c r="F7" i="17"/>
  <c r="H17" i="14"/>
  <c r="I17" i="14"/>
  <c r="F8" i="13"/>
  <c r="F9" i="13"/>
  <c r="F10" i="13"/>
  <c r="D13" i="12"/>
  <c r="D13" i="18" s="1"/>
  <c r="I14" i="12"/>
  <c r="I14" i="18" s="1"/>
  <c r="H14" i="12"/>
  <c r="H14" i="18" s="1"/>
  <c r="G14" i="12"/>
  <c r="G14" i="18" s="1"/>
  <c r="F14" i="12"/>
  <c r="F14" i="18" s="1"/>
  <c r="E14" i="12"/>
  <c r="E14" i="18" s="1"/>
  <c r="D14" i="12"/>
  <c r="D14" i="18" s="1"/>
  <c r="I13" i="12"/>
  <c r="I13" i="18" s="1"/>
  <c r="H13" i="12"/>
  <c r="H13" i="18" s="1"/>
  <c r="G13" i="12"/>
  <c r="G13" i="18" s="1"/>
  <c r="F13" i="12"/>
  <c r="F13" i="18" s="1"/>
  <c r="E13" i="12"/>
  <c r="E13" i="18" s="1"/>
  <c r="G17" i="12"/>
  <c r="G17" i="18" s="1"/>
  <c r="F17" i="12"/>
  <c r="F17" i="18" s="1"/>
  <c r="E17" i="12"/>
  <c r="E17" i="18" s="1"/>
  <c r="D17" i="12"/>
  <c r="D17" i="18" s="1"/>
  <c r="I16" i="12"/>
  <c r="I16" i="14" s="1"/>
  <c r="H16" i="12"/>
  <c r="H15" i="18" s="1"/>
  <c r="G16" i="12"/>
  <c r="G16" i="14" s="1"/>
  <c r="F16" i="12"/>
  <c r="F15" i="18" s="1"/>
  <c r="E16" i="12"/>
  <c r="E16" i="14" s="1"/>
  <c r="D16" i="12"/>
  <c r="D15" i="18" s="1"/>
  <c r="F16" i="11"/>
  <c r="E16" i="11"/>
  <c r="D16" i="11"/>
  <c r="C16" i="11"/>
  <c r="D9" i="11"/>
  <c r="E7" i="11"/>
  <c r="D7" i="11"/>
  <c r="C7" i="11"/>
  <c r="C9" i="11"/>
  <c r="F7" i="12"/>
  <c r="D7" i="12"/>
  <c r="D8" i="13" s="1"/>
  <c r="E7" i="12"/>
  <c r="E8" i="13" s="1"/>
  <c r="D9" i="12"/>
  <c r="D10" i="13" s="1"/>
  <c r="E9" i="12"/>
  <c r="E10" i="13" s="1"/>
  <c r="F8" i="12"/>
  <c r="E8" i="12"/>
  <c r="E9" i="13" s="1"/>
  <c r="D8" i="12"/>
  <c r="D9" i="13" s="1"/>
  <c r="I6" i="12"/>
  <c r="H6" i="12"/>
  <c r="G6" i="12"/>
  <c r="F7" i="13" s="1"/>
  <c r="F6" i="12"/>
  <c r="E6" i="12"/>
  <c r="E7" i="13" s="1"/>
  <c r="D6" i="12"/>
  <c r="D7" i="13" s="1"/>
  <c r="I5" i="12"/>
  <c r="H5" i="12"/>
  <c r="G5" i="12"/>
  <c r="F6" i="13" s="1"/>
  <c r="F5" i="12"/>
  <c r="E5" i="12"/>
  <c r="E6" i="13" s="1"/>
  <c r="D5" i="12"/>
  <c r="D6" i="13" s="1"/>
  <c r="F27" i="12"/>
  <c r="G27" i="12"/>
  <c r="H27" i="12"/>
  <c r="I27" i="12"/>
  <c r="H13" i="11"/>
  <c r="G13" i="11"/>
  <c r="F13" i="11"/>
  <c r="E13" i="11"/>
  <c r="D13" i="11"/>
  <c r="C13" i="11"/>
  <c r="H12" i="11"/>
  <c r="G12" i="11"/>
  <c r="F12" i="11"/>
  <c r="E12" i="11"/>
  <c r="D12" i="11"/>
  <c r="C12" i="11"/>
  <c r="E5" i="11"/>
  <c r="E8" i="11"/>
  <c r="D8" i="11"/>
  <c r="C8" i="11"/>
  <c r="H6" i="11"/>
  <c r="G6" i="11"/>
  <c r="F6" i="11"/>
  <c r="E6" i="11"/>
  <c r="D6" i="11"/>
  <c r="C6" i="11"/>
  <c r="H332" i="7"/>
  <c r="I332" i="7" s="1"/>
  <c r="M274" i="7"/>
  <c r="M273" i="7"/>
  <c r="M272" i="7"/>
  <c r="M271" i="7"/>
  <c r="M270" i="7"/>
  <c r="M269" i="7"/>
  <c r="L274" i="7"/>
  <c r="L273" i="7"/>
  <c r="L272" i="7"/>
  <c r="L271" i="7"/>
  <c r="L270" i="7"/>
  <c r="L269" i="7"/>
  <c r="J274" i="7"/>
  <c r="J273" i="7"/>
  <c r="J272" i="7"/>
  <c r="J271" i="7"/>
  <c r="J270" i="7"/>
  <c r="J269" i="7"/>
  <c r="G270" i="7"/>
  <c r="G271" i="7"/>
  <c r="G273" i="7"/>
  <c r="G274" i="7"/>
  <c r="G269" i="7"/>
  <c r="N488" i="7"/>
  <c r="K488" i="7"/>
  <c r="I488" i="7"/>
  <c r="H488" i="7"/>
  <c r="N487" i="7"/>
  <c r="K487" i="7"/>
  <c r="I487" i="7"/>
  <c r="H487" i="7"/>
  <c r="N486" i="7"/>
  <c r="K486" i="7"/>
  <c r="I486" i="7"/>
  <c r="H486" i="7"/>
  <c r="N485" i="7"/>
  <c r="K485" i="7"/>
  <c r="I485" i="7"/>
  <c r="H485" i="7"/>
  <c r="N484" i="7"/>
  <c r="K484" i="7"/>
  <c r="H484" i="7"/>
  <c r="I484" i="7" s="1"/>
  <c r="N483" i="7"/>
  <c r="K483" i="7"/>
  <c r="I483" i="7"/>
  <c r="H483" i="7"/>
  <c r="M482" i="7"/>
  <c r="L482" i="7"/>
  <c r="J482" i="7"/>
  <c r="G482" i="7"/>
  <c r="N479" i="7"/>
  <c r="K479" i="7"/>
  <c r="I479" i="7"/>
  <c r="H479" i="7"/>
  <c r="N478" i="7"/>
  <c r="K478" i="7"/>
  <c r="I478" i="7"/>
  <c r="H478" i="7"/>
  <c r="N477" i="7"/>
  <c r="K477" i="7"/>
  <c r="I477" i="7"/>
  <c r="H477" i="7"/>
  <c r="N476" i="7"/>
  <c r="K476" i="7"/>
  <c r="I476" i="7"/>
  <c r="H476" i="7"/>
  <c r="N475" i="7"/>
  <c r="K475" i="7"/>
  <c r="H475" i="7"/>
  <c r="I475" i="7" s="1"/>
  <c r="N474" i="7"/>
  <c r="K474" i="7"/>
  <c r="I474" i="7"/>
  <c r="H474" i="7"/>
  <c r="M473" i="7"/>
  <c r="L473" i="7"/>
  <c r="J473" i="7"/>
  <c r="G473" i="7"/>
  <c r="H456" i="7"/>
  <c r="I456" i="7" s="1"/>
  <c r="N460" i="7"/>
  <c r="K460" i="7"/>
  <c r="I460" i="7"/>
  <c r="H460" i="7"/>
  <c r="N459" i="7"/>
  <c r="K459" i="7"/>
  <c r="I459" i="7"/>
  <c r="H459" i="7"/>
  <c r="N458" i="7"/>
  <c r="K458" i="7"/>
  <c r="I458" i="7"/>
  <c r="H458" i="7"/>
  <c r="N457" i="7"/>
  <c r="K457" i="7"/>
  <c r="I457" i="7"/>
  <c r="H457" i="7"/>
  <c r="N456" i="7"/>
  <c r="K456" i="7"/>
  <c r="N455" i="7"/>
  <c r="K455" i="7"/>
  <c r="I455" i="7"/>
  <c r="H455" i="7"/>
  <c r="M454" i="7"/>
  <c r="L454" i="7"/>
  <c r="J454" i="7"/>
  <c r="G454" i="7"/>
  <c r="H429" i="7"/>
  <c r="I429" i="7" s="1"/>
  <c r="N433" i="7"/>
  <c r="K433" i="7"/>
  <c r="I433" i="7"/>
  <c r="H433" i="7"/>
  <c r="N432" i="7"/>
  <c r="K432" i="7"/>
  <c r="I432" i="7"/>
  <c r="H432" i="7"/>
  <c r="N431" i="7"/>
  <c r="K431" i="7"/>
  <c r="I431" i="7"/>
  <c r="H431" i="7"/>
  <c r="N430" i="7"/>
  <c r="K430" i="7"/>
  <c r="I430" i="7"/>
  <c r="H430" i="7"/>
  <c r="N429" i="7"/>
  <c r="K429" i="7"/>
  <c r="N428" i="7"/>
  <c r="K428" i="7"/>
  <c r="I428" i="7"/>
  <c r="H428" i="7"/>
  <c r="M427" i="7"/>
  <c r="L427" i="7"/>
  <c r="J427" i="7"/>
  <c r="G427" i="7"/>
  <c r="N415" i="7"/>
  <c r="K415" i="7"/>
  <c r="I415" i="7"/>
  <c r="H415" i="7"/>
  <c r="N414" i="7"/>
  <c r="K414" i="7"/>
  <c r="I414" i="7"/>
  <c r="H414" i="7"/>
  <c r="N413" i="7"/>
  <c r="K413" i="7"/>
  <c r="I413" i="7"/>
  <c r="H413" i="7"/>
  <c r="N412" i="7"/>
  <c r="K412" i="7"/>
  <c r="I412" i="7"/>
  <c r="H412" i="7"/>
  <c r="N411" i="7"/>
  <c r="K411" i="7"/>
  <c r="H411" i="7"/>
  <c r="I411" i="7" s="1"/>
  <c r="N410" i="7"/>
  <c r="K410" i="7"/>
  <c r="I410" i="7"/>
  <c r="H410" i="7"/>
  <c r="M409" i="7"/>
  <c r="L409" i="7"/>
  <c r="J409" i="7"/>
  <c r="G409" i="7"/>
  <c r="H330" i="7"/>
  <c r="I330" i="7" s="1"/>
  <c r="N334" i="7"/>
  <c r="K334" i="7"/>
  <c r="I334" i="7"/>
  <c r="H334" i="7"/>
  <c r="N333" i="7"/>
  <c r="K333" i="7"/>
  <c r="I333" i="7"/>
  <c r="H333" i="7"/>
  <c r="N332" i="7"/>
  <c r="K332" i="7"/>
  <c r="N331" i="7"/>
  <c r="K331" i="7"/>
  <c r="I331" i="7"/>
  <c r="H331" i="7"/>
  <c r="N330" i="7"/>
  <c r="K330" i="7"/>
  <c r="N329" i="7"/>
  <c r="K329" i="7"/>
  <c r="I329" i="7"/>
  <c r="H329" i="7"/>
  <c r="M328" i="7"/>
  <c r="L328" i="7"/>
  <c r="J328" i="7"/>
  <c r="G328" i="7"/>
  <c r="G305" i="7"/>
  <c r="G272" i="7" s="1"/>
  <c r="M191" i="7"/>
  <c r="M190" i="7"/>
  <c r="M189" i="7"/>
  <c r="M188" i="7"/>
  <c r="M187" i="7"/>
  <c r="M186" i="7"/>
  <c r="L191" i="7"/>
  <c r="L190" i="7"/>
  <c r="L189" i="7"/>
  <c r="L188" i="7"/>
  <c r="L187" i="7"/>
  <c r="L186" i="7"/>
  <c r="J191" i="7"/>
  <c r="J190" i="7"/>
  <c r="J189" i="7"/>
  <c r="J188" i="7"/>
  <c r="J187" i="7"/>
  <c r="J186" i="7"/>
  <c r="G187" i="7"/>
  <c r="G188" i="7"/>
  <c r="G189" i="7"/>
  <c r="G190" i="7"/>
  <c r="G191" i="7"/>
  <c r="G186" i="7"/>
  <c r="K254" i="7"/>
  <c r="K252" i="7"/>
  <c r="N265" i="7"/>
  <c r="K265" i="7"/>
  <c r="I265" i="7"/>
  <c r="H265" i="7"/>
  <c r="N264" i="7"/>
  <c r="K264" i="7"/>
  <c r="I264" i="7"/>
  <c r="H264" i="7"/>
  <c r="N263" i="7"/>
  <c r="K263" i="7"/>
  <c r="H263" i="7"/>
  <c r="I263" i="7" s="1"/>
  <c r="N262" i="7"/>
  <c r="K262" i="7"/>
  <c r="I262" i="7"/>
  <c r="H262" i="7"/>
  <c r="N261" i="7"/>
  <c r="K261" i="7"/>
  <c r="H261" i="7"/>
  <c r="I261" i="7" s="1"/>
  <c r="N260" i="7"/>
  <c r="K260" i="7"/>
  <c r="I260" i="7"/>
  <c r="H260" i="7"/>
  <c r="M259" i="7"/>
  <c r="L259" i="7"/>
  <c r="J259" i="7"/>
  <c r="G259" i="7"/>
  <c r="N256" i="7"/>
  <c r="K256" i="7"/>
  <c r="I256" i="7"/>
  <c r="H256" i="7"/>
  <c r="N255" i="7"/>
  <c r="K255" i="7"/>
  <c r="I255" i="7"/>
  <c r="H255" i="7"/>
  <c r="N254" i="7"/>
  <c r="H254" i="7"/>
  <c r="I254" i="7" s="1"/>
  <c r="N253" i="7"/>
  <c r="K253" i="7"/>
  <c r="I253" i="7"/>
  <c r="H253" i="7"/>
  <c r="N252" i="7"/>
  <c r="H252" i="7"/>
  <c r="I252" i="7" s="1"/>
  <c r="N251" i="7"/>
  <c r="K251" i="7"/>
  <c r="I251" i="7"/>
  <c r="H251" i="7"/>
  <c r="M250" i="7"/>
  <c r="L250" i="7"/>
  <c r="J250" i="7"/>
  <c r="G250" i="7"/>
  <c r="N247" i="7"/>
  <c r="K247" i="7"/>
  <c r="I247" i="7"/>
  <c r="H247" i="7"/>
  <c r="N246" i="7"/>
  <c r="K246" i="7"/>
  <c r="I246" i="7"/>
  <c r="H246" i="7"/>
  <c r="N245" i="7"/>
  <c r="K245" i="7"/>
  <c r="H245" i="7"/>
  <c r="I245" i="7" s="1"/>
  <c r="N244" i="7"/>
  <c r="K244" i="7"/>
  <c r="I244" i="7"/>
  <c r="H244" i="7"/>
  <c r="N243" i="7"/>
  <c r="K243" i="7"/>
  <c r="H243" i="7"/>
  <c r="I243" i="7" s="1"/>
  <c r="N242" i="7"/>
  <c r="K242" i="7"/>
  <c r="I242" i="7"/>
  <c r="H242" i="7"/>
  <c r="M241" i="7"/>
  <c r="L241" i="7"/>
  <c r="J241" i="7"/>
  <c r="G241" i="7"/>
  <c r="N209" i="7"/>
  <c r="K209" i="7"/>
  <c r="I209" i="7"/>
  <c r="H209" i="7"/>
  <c r="N208" i="7"/>
  <c r="K208" i="7"/>
  <c r="I208" i="7"/>
  <c r="H208" i="7"/>
  <c r="N207" i="7"/>
  <c r="K207" i="7"/>
  <c r="H207" i="7"/>
  <c r="I207" i="7" s="1"/>
  <c r="N206" i="7"/>
  <c r="K206" i="7"/>
  <c r="I206" i="7"/>
  <c r="H206" i="7"/>
  <c r="N205" i="7"/>
  <c r="K205" i="7"/>
  <c r="H205" i="7"/>
  <c r="I205" i="7" s="1"/>
  <c r="N204" i="7"/>
  <c r="K204" i="7"/>
  <c r="I204" i="7"/>
  <c r="H204" i="7"/>
  <c r="M203" i="7"/>
  <c r="L203" i="7"/>
  <c r="J203" i="7"/>
  <c r="G203" i="7"/>
  <c r="N180" i="7"/>
  <c r="K180" i="7"/>
  <c r="I180" i="7"/>
  <c r="H180" i="7"/>
  <c r="N179" i="7"/>
  <c r="K179" i="7"/>
  <c r="I179" i="7"/>
  <c r="H179" i="7"/>
  <c r="N178" i="7"/>
  <c r="K178" i="7"/>
  <c r="H178" i="7"/>
  <c r="I178" i="7" s="1"/>
  <c r="N177" i="7"/>
  <c r="K177" i="7"/>
  <c r="I177" i="7"/>
  <c r="H177" i="7"/>
  <c r="N176" i="7"/>
  <c r="K176" i="7"/>
  <c r="H176" i="7"/>
  <c r="I176" i="7" s="1"/>
  <c r="N175" i="7"/>
  <c r="K175" i="7"/>
  <c r="I175" i="7"/>
  <c r="H175" i="7"/>
  <c r="M174" i="7"/>
  <c r="L174" i="7"/>
  <c r="J174" i="7"/>
  <c r="G174" i="7"/>
  <c r="M132" i="7"/>
  <c r="G3" i="12" s="1"/>
  <c r="F4" i="13" s="1"/>
  <c r="M105" i="7"/>
  <c r="D4" i="12" s="1"/>
  <c r="D5" i="13" s="1"/>
  <c r="H825" i="7"/>
  <c r="H822" i="7"/>
  <c r="H821" i="7"/>
  <c r="H820" i="7"/>
  <c r="H814" i="7"/>
  <c r="H811" i="7"/>
  <c r="H810" i="7"/>
  <c r="H809" i="7"/>
  <c r="H798" i="7"/>
  <c r="H791" i="7"/>
  <c r="H788" i="7"/>
  <c r="H787" i="7"/>
  <c r="H786" i="7"/>
  <c r="H781" i="7"/>
  <c r="H778" i="7"/>
  <c r="H777" i="7"/>
  <c r="H776" i="7"/>
  <c r="H770" i="7"/>
  <c r="H767" i="7"/>
  <c r="H766" i="7"/>
  <c r="H765" i="7"/>
  <c r="H760" i="7"/>
  <c r="H758" i="7"/>
  <c r="H757" i="7"/>
  <c r="H756" i="7"/>
  <c r="H755" i="7"/>
  <c r="H750" i="7"/>
  <c r="H747" i="7"/>
  <c r="H746" i="7"/>
  <c r="H745" i="7"/>
  <c r="H741" i="7"/>
  <c r="H738" i="7"/>
  <c r="H737" i="7"/>
  <c r="H736" i="7"/>
  <c r="H731" i="7"/>
  <c r="H728" i="7"/>
  <c r="H727" i="7"/>
  <c r="H726" i="7"/>
  <c r="H721" i="7"/>
  <c r="H718" i="7"/>
  <c r="H717" i="7"/>
  <c r="H716" i="7"/>
  <c r="H706" i="7"/>
  <c r="H671" i="7"/>
  <c r="H669" i="7"/>
  <c r="H824" i="7"/>
  <c r="H823" i="7"/>
  <c r="H813" i="7"/>
  <c r="H812" i="7"/>
  <c r="H803" i="7"/>
  <c r="H802" i="7"/>
  <c r="H801" i="7"/>
  <c r="H800" i="7"/>
  <c r="H799" i="7"/>
  <c r="H790" i="7"/>
  <c r="H789" i="7"/>
  <c r="H780" i="7"/>
  <c r="H779" i="7"/>
  <c r="H768" i="7"/>
  <c r="H769" i="7"/>
  <c r="H759" i="7"/>
  <c r="H749" i="7"/>
  <c r="H748" i="7"/>
  <c r="H740" i="7"/>
  <c r="H739" i="7"/>
  <c r="H730" i="7"/>
  <c r="H729" i="7"/>
  <c r="H720" i="7"/>
  <c r="H719" i="7"/>
  <c r="H711" i="7"/>
  <c r="H710" i="7"/>
  <c r="H709" i="7"/>
  <c r="H708" i="7"/>
  <c r="H707" i="7"/>
  <c r="H701" i="7"/>
  <c r="H700" i="7"/>
  <c r="H699" i="7"/>
  <c r="H698" i="7"/>
  <c r="H697" i="7"/>
  <c r="H696" i="7"/>
  <c r="H692" i="7"/>
  <c r="H691" i="7"/>
  <c r="H690" i="7"/>
  <c r="H689" i="7"/>
  <c r="H688" i="7"/>
  <c r="H687" i="7"/>
  <c r="H683" i="7"/>
  <c r="H682" i="7"/>
  <c r="H681" i="7"/>
  <c r="H680" i="7"/>
  <c r="H679" i="7"/>
  <c r="H678" i="7"/>
  <c r="H674" i="7"/>
  <c r="H673" i="7"/>
  <c r="H672" i="7"/>
  <c r="H670" i="7"/>
  <c r="H862" i="7"/>
  <c r="H860" i="7"/>
  <c r="H859" i="7"/>
  <c r="H884" i="7"/>
  <c r="H883" i="7"/>
  <c r="H882" i="7"/>
  <c r="H881" i="7"/>
  <c r="H880" i="7"/>
  <c r="H879" i="7"/>
  <c r="H864" i="7"/>
  <c r="H863" i="7"/>
  <c r="H861" i="7"/>
  <c r="H846" i="7"/>
  <c r="H845" i="7"/>
  <c r="H843" i="7"/>
  <c r="H841" i="7"/>
  <c r="H844" i="7"/>
  <c r="H842" i="7"/>
  <c r="E27" i="12" l="1"/>
  <c r="B15" i="20"/>
  <c r="D27" i="12"/>
  <c r="C27" i="12" s="1"/>
  <c r="G37" i="12" s="1"/>
  <c r="C14" i="18"/>
  <c r="C13" i="18"/>
  <c r="I13" i="14"/>
  <c r="G13" i="14"/>
  <c r="E13" i="14"/>
  <c r="H16" i="14"/>
  <c r="F16" i="14"/>
  <c r="D16" i="14"/>
  <c r="H14" i="14"/>
  <c r="F14" i="14"/>
  <c r="D14" i="14"/>
  <c r="E9" i="17"/>
  <c r="E10" i="17"/>
  <c r="E15" i="18"/>
  <c r="G15" i="18"/>
  <c r="I15" i="18"/>
  <c r="D13" i="14"/>
  <c r="H13" i="14"/>
  <c r="F13" i="14"/>
  <c r="I14" i="14"/>
  <c r="G14" i="14"/>
  <c r="E14" i="14"/>
  <c r="F4" i="17"/>
  <c r="D5" i="17"/>
  <c r="D9" i="17"/>
  <c r="F9" i="17"/>
  <c r="D10" i="17"/>
  <c r="F10" i="17"/>
  <c r="D6" i="17"/>
  <c r="E6" i="17"/>
  <c r="C17" i="18"/>
  <c r="G17" i="14"/>
  <c r="E17" i="14"/>
  <c r="E7" i="17"/>
  <c r="E8" i="17"/>
  <c r="F17" i="14"/>
  <c r="D17" i="14"/>
  <c r="D7" i="17"/>
  <c r="C7" i="17" s="1"/>
  <c r="D8" i="17"/>
  <c r="C8" i="17" s="1"/>
  <c r="K473" i="7"/>
  <c r="H250" i="7"/>
  <c r="I250" i="7" s="1"/>
  <c r="H409" i="7"/>
  <c r="H482" i="7"/>
  <c r="I482" i="7" s="1"/>
  <c r="K482" i="7"/>
  <c r="C8" i="12"/>
  <c r="B8" i="11"/>
  <c r="K203" i="7"/>
  <c r="H473" i="7"/>
  <c r="I473" i="7" s="1"/>
  <c r="H174" i="7"/>
  <c r="I174" i="7" s="1"/>
  <c r="K250" i="7"/>
  <c r="K259" i="7"/>
  <c r="N427" i="7"/>
  <c r="H427" i="7"/>
  <c r="I427" i="7" s="1"/>
  <c r="K427" i="7"/>
  <c r="I409" i="7"/>
  <c r="N203" i="7"/>
  <c r="H203" i="7"/>
  <c r="I203" i="7" s="1"/>
  <c r="N241" i="7"/>
  <c r="H241" i="7"/>
  <c r="I241" i="7" s="1"/>
  <c r="K241" i="7"/>
  <c r="N250" i="7"/>
  <c r="N328" i="7"/>
  <c r="H328" i="7"/>
  <c r="I328" i="7" s="1"/>
  <c r="N454" i="7"/>
  <c r="H454" i="7"/>
  <c r="I454" i="7" s="1"/>
  <c r="K454" i="7"/>
  <c r="N473" i="7"/>
  <c r="N482" i="7"/>
  <c r="K328" i="7"/>
  <c r="N174" i="7"/>
  <c r="K174" i="7"/>
  <c r="N259" i="7"/>
  <c r="H259" i="7"/>
  <c r="I259" i="7" s="1"/>
  <c r="N409" i="7"/>
  <c r="K409" i="7"/>
  <c r="H655" i="7"/>
  <c r="H654" i="7"/>
  <c r="H653" i="7"/>
  <c r="H652" i="7"/>
  <c r="H651" i="7"/>
  <c r="H650" i="7"/>
  <c r="K637" i="7"/>
  <c r="H624" i="7"/>
  <c r="H637" i="7"/>
  <c r="H636" i="7"/>
  <c r="H635" i="7"/>
  <c r="H634" i="7"/>
  <c r="H633" i="7"/>
  <c r="H632" i="7"/>
  <c r="H629" i="7"/>
  <c r="H628" i="7"/>
  <c r="H627" i="7"/>
  <c r="H626" i="7"/>
  <c r="H625" i="7"/>
  <c r="H585" i="7"/>
  <c r="H584" i="7"/>
  <c r="H599" i="7"/>
  <c r="H598" i="7"/>
  <c r="H597" i="7"/>
  <c r="H596" i="7"/>
  <c r="H595" i="7"/>
  <c r="H594" i="7"/>
  <c r="H586" i="7"/>
  <c r="H583" i="7"/>
  <c r="H582" i="7"/>
  <c r="H581" i="7"/>
  <c r="K356" i="7"/>
  <c r="I356" i="7"/>
  <c r="H356" i="7"/>
  <c r="K365" i="7"/>
  <c r="I365" i="7"/>
  <c r="H365" i="7"/>
  <c r="K374" i="7"/>
  <c r="I374" i="7"/>
  <c r="H374" i="7"/>
  <c r="K383" i="7"/>
  <c r="I383" i="7"/>
  <c r="H383" i="7"/>
  <c r="K392" i="7"/>
  <c r="I392" i="7"/>
  <c r="H392" i="7"/>
  <c r="K401" i="7"/>
  <c r="I401" i="7"/>
  <c r="H401" i="7"/>
  <c r="K419" i="7"/>
  <c r="I419" i="7"/>
  <c r="H419" i="7"/>
  <c r="K437" i="7"/>
  <c r="I437" i="7"/>
  <c r="H437" i="7"/>
  <c r="K446" i="7"/>
  <c r="I446" i="7"/>
  <c r="H446" i="7"/>
  <c r="K464" i="7"/>
  <c r="I464" i="7"/>
  <c r="H464" i="7"/>
  <c r="K469" i="7"/>
  <c r="I469" i="7"/>
  <c r="H469" i="7"/>
  <c r="K468" i="7"/>
  <c r="I468" i="7"/>
  <c r="H468" i="7"/>
  <c r="K467" i="7"/>
  <c r="I467" i="7"/>
  <c r="H467" i="7"/>
  <c r="K466" i="7"/>
  <c r="I466" i="7"/>
  <c r="H466" i="7"/>
  <c r="K451" i="7"/>
  <c r="I451" i="7"/>
  <c r="H451" i="7"/>
  <c r="K450" i="7"/>
  <c r="I450" i="7"/>
  <c r="H450" i="7"/>
  <c r="K449" i="7"/>
  <c r="I449" i="7"/>
  <c r="H449" i="7"/>
  <c r="K448" i="7"/>
  <c r="I448" i="7"/>
  <c r="H448" i="7"/>
  <c r="K442" i="7"/>
  <c r="I442" i="7"/>
  <c r="H442" i="7"/>
  <c r="K441" i="7"/>
  <c r="I441" i="7"/>
  <c r="H441" i="7"/>
  <c r="K440" i="7"/>
  <c r="I440" i="7"/>
  <c r="H440" i="7"/>
  <c r="K439" i="7"/>
  <c r="I439" i="7"/>
  <c r="H439" i="7"/>
  <c r="K424" i="7"/>
  <c r="I424" i="7"/>
  <c r="H424" i="7"/>
  <c r="K423" i="7"/>
  <c r="I423" i="7"/>
  <c r="H423" i="7"/>
  <c r="K422" i="7"/>
  <c r="I422" i="7"/>
  <c r="H422" i="7"/>
  <c r="K421" i="7"/>
  <c r="I421" i="7"/>
  <c r="H421" i="7"/>
  <c r="K406" i="7"/>
  <c r="I406" i="7"/>
  <c r="H406" i="7"/>
  <c r="K405" i="7"/>
  <c r="I405" i="7"/>
  <c r="H405" i="7"/>
  <c r="K404" i="7"/>
  <c r="I404" i="7"/>
  <c r="H404" i="7"/>
  <c r="K403" i="7"/>
  <c r="I403" i="7"/>
  <c r="H403" i="7"/>
  <c r="K397" i="7"/>
  <c r="I397" i="7"/>
  <c r="H397" i="7"/>
  <c r="K396" i="7"/>
  <c r="I396" i="7"/>
  <c r="H396" i="7"/>
  <c r="K395" i="7"/>
  <c r="I395" i="7"/>
  <c r="H395" i="7"/>
  <c r="K394" i="7"/>
  <c r="I394" i="7"/>
  <c r="H394" i="7"/>
  <c r="K388" i="7"/>
  <c r="I388" i="7"/>
  <c r="H388" i="7"/>
  <c r="K387" i="7"/>
  <c r="I387" i="7"/>
  <c r="H387" i="7"/>
  <c r="K386" i="7"/>
  <c r="I386" i="7"/>
  <c r="H386" i="7"/>
  <c r="K385" i="7"/>
  <c r="I385" i="7"/>
  <c r="H385" i="7"/>
  <c r="K379" i="7"/>
  <c r="I379" i="7"/>
  <c r="H379" i="7"/>
  <c r="K378" i="7"/>
  <c r="I378" i="7"/>
  <c r="H378" i="7"/>
  <c r="K377" i="7"/>
  <c r="I377" i="7"/>
  <c r="H377" i="7"/>
  <c r="K376" i="7"/>
  <c r="I376" i="7"/>
  <c r="H376" i="7"/>
  <c r="K370" i="7"/>
  <c r="I370" i="7"/>
  <c r="H370" i="7"/>
  <c r="K369" i="7"/>
  <c r="I369" i="7"/>
  <c r="H369" i="7"/>
  <c r="K368" i="7"/>
  <c r="I368" i="7"/>
  <c r="H368" i="7"/>
  <c r="K367" i="7"/>
  <c r="I367" i="7"/>
  <c r="H367" i="7"/>
  <c r="K361" i="7"/>
  <c r="I361" i="7"/>
  <c r="H361" i="7"/>
  <c r="K360" i="7"/>
  <c r="I360" i="7"/>
  <c r="H360" i="7"/>
  <c r="K359" i="7"/>
  <c r="I359" i="7"/>
  <c r="H359" i="7"/>
  <c r="K358" i="7"/>
  <c r="I358" i="7"/>
  <c r="H358" i="7"/>
  <c r="K164" i="7"/>
  <c r="I164" i="7"/>
  <c r="H164" i="7"/>
  <c r="K163" i="7"/>
  <c r="I163" i="7"/>
  <c r="H163" i="7"/>
  <c r="K162" i="7"/>
  <c r="I162" i="7"/>
  <c r="H162" i="7"/>
  <c r="K161" i="7"/>
  <c r="I161" i="7"/>
  <c r="H161" i="7"/>
  <c r="K160" i="7"/>
  <c r="I160" i="7"/>
  <c r="H160" i="7"/>
  <c r="K157" i="7"/>
  <c r="I157" i="7"/>
  <c r="H157" i="7"/>
  <c r="K156" i="7"/>
  <c r="I156" i="7"/>
  <c r="H156" i="7"/>
  <c r="K155" i="7"/>
  <c r="I155" i="7"/>
  <c r="H155" i="7"/>
  <c r="K154" i="7"/>
  <c r="I154" i="7"/>
  <c r="H154" i="7"/>
  <c r="K153" i="7"/>
  <c r="I153" i="7"/>
  <c r="H153" i="7"/>
  <c r="K150" i="7"/>
  <c r="I150" i="7"/>
  <c r="H150" i="7"/>
  <c r="K149" i="7"/>
  <c r="I149" i="7"/>
  <c r="H149" i="7"/>
  <c r="K148" i="7"/>
  <c r="I148" i="7"/>
  <c r="H148" i="7"/>
  <c r="K147" i="7"/>
  <c r="I147" i="7"/>
  <c r="H147" i="7"/>
  <c r="K146" i="7"/>
  <c r="I146" i="7"/>
  <c r="H146" i="7"/>
  <c r="H123" i="7"/>
  <c r="H121" i="7"/>
  <c r="H171" i="7"/>
  <c r="H170" i="7"/>
  <c r="H168" i="7"/>
  <c r="H166" i="7"/>
  <c r="H142" i="7"/>
  <c r="H141" i="7"/>
  <c r="H140" i="7"/>
  <c r="H139" i="7"/>
  <c r="H138" i="7"/>
  <c r="H125" i="7"/>
  <c r="H124" i="7"/>
  <c r="H122" i="7"/>
  <c r="H120" i="7"/>
  <c r="H115" i="7"/>
  <c r="H116" i="7"/>
  <c r="H117" i="7"/>
  <c r="H118" i="7"/>
  <c r="H114" i="7"/>
  <c r="H113" i="7"/>
  <c r="H352" i="7"/>
  <c r="H351" i="7"/>
  <c r="H350" i="7"/>
  <c r="H349" i="7"/>
  <c r="H347" i="7"/>
  <c r="H343" i="7"/>
  <c r="H342" i="7"/>
  <c r="H340" i="7"/>
  <c r="H338" i="7"/>
  <c r="H325" i="7"/>
  <c r="H324" i="7"/>
  <c r="H322" i="7"/>
  <c r="H316" i="7"/>
  <c r="H315" i="7"/>
  <c r="H313" i="7"/>
  <c r="H311" i="7"/>
  <c r="H307" i="7"/>
  <c r="H306" i="7"/>
  <c r="H304" i="7"/>
  <c r="H302" i="7"/>
  <c r="H296" i="7"/>
  <c r="H295" i="7"/>
  <c r="H293" i="7"/>
  <c r="H291" i="7"/>
  <c r="H283" i="7"/>
  <c r="H282" i="7"/>
  <c r="H280" i="7"/>
  <c r="H278" i="7"/>
  <c r="H237" i="7"/>
  <c r="H236" i="7"/>
  <c r="H235" i="7"/>
  <c r="H234" i="7"/>
  <c r="H232" i="7"/>
  <c r="H227" i="7"/>
  <c r="H226" i="7"/>
  <c r="H225" i="7"/>
  <c r="H224" i="7"/>
  <c r="H222" i="7"/>
  <c r="H218" i="7"/>
  <c r="H217" i="7"/>
  <c r="H215" i="7"/>
  <c r="H213" i="7"/>
  <c r="H200" i="7"/>
  <c r="H199" i="7"/>
  <c r="H197" i="7"/>
  <c r="H195" i="7"/>
  <c r="H91" i="7"/>
  <c r="H90" i="7"/>
  <c r="H88" i="7"/>
  <c r="H86" i="7"/>
  <c r="H81" i="7"/>
  <c r="H80" i="7"/>
  <c r="H78" i="7"/>
  <c r="H76" i="7"/>
  <c r="H67" i="7"/>
  <c r="H66" i="7"/>
  <c r="H64" i="7"/>
  <c r="H62" i="7"/>
  <c r="H58" i="7"/>
  <c r="H57" i="7"/>
  <c r="H55" i="7"/>
  <c r="H53" i="7"/>
  <c r="H42" i="7"/>
  <c r="H43" i="7"/>
  <c r="H44" i="7"/>
  <c r="H41" i="7"/>
  <c r="H526" i="7"/>
  <c r="H527" i="7"/>
  <c r="H528" i="7"/>
  <c r="H506" i="7"/>
  <c r="H505" i="7"/>
  <c r="H504" i="7"/>
  <c r="H503" i="7"/>
  <c r="H517" i="7"/>
  <c r="H516" i="7"/>
  <c r="H514" i="7"/>
  <c r="H525" i="7"/>
  <c r="H540" i="7"/>
  <c r="H541" i="7"/>
  <c r="H542" i="7"/>
  <c r="H539" i="7"/>
  <c r="H552" i="7"/>
  <c r="H553" i="7"/>
  <c r="H554" i="7"/>
  <c r="H555" i="7"/>
  <c r="H551" i="7"/>
  <c r="H550" i="7"/>
  <c r="H538" i="7"/>
  <c r="H537" i="7"/>
  <c r="H524" i="7"/>
  <c r="H523" i="7"/>
  <c r="H515" i="7"/>
  <c r="H513" i="7"/>
  <c r="H512" i="7"/>
  <c r="H502" i="7"/>
  <c r="H501" i="7"/>
  <c r="H465" i="7"/>
  <c r="H447" i="7"/>
  <c r="H438" i="7"/>
  <c r="H420" i="7"/>
  <c r="H402" i="7"/>
  <c r="H393" i="7"/>
  <c r="H384" i="7"/>
  <c r="H375" i="7"/>
  <c r="H366" i="7"/>
  <c r="H357" i="7"/>
  <c r="H348" i="7"/>
  <c r="H341" i="7"/>
  <c r="H339" i="7"/>
  <c r="H323" i="7"/>
  <c r="H321" i="7"/>
  <c r="H320" i="7"/>
  <c r="H314" i="7"/>
  <c r="H312" i="7"/>
  <c r="H305" i="7"/>
  <c r="H303" i="7"/>
  <c r="H294" i="7"/>
  <c r="H292" i="7"/>
  <c r="H281" i="7"/>
  <c r="H279" i="7"/>
  <c r="H233" i="7"/>
  <c r="H223" i="7"/>
  <c r="H216" i="7"/>
  <c r="H214" i="7"/>
  <c r="H198" i="7"/>
  <c r="H196" i="7"/>
  <c r="E37" i="12" l="1"/>
  <c r="F37" i="12"/>
  <c r="I37" i="12"/>
  <c r="C10" i="17"/>
  <c r="C9" i="17"/>
  <c r="C15" i="18"/>
  <c r="C6" i="17"/>
  <c r="D37" i="12"/>
  <c r="H37" i="12"/>
  <c r="H189" i="7"/>
  <c r="H188" i="7"/>
  <c r="H191" i="7"/>
  <c r="H271" i="7"/>
  <c r="H274" i="7"/>
  <c r="H272" i="7"/>
  <c r="H273" i="7"/>
  <c r="H270" i="7"/>
  <c r="H269" i="7"/>
  <c r="H187" i="7"/>
  <c r="H186" i="7"/>
  <c r="H190" i="7"/>
  <c r="H169" i="7"/>
  <c r="H167" i="7"/>
  <c r="H159" i="7"/>
  <c r="H152" i="7"/>
  <c r="H145" i="7"/>
  <c r="H137" i="7"/>
  <c r="H89" i="7"/>
  <c r="H87" i="7"/>
  <c r="H79" i="7"/>
  <c r="H77" i="7"/>
  <c r="H65" i="7"/>
  <c r="H63" i="7"/>
  <c r="H56" i="7"/>
  <c r="H54" i="7"/>
  <c r="H40" i="7"/>
  <c r="H39" i="7"/>
  <c r="C37" i="12" l="1"/>
  <c r="J132" i="7"/>
  <c r="J131" i="7"/>
  <c r="J130" i="7"/>
  <c r="M130" i="7"/>
  <c r="E3" i="12" s="1"/>
  <c r="M129" i="7"/>
  <c r="J129" i="7"/>
  <c r="E4" i="13" l="1"/>
  <c r="E4" i="17"/>
  <c r="M96" i="7"/>
  <c r="D3" i="12"/>
  <c r="J108" i="7"/>
  <c r="J99" i="7" s="1"/>
  <c r="J107" i="7"/>
  <c r="J98" i="7" s="1"/>
  <c r="J106" i="7"/>
  <c r="J97" i="7" s="1"/>
  <c r="J105" i="7"/>
  <c r="J96" i="7" s="1"/>
  <c r="D4" i="13" l="1"/>
  <c r="D4" i="17"/>
  <c r="C4" i="17" s="1"/>
  <c r="M665" i="7"/>
  <c r="L665" i="7"/>
  <c r="M664" i="7"/>
  <c r="L664" i="7"/>
  <c r="M663" i="7"/>
  <c r="L663" i="7"/>
  <c r="M662" i="7"/>
  <c r="L662" i="7"/>
  <c r="M661" i="7"/>
  <c r="L661" i="7"/>
  <c r="M660" i="7"/>
  <c r="L660" i="7"/>
  <c r="J665" i="7"/>
  <c r="J664" i="7"/>
  <c r="J663" i="7"/>
  <c r="J662" i="7"/>
  <c r="J661" i="7"/>
  <c r="J660" i="7"/>
  <c r="H664" i="7"/>
  <c r="G661" i="7"/>
  <c r="G662" i="7"/>
  <c r="G663" i="7"/>
  <c r="G664" i="7"/>
  <c r="G660" i="7"/>
  <c r="H663" i="7"/>
  <c r="H686" i="7"/>
  <c r="I683" i="7"/>
  <c r="N701" i="7"/>
  <c r="K701" i="7"/>
  <c r="I701" i="7"/>
  <c r="N700" i="7"/>
  <c r="K700" i="7"/>
  <c r="I700" i="7"/>
  <c r="N699" i="7"/>
  <c r="K699" i="7"/>
  <c r="I699" i="7"/>
  <c r="N698" i="7"/>
  <c r="K698" i="7"/>
  <c r="I698" i="7"/>
  <c r="N697" i="7"/>
  <c r="K697" i="7"/>
  <c r="I697" i="7"/>
  <c r="N696" i="7"/>
  <c r="K696" i="7"/>
  <c r="I696" i="7"/>
  <c r="M695" i="7"/>
  <c r="L695" i="7"/>
  <c r="J695" i="7"/>
  <c r="G695" i="7"/>
  <c r="N692" i="7"/>
  <c r="K692" i="7"/>
  <c r="N691" i="7"/>
  <c r="K691" i="7"/>
  <c r="I691" i="7"/>
  <c r="N690" i="7"/>
  <c r="K690" i="7"/>
  <c r="I690" i="7"/>
  <c r="N689" i="7"/>
  <c r="K689" i="7"/>
  <c r="I689" i="7"/>
  <c r="N688" i="7"/>
  <c r="K688" i="7"/>
  <c r="I688" i="7"/>
  <c r="N687" i="7"/>
  <c r="K687" i="7"/>
  <c r="I687" i="7"/>
  <c r="M686" i="7"/>
  <c r="L686" i="7"/>
  <c r="J686" i="7"/>
  <c r="N683" i="7"/>
  <c r="K683" i="7"/>
  <c r="N682" i="7"/>
  <c r="K682" i="7"/>
  <c r="I682" i="7"/>
  <c r="N681" i="7"/>
  <c r="K681" i="7"/>
  <c r="I681" i="7"/>
  <c r="N680" i="7"/>
  <c r="K680" i="7"/>
  <c r="I680" i="7"/>
  <c r="N679" i="7"/>
  <c r="K679" i="7"/>
  <c r="I679" i="7"/>
  <c r="N678" i="7"/>
  <c r="K678" i="7"/>
  <c r="I678" i="7"/>
  <c r="M677" i="7"/>
  <c r="L677" i="7"/>
  <c r="J677" i="7"/>
  <c r="G677" i="7"/>
  <c r="K677" i="7" l="1"/>
  <c r="I692" i="7"/>
  <c r="H662" i="7"/>
  <c r="G665" i="7"/>
  <c r="H661" i="7"/>
  <c r="N686" i="7"/>
  <c r="H660" i="7"/>
  <c r="H665" i="7"/>
  <c r="H695" i="7"/>
  <c r="N677" i="7"/>
  <c r="N695" i="7"/>
  <c r="K695" i="7"/>
  <c r="I695" i="7"/>
  <c r="G686" i="7"/>
  <c r="I686" i="7" s="1"/>
  <c r="H677" i="7"/>
  <c r="I677" i="7" s="1"/>
  <c r="K686" i="7"/>
  <c r="M497" i="7"/>
  <c r="M496" i="7"/>
  <c r="M495" i="7"/>
  <c r="M494" i="7"/>
  <c r="M493" i="7"/>
  <c r="M492" i="7"/>
  <c r="L497" i="7"/>
  <c r="L496" i="7"/>
  <c r="L495" i="7"/>
  <c r="L494" i="7"/>
  <c r="L493" i="7"/>
  <c r="L492" i="7"/>
  <c r="J497" i="7"/>
  <c r="J496" i="7"/>
  <c r="J495" i="7"/>
  <c r="J494" i="7"/>
  <c r="J493" i="7"/>
  <c r="J492" i="7"/>
  <c r="H494" i="7"/>
  <c r="H496" i="7"/>
  <c r="H497" i="7"/>
  <c r="G493" i="7"/>
  <c r="G494" i="7"/>
  <c r="G495" i="7"/>
  <c r="G496" i="7"/>
  <c r="G497" i="7"/>
  <c r="G492" i="7"/>
  <c r="H522" i="7"/>
  <c r="N528" i="7"/>
  <c r="K528" i="7"/>
  <c r="I528" i="7"/>
  <c r="N527" i="7"/>
  <c r="K527" i="7"/>
  <c r="I527" i="7"/>
  <c r="N526" i="7"/>
  <c r="K526" i="7"/>
  <c r="I526" i="7"/>
  <c r="N525" i="7"/>
  <c r="K525" i="7"/>
  <c r="I525" i="7"/>
  <c r="N524" i="7"/>
  <c r="K524" i="7"/>
  <c r="I524" i="7"/>
  <c r="N523" i="7"/>
  <c r="K523" i="7"/>
  <c r="I523" i="7"/>
  <c r="M522" i="7"/>
  <c r="L522" i="7"/>
  <c r="J522" i="7"/>
  <c r="G522" i="7"/>
  <c r="H495" i="7"/>
  <c r="H492" i="7"/>
  <c r="I402" i="7"/>
  <c r="N406" i="7"/>
  <c r="N405" i="7"/>
  <c r="N404" i="7"/>
  <c r="N403" i="7"/>
  <c r="N402" i="7"/>
  <c r="K402" i="7"/>
  <c r="N401" i="7"/>
  <c r="M400" i="7"/>
  <c r="L400" i="7"/>
  <c r="J400" i="7"/>
  <c r="G400" i="7"/>
  <c r="I393" i="7"/>
  <c r="N397" i="7"/>
  <c r="N396" i="7"/>
  <c r="N395" i="7"/>
  <c r="N394" i="7"/>
  <c r="N393" i="7"/>
  <c r="K393" i="7"/>
  <c r="N392" i="7"/>
  <c r="M391" i="7"/>
  <c r="L391" i="7"/>
  <c r="J391" i="7"/>
  <c r="G391" i="7"/>
  <c r="I384" i="7"/>
  <c r="N388" i="7"/>
  <c r="N387" i="7"/>
  <c r="N386" i="7"/>
  <c r="N385" i="7"/>
  <c r="N384" i="7"/>
  <c r="K384" i="7"/>
  <c r="N383" i="7"/>
  <c r="M382" i="7"/>
  <c r="L382" i="7"/>
  <c r="J382" i="7"/>
  <c r="G382" i="7"/>
  <c r="I375" i="7"/>
  <c r="N379" i="7"/>
  <c r="N378" i="7"/>
  <c r="N377" i="7"/>
  <c r="N376" i="7"/>
  <c r="N375" i="7"/>
  <c r="K375" i="7"/>
  <c r="N374" i="7"/>
  <c r="M373" i="7"/>
  <c r="L373" i="7"/>
  <c r="J373" i="7"/>
  <c r="G373" i="7"/>
  <c r="H364" i="7"/>
  <c r="I357" i="7"/>
  <c r="N370" i="7"/>
  <c r="N369" i="7"/>
  <c r="N368" i="7"/>
  <c r="N367" i="7"/>
  <c r="N366" i="7"/>
  <c r="K366" i="7"/>
  <c r="I366" i="7"/>
  <c r="N365" i="7"/>
  <c r="M364" i="7"/>
  <c r="L364" i="7"/>
  <c r="J364" i="7"/>
  <c r="G364" i="7"/>
  <c r="N361" i="7"/>
  <c r="N360" i="7"/>
  <c r="N359" i="7"/>
  <c r="N358" i="7"/>
  <c r="N357" i="7"/>
  <c r="K357" i="7"/>
  <c r="N356" i="7"/>
  <c r="M355" i="7"/>
  <c r="L355" i="7"/>
  <c r="J355" i="7"/>
  <c r="G355" i="7"/>
  <c r="I323" i="7"/>
  <c r="I321" i="7"/>
  <c r="N325" i="7"/>
  <c r="K325" i="7"/>
  <c r="I325" i="7"/>
  <c r="N324" i="7"/>
  <c r="K324" i="7"/>
  <c r="I324" i="7"/>
  <c r="N323" i="7"/>
  <c r="K323" i="7"/>
  <c r="N322" i="7"/>
  <c r="K322" i="7"/>
  <c r="I322" i="7"/>
  <c r="N321" i="7"/>
  <c r="K321" i="7"/>
  <c r="N320" i="7"/>
  <c r="K320" i="7"/>
  <c r="M319" i="7"/>
  <c r="L319" i="7"/>
  <c r="J319" i="7"/>
  <c r="G319" i="7"/>
  <c r="I314" i="7"/>
  <c r="I312" i="7"/>
  <c r="I303" i="7"/>
  <c r="N316" i="7"/>
  <c r="K316" i="7"/>
  <c r="I316" i="7"/>
  <c r="N315" i="7"/>
  <c r="K315" i="7"/>
  <c r="I315" i="7"/>
  <c r="N314" i="7"/>
  <c r="K314" i="7"/>
  <c r="N313" i="7"/>
  <c r="K313" i="7"/>
  <c r="I313" i="7"/>
  <c r="N312" i="7"/>
  <c r="K312" i="7"/>
  <c r="N311" i="7"/>
  <c r="K311" i="7"/>
  <c r="I311" i="7"/>
  <c r="M310" i="7"/>
  <c r="L310" i="7"/>
  <c r="J310" i="7"/>
  <c r="G310" i="7"/>
  <c r="N307" i="7"/>
  <c r="K307" i="7"/>
  <c r="I307" i="7"/>
  <c r="N306" i="7"/>
  <c r="K306" i="7"/>
  <c r="I306" i="7"/>
  <c r="N305" i="7"/>
  <c r="K305" i="7"/>
  <c r="N304" i="7"/>
  <c r="K304" i="7"/>
  <c r="I304" i="7"/>
  <c r="N303" i="7"/>
  <c r="K303" i="7"/>
  <c r="N302" i="7"/>
  <c r="K302" i="7"/>
  <c r="I302" i="7"/>
  <c r="M301" i="7"/>
  <c r="L301" i="7"/>
  <c r="J301" i="7"/>
  <c r="I292" i="7"/>
  <c r="N296" i="7"/>
  <c r="K296" i="7"/>
  <c r="I296" i="7"/>
  <c r="N295" i="7"/>
  <c r="K295" i="7"/>
  <c r="I295" i="7"/>
  <c r="N294" i="7"/>
  <c r="K294" i="7"/>
  <c r="I294" i="7"/>
  <c r="N293" i="7"/>
  <c r="K293" i="7"/>
  <c r="I293" i="7"/>
  <c r="N292" i="7"/>
  <c r="K292" i="7"/>
  <c r="N291" i="7"/>
  <c r="K291" i="7"/>
  <c r="I291" i="7"/>
  <c r="M290" i="7"/>
  <c r="L290" i="7"/>
  <c r="J290" i="7"/>
  <c r="G290" i="7"/>
  <c r="N283" i="7"/>
  <c r="K283" i="7"/>
  <c r="I283" i="7"/>
  <c r="N282" i="7"/>
  <c r="K282" i="7"/>
  <c r="I282" i="7"/>
  <c r="N281" i="7"/>
  <c r="K281" i="7"/>
  <c r="N280" i="7"/>
  <c r="K280" i="7"/>
  <c r="I280" i="7"/>
  <c r="N279" i="7"/>
  <c r="K279" i="7"/>
  <c r="N278" i="7"/>
  <c r="K278" i="7"/>
  <c r="I278" i="7"/>
  <c r="M277" i="7"/>
  <c r="L277" i="7"/>
  <c r="J277" i="7"/>
  <c r="G277" i="7"/>
  <c r="I214" i="7"/>
  <c r="N218" i="7"/>
  <c r="K218" i="7"/>
  <c r="I218" i="7"/>
  <c r="N217" i="7"/>
  <c r="K217" i="7"/>
  <c r="I217" i="7"/>
  <c r="N216" i="7"/>
  <c r="K216" i="7"/>
  <c r="I216" i="7"/>
  <c r="N215" i="7"/>
  <c r="K215" i="7"/>
  <c r="I215" i="7"/>
  <c r="N214" i="7"/>
  <c r="K214" i="7"/>
  <c r="N213" i="7"/>
  <c r="K213" i="7"/>
  <c r="I213" i="7"/>
  <c r="M212" i="7"/>
  <c r="L212" i="7"/>
  <c r="J212" i="7"/>
  <c r="G212" i="7"/>
  <c r="N200" i="7"/>
  <c r="K200" i="7"/>
  <c r="I200" i="7"/>
  <c r="N199" i="7"/>
  <c r="K199" i="7"/>
  <c r="I199" i="7"/>
  <c r="N198" i="7"/>
  <c r="K198" i="7"/>
  <c r="N197" i="7"/>
  <c r="K197" i="7"/>
  <c r="I197" i="7"/>
  <c r="N196" i="7"/>
  <c r="K196" i="7"/>
  <c r="N195" i="7"/>
  <c r="K195" i="7"/>
  <c r="I195" i="7"/>
  <c r="M194" i="7"/>
  <c r="L194" i="7"/>
  <c r="J194" i="7"/>
  <c r="G194" i="7"/>
  <c r="G169" i="7"/>
  <c r="H493" i="7" l="1"/>
  <c r="N522" i="7"/>
  <c r="H355" i="7"/>
  <c r="I355" i="7" s="1"/>
  <c r="G301" i="7"/>
  <c r="I281" i="7"/>
  <c r="I320" i="7"/>
  <c r="K382" i="7"/>
  <c r="K522" i="7"/>
  <c r="I522" i="7"/>
  <c r="H382" i="7"/>
  <c r="I382" i="7" s="1"/>
  <c r="K400" i="7"/>
  <c r="K355" i="7"/>
  <c r="K391" i="7"/>
  <c r="H400" i="7"/>
  <c r="I400" i="7" s="1"/>
  <c r="N364" i="7"/>
  <c r="H391" i="7"/>
  <c r="I391" i="7" s="1"/>
  <c r="N391" i="7"/>
  <c r="N400" i="7"/>
  <c r="K364" i="7"/>
  <c r="N373" i="7"/>
  <c r="I305" i="7"/>
  <c r="K373" i="7"/>
  <c r="H194" i="7"/>
  <c r="I194" i="7" s="1"/>
  <c r="H373" i="7"/>
  <c r="I373" i="7" s="1"/>
  <c r="N382" i="7"/>
  <c r="K310" i="7"/>
  <c r="N355" i="7"/>
  <c r="I364" i="7"/>
  <c r="K301" i="7"/>
  <c r="H277" i="7"/>
  <c r="I277" i="7" s="1"/>
  <c r="H301" i="7"/>
  <c r="H310" i="7"/>
  <c r="N319" i="7"/>
  <c r="I196" i="7"/>
  <c r="I279" i="7"/>
  <c r="K319" i="7"/>
  <c r="H319" i="7"/>
  <c r="I319" i="7" s="1"/>
  <c r="N194" i="7"/>
  <c r="H212" i="7"/>
  <c r="I212" i="7" s="1"/>
  <c r="N277" i="7"/>
  <c r="N301" i="7"/>
  <c r="N310" i="7"/>
  <c r="H290" i="7"/>
  <c r="I290" i="7" s="1"/>
  <c r="I310" i="7"/>
  <c r="K194" i="7"/>
  <c r="I198" i="7"/>
  <c r="N212" i="7"/>
  <c r="K212" i="7"/>
  <c r="K277" i="7"/>
  <c r="N290" i="7"/>
  <c r="K290" i="7"/>
  <c r="I123" i="7"/>
  <c r="H106" i="7"/>
  <c r="H105" i="7"/>
  <c r="L35" i="7"/>
  <c r="N35" i="7" s="1"/>
  <c r="L34" i="7"/>
  <c r="N34" i="7" s="1"/>
  <c r="L33" i="7"/>
  <c r="L32" i="7"/>
  <c r="N32" i="7" s="1"/>
  <c r="L31" i="7"/>
  <c r="L30" i="7"/>
  <c r="J35" i="7"/>
  <c r="J34" i="7"/>
  <c r="J33" i="7"/>
  <c r="J32" i="7"/>
  <c r="J31" i="7"/>
  <c r="J30" i="7"/>
  <c r="M31" i="7"/>
  <c r="M32" i="7"/>
  <c r="M33" i="7"/>
  <c r="M34" i="7"/>
  <c r="M35" i="7"/>
  <c r="M30" i="7"/>
  <c r="H32" i="7"/>
  <c r="H34" i="7"/>
  <c r="H35" i="7"/>
  <c r="G31" i="7"/>
  <c r="G32" i="7"/>
  <c r="I32" i="7" s="1"/>
  <c r="G33" i="7"/>
  <c r="G34" i="7"/>
  <c r="I34" i="7" s="1"/>
  <c r="G35" i="7"/>
  <c r="I35" i="7" s="1"/>
  <c r="G30" i="7"/>
  <c r="I87" i="7"/>
  <c r="I77" i="7"/>
  <c r="I79" i="7"/>
  <c r="I63" i="7"/>
  <c r="H30" i="7"/>
  <c r="I56" i="7"/>
  <c r="I54" i="7"/>
  <c r="N44" i="7"/>
  <c r="K44" i="7"/>
  <c r="I44" i="7"/>
  <c r="N43" i="7"/>
  <c r="K43" i="7"/>
  <c r="I43" i="7"/>
  <c r="N42" i="7"/>
  <c r="K42" i="7"/>
  <c r="I42" i="7"/>
  <c r="N41" i="7"/>
  <c r="K41" i="7"/>
  <c r="I41" i="7"/>
  <c r="N40" i="7"/>
  <c r="K40" i="7"/>
  <c r="I40" i="7"/>
  <c r="N39" i="7"/>
  <c r="K39" i="7"/>
  <c r="I39" i="7"/>
  <c r="M38" i="7"/>
  <c r="L38" i="7"/>
  <c r="J38" i="7"/>
  <c r="G38" i="7"/>
  <c r="B12" i="18"/>
  <c r="C17" i="14"/>
  <c r="D26" i="12"/>
  <c r="B3" i="17"/>
  <c r="B2" i="16"/>
  <c r="B2" i="15"/>
  <c r="B12" i="14"/>
  <c r="B3" i="13"/>
  <c r="M12" i="12"/>
  <c r="M2" i="12"/>
  <c r="C17" i="12"/>
  <c r="I25" i="12"/>
  <c r="H25" i="12"/>
  <c r="G25" i="12"/>
  <c r="F25" i="12"/>
  <c r="E25" i="12"/>
  <c r="D25" i="12"/>
  <c r="E26" i="12"/>
  <c r="E28" i="12"/>
  <c r="I28" i="12"/>
  <c r="H28" i="12"/>
  <c r="G28" i="12"/>
  <c r="F28" i="12"/>
  <c r="I26" i="12"/>
  <c r="H26" i="12"/>
  <c r="G26" i="12"/>
  <c r="F26" i="12"/>
  <c r="B16" i="11"/>
  <c r="H5" i="11"/>
  <c r="G5" i="11"/>
  <c r="F5" i="11"/>
  <c r="D5" i="11"/>
  <c r="C5" i="11"/>
  <c r="N274" i="7"/>
  <c r="N273" i="7"/>
  <c r="N271" i="7"/>
  <c r="N270" i="7"/>
  <c r="N269" i="7"/>
  <c r="I271" i="7"/>
  <c r="I273" i="7"/>
  <c r="I274" i="7"/>
  <c r="H15" i="11"/>
  <c r="G15" i="11"/>
  <c r="F15" i="11"/>
  <c r="E15" i="11"/>
  <c r="D15" i="11"/>
  <c r="C15" i="11"/>
  <c r="H436" i="7"/>
  <c r="M837" i="7"/>
  <c r="M836" i="7"/>
  <c r="M835" i="7"/>
  <c r="M834" i="7"/>
  <c r="M833" i="7"/>
  <c r="M832" i="7"/>
  <c r="L837" i="7"/>
  <c r="N837" i="7" s="1"/>
  <c r="L836" i="7"/>
  <c r="N836" i="7" s="1"/>
  <c r="L835" i="7"/>
  <c r="N835" i="7" s="1"/>
  <c r="L834" i="7"/>
  <c r="N834" i="7" s="1"/>
  <c r="L833" i="7"/>
  <c r="L832" i="7"/>
  <c r="N832" i="7" s="1"/>
  <c r="J837" i="7"/>
  <c r="J836" i="7"/>
  <c r="J835" i="7"/>
  <c r="J834" i="7"/>
  <c r="J833" i="7"/>
  <c r="J832" i="7"/>
  <c r="H832" i="7"/>
  <c r="H835" i="7"/>
  <c r="H836" i="7"/>
  <c r="H837" i="7"/>
  <c r="G833" i="7"/>
  <c r="G834" i="7"/>
  <c r="G835" i="7"/>
  <c r="G836" i="7"/>
  <c r="I836" i="7" s="1"/>
  <c r="G837" i="7"/>
  <c r="G832" i="7"/>
  <c r="N665" i="7"/>
  <c r="N664" i="7"/>
  <c r="N663" i="7"/>
  <c r="N661" i="7"/>
  <c r="N660" i="7"/>
  <c r="I661" i="7"/>
  <c r="I663" i="7"/>
  <c r="I664" i="7"/>
  <c r="I665" i="7"/>
  <c r="L621" i="7"/>
  <c r="L620" i="7"/>
  <c r="L619" i="7"/>
  <c r="L618" i="7"/>
  <c r="L617" i="7"/>
  <c r="L616" i="7"/>
  <c r="J621" i="7"/>
  <c r="J612" i="7" s="1"/>
  <c r="J620" i="7"/>
  <c r="J611" i="7" s="1"/>
  <c r="J619" i="7"/>
  <c r="J610" i="7" s="1"/>
  <c r="J618" i="7"/>
  <c r="J609" i="7" s="1"/>
  <c r="J617" i="7"/>
  <c r="J608" i="7" s="1"/>
  <c r="J616" i="7"/>
  <c r="J607" i="7" s="1"/>
  <c r="G617" i="7"/>
  <c r="G618" i="7"/>
  <c r="G609" i="7" s="1"/>
  <c r="G619" i="7"/>
  <c r="G610" i="7" s="1"/>
  <c r="G620" i="7"/>
  <c r="G611" i="7" s="1"/>
  <c r="G621" i="7"/>
  <c r="G612" i="7" s="1"/>
  <c r="M577" i="7"/>
  <c r="M576" i="7"/>
  <c r="M575" i="7"/>
  <c r="M574" i="7"/>
  <c r="M573" i="7"/>
  <c r="M572" i="7"/>
  <c r="H573" i="7"/>
  <c r="H574" i="7"/>
  <c r="H575" i="7"/>
  <c r="H576" i="7"/>
  <c r="H577" i="7"/>
  <c r="L577" i="7"/>
  <c r="L576" i="7"/>
  <c r="N576" i="7" s="1"/>
  <c r="L575" i="7"/>
  <c r="N575" i="7" s="1"/>
  <c r="L574" i="7"/>
  <c r="L573" i="7"/>
  <c r="L572" i="7"/>
  <c r="J577" i="7"/>
  <c r="J576" i="7"/>
  <c r="J575" i="7"/>
  <c r="J574" i="7"/>
  <c r="J573" i="7"/>
  <c r="J572" i="7"/>
  <c r="G573" i="7"/>
  <c r="G574" i="7"/>
  <c r="G575" i="7"/>
  <c r="I575" i="7" s="1"/>
  <c r="G576" i="7"/>
  <c r="I576" i="7" s="1"/>
  <c r="G577" i="7"/>
  <c r="N497" i="7"/>
  <c r="N496" i="7"/>
  <c r="N494" i="7"/>
  <c r="I494" i="7"/>
  <c r="I496" i="7"/>
  <c r="I497" i="7"/>
  <c r="N191" i="7"/>
  <c r="N190" i="7"/>
  <c r="N189" i="7"/>
  <c r="N188" i="7"/>
  <c r="I188" i="7"/>
  <c r="I189" i="7"/>
  <c r="I191" i="7"/>
  <c r="M134" i="7"/>
  <c r="M133" i="7"/>
  <c r="H3" i="12" s="1"/>
  <c r="M131" i="7"/>
  <c r="H130" i="7"/>
  <c r="H131" i="7"/>
  <c r="H132" i="7"/>
  <c r="H133" i="7"/>
  <c r="H134" i="7"/>
  <c r="L134" i="7"/>
  <c r="H3" i="11" s="1"/>
  <c r="L133" i="7"/>
  <c r="G3" i="11" s="1"/>
  <c r="L132" i="7"/>
  <c r="F3" i="11" s="1"/>
  <c r="L131" i="7"/>
  <c r="E3" i="11" s="1"/>
  <c r="L130" i="7"/>
  <c r="D3" i="11" s="1"/>
  <c r="L129" i="7"/>
  <c r="C3" i="11" s="1"/>
  <c r="J134" i="7"/>
  <c r="J133" i="7"/>
  <c r="G130" i="7"/>
  <c r="G131" i="7"/>
  <c r="I131" i="7" s="1"/>
  <c r="G132" i="7"/>
  <c r="G133" i="7"/>
  <c r="I133" i="7" s="1"/>
  <c r="G134" i="7"/>
  <c r="I134" i="7" s="1"/>
  <c r="M110" i="7"/>
  <c r="I4" i="12" s="1"/>
  <c r="M109" i="7"/>
  <c r="H4" i="12" s="1"/>
  <c r="M108" i="7"/>
  <c r="G4" i="12" s="1"/>
  <c r="M107" i="7"/>
  <c r="F4" i="12" s="1"/>
  <c r="M106" i="7"/>
  <c r="E4" i="12" s="1"/>
  <c r="H107" i="7"/>
  <c r="H109" i="7"/>
  <c r="H110" i="7"/>
  <c r="H101" i="7" s="1"/>
  <c r="L110" i="7"/>
  <c r="L109" i="7"/>
  <c r="L108" i="7"/>
  <c r="L107" i="7"/>
  <c r="L106" i="7"/>
  <c r="L105" i="7"/>
  <c r="J110" i="7"/>
  <c r="J109" i="7"/>
  <c r="G106" i="7"/>
  <c r="G107" i="7"/>
  <c r="G108" i="7"/>
  <c r="G109" i="7"/>
  <c r="G110" i="7"/>
  <c r="K720" i="7"/>
  <c r="I720" i="7"/>
  <c r="K719" i="7"/>
  <c r="I719" i="7"/>
  <c r="K730" i="7"/>
  <c r="I730" i="7"/>
  <c r="K729" i="7"/>
  <c r="I729" i="7"/>
  <c r="K740" i="7"/>
  <c r="I740" i="7"/>
  <c r="K739" i="7"/>
  <c r="I739" i="7"/>
  <c r="K749" i="7"/>
  <c r="I749" i="7"/>
  <c r="K748" i="7"/>
  <c r="I748" i="7"/>
  <c r="K759" i="7"/>
  <c r="I759" i="7"/>
  <c r="K769" i="7"/>
  <c r="I769" i="7"/>
  <c r="K768" i="7"/>
  <c r="I768" i="7"/>
  <c r="K780" i="7"/>
  <c r="I780" i="7"/>
  <c r="K779" i="7"/>
  <c r="I779" i="7"/>
  <c r="K790" i="7"/>
  <c r="I790" i="7"/>
  <c r="K789" i="7"/>
  <c r="I789" i="7"/>
  <c r="K803" i="7"/>
  <c r="I803" i="7"/>
  <c r="K802" i="7"/>
  <c r="I802" i="7"/>
  <c r="K801" i="7"/>
  <c r="I801" i="7"/>
  <c r="K800" i="7"/>
  <c r="I800" i="7"/>
  <c r="K813" i="7"/>
  <c r="I813" i="7"/>
  <c r="K812" i="7"/>
  <c r="I812" i="7"/>
  <c r="K825" i="7"/>
  <c r="I825" i="7"/>
  <c r="K824" i="7"/>
  <c r="I824" i="7"/>
  <c r="K823" i="7"/>
  <c r="I823" i="7"/>
  <c r="K864" i="7"/>
  <c r="K855" i="7" s="1"/>
  <c r="I864" i="7"/>
  <c r="K863" i="7"/>
  <c r="K854" i="7" s="1"/>
  <c r="I863" i="7"/>
  <c r="K861" i="7"/>
  <c r="K852" i="7" s="1"/>
  <c r="I861" i="7"/>
  <c r="K884" i="7"/>
  <c r="K875" i="7" s="1"/>
  <c r="I884" i="7"/>
  <c r="K883" i="7"/>
  <c r="K874" i="7" s="1"/>
  <c r="I883" i="7"/>
  <c r="K599" i="7"/>
  <c r="I599" i="7"/>
  <c r="K598" i="7"/>
  <c r="I598" i="7"/>
  <c r="K597" i="7"/>
  <c r="I597" i="7"/>
  <c r="K596" i="7"/>
  <c r="I596" i="7"/>
  <c r="K585" i="7"/>
  <c r="K576" i="7" s="1"/>
  <c r="I585" i="7"/>
  <c r="K595" i="7"/>
  <c r="K594" i="7"/>
  <c r="K582" i="7"/>
  <c r="K573" i="7" s="1"/>
  <c r="K583" i="7"/>
  <c r="K584" i="7"/>
  <c r="K586" i="7"/>
  <c r="K581" i="7"/>
  <c r="K555" i="7"/>
  <c r="K554" i="7"/>
  <c r="K553" i="7"/>
  <c r="K552" i="7"/>
  <c r="K551" i="7"/>
  <c r="K550" i="7"/>
  <c r="K542" i="7"/>
  <c r="K541" i="7"/>
  <c r="K540" i="7"/>
  <c r="K539" i="7"/>
  <c r="K538" i="7"/>
  <c r="K537" i="7"/>
  <c r="K517" i="7"/>
  <c r="K516" i="7"/>
  <c r="K515" i="7"/>
  <c r="K514" i="7"/>
  <c r="K513" i="7"/>
  <c r="K512" i="7"/>
  <c r="I555" i="7"/>
  <c r="I554" i="7"/>
  <c r="I553" i="7"/>
  <c r="I552" i="7"/>
  <c r="I542" i="7"/>
  <c r="I541" i="7"/>
  <c r="I540" i="7"/>
  <c r="I539" i="7"/>
  <c r="I517" i="7"/>
  <c r="I516" i="7"/>
  <c r="I514" i="7"/>
  <c r="K506" i="7"/>
  <c r="K505" i="7"/>
  <c r="K504" i="7"/>
  <c r="K503" i="7"/>
  <c r="K465" i="7"/>
  <c r="K447" i="7"/>
  <c r="K438" i="7"/>
  <c r="K420" i="7"/>
  <c r="K352" i="7"/>
  <c r="K351" i="7"/>
  <c r="K350" i="7"/>
  <c r="K349" i="7"/>
  <c r="K348" i="7"/>
  <c r="K347" i="7"/>
  <c r="K343" i="7"/>
  <c r="K274" i="7" s="1"/>
  <c r="K342" i="7"/>
  <c r="K273" i="7" s="1"/>
  <c r="K341" i="7"/>
  <c r="K340" i="7"/>
  <c r="K339" i="7"/>
  <c r="K338" i="7"/>
  <c r="K269" i="7" s="1"/>
  <c r="K233" i="7"/>
  <c r="K237" i="7"/>
  <c r="I237" i="7"/>
  <c r="K236" i="7"/>
  <c r="I236" i="7"/>
  <c r="K235" i="7"/>
  <c r="I235" i="7"/>
  <c r="K234" i="7"/>
  <c r="I234" i="7"/>
  <c r="K232" i="7"/>
  <c r="I232" i="7"/>
  <c r="K227" i="7"/>
  <c r="K191" i="7" s="1"/>
  <c r="I227" i="7"/>
  <c r="K226" i="7"/>
  <c r="I226" i="7"/>
  <c r="K225" i="7"/>
  <c r="K189" i="7" s="1"/>
  <c r="I225" i="7"/>
  <c r="K224" i="7"/>
  <c r="I224" i="7"/>
  <c r="K223" i="7"/>
  <c r="K222" i="7"/>
  <c r="K137" i="7"/>
  <c r="K145" i="7"/>
  <c r="K159" i="7"/>
  <c r="K167" i="7"/>
  <c r="K168" i="7"/>
  <c r="K169" i="7"/>
  <c r="K170" i="7"/>
  <c r="K171" i="7"/>
  <c r="I171" i="7"/>
  <c r="I170" i="7"/>
  <c r="I168" i="7"/>
  <c r="K166" i="7"/>
  <c r="I166" i="7"/>
  <c r="K142" i="7"/>
  <c r="K134" i="7" s="1"/>
  <c r="I142" i="7"/>
  <c r="K141" i="7"/>
  <c r="I141" i="7"/>
  <c r="K140" i="7"/>
  <c r="I140" i="7"/>
  <c r="K139" i="7"/>
  <c r="I139" i="7"/>
  <c r="K138" i="7"/>
  <c r="I138" i="7"/>
  <c r="K125" i="7"/>
  <c r="K124" i="7"/>
  <c r="K123" i="7"/>
  <c r="K122" i="7"/>
  <c r="K121" i="7"/>
  <c r="K120" i="7"/>
  <c r="I125" i="7"/>
  <c r="I124" i="7"/>
  <c r="I122" i="7"/>
  <c r="I120" i="7"/>
  <c r="K118" i="7"/>
  <c r="K110" i="7" s="1"/>
  <c r="K101" i="7" s="1"/>
  <c r="I118" i="7"/>
  <c r="K117" i="7"/>
  <c r="I117" i="7"/>
  <c r="K116" i="7"/>
  <c r="I116" i="7"/>
  <c r="K115" i="7"/>
  <c r="I115" i="7"/>
  <c r="K114" i="7"/>
  <c r="K106" i="7" s="1"/>
  <c r="K91" i="7"/>
  <c r="K90" i="7"/>
  <c r="K89" i="7"/>
  <c r="K88" i="7"/>
  <c r="K87" i="7"/>
  <c r="K86" i="7"/>
  <c r="K81" i="7"/>
  <c r="K80" i="7"/>
  <c r="K79" i="7"/>
  <c r="K78" i="7"/>
  <c r="K77" i="7"/>
  <c r="K76" i="7"/>
  <c r="K67" i="7"/>
  <c r="K66" i="7"/>
  <c r="K65" i="7"/>
  <c r="K64" i="7"/>
  <c r="K63" i="7"/>
  <c r="K62" i="7"/>
  <c r="K54" i="7"/>
  <c r="K55" i="7"/>
  <c r="K56" i="7"/>
  <c r="K57" i="7"/>
  <c r="K58" i="7"/>
  <c r="K53" i="7"/>
  <c r="N91" i="7"/>
  <c r="I91" i="7"/>
  <c r="N90" i="7"/>
  <c r="I90" i="7"/>
  <c r="N81" i="7"/>
  <c r="I81" i="7"/>
  <c r="N80" i="7"/>
  <c r="I80" i="7"/>
  <c r="M85" i="7"/>
  <c r="L85" i="7"/>
  <c r="J85" i="7"/>
  <c r="G85" i="7"/>
  <c r="M75" i="7"/>
  <c r="L75" i="7"/>
  <c r="J75" i="7"/>
  <c r="G75" i="7"/>
  <c r="M61" i="7"/>
  <c r="L61" i="7"/>
  <c r="J61" i="7"/>
  <c r="G61" i="7"/>
  <c r="N67" i="7"/>
  <c r="I67" i="7"/>
  <c r="N66" i="7"/>
  <c r="I66" i="7"/>
  <c r="I58" i="7"/>
  <c r="K711" i="7"/>
  <c r="I711" i="7"/>
  <c r="K710" i="7"/>
  <c r="I710" i="7"/>
  <c r="K709" i="7"/>
  <c r="I709" i="7"/>
  <c r="K674" i="7"/>
  <c r="I674" i="7"/>
  <c r="K673" i="7"/>
  <c r="I673" i="7"/>
  <c r="K672" i="7"/>
  <c r="I672" i="7"/>
  <c r="K882" i="7"/>
  <c r="K873" i="7" s="1"/>
  <c r="K881" i="7"/>
  <c r="K872" i="7" s="1"/>
  <c r="K880" i="7"/>
  <c r="K871" i="7" s="1"/>
  <c r="K879" i="7"/>
  <c r="K870" i="7" s="1"/>
  <c r="K862" i="7"/>
  <c r="K853" i="7" s="1"/>
  <c r="K860" i="7"/>
  <c r="K851" i="7" s="1"/>
  <c r="K859" i="7"/>
  <c r="K850" i="7" s="1"/>
  <c r="K846" i="7"/>
  <c r="K837" i="7" s="1"/>
  <c r="K845" i="7"/>
  <c r="K836" i="7" s="1"/>
  <c r="K844" i="7"/>
  <c r="K835" i="7" s="1"/>
  <c r="K843" i="7"/>
  <c r="K834" i="7" s="1"/>
  <c r="K842" i="7"/>
  <c r="K833" i="7" s="1"/>
  <c r="K841" i="7"/>
  <c r="K832" i="7" s="1"/>
  <c r="K822" i="7"/>
  <c r="K821" i="7"/>
  <c r="K820" i="7"/>
  <c r="K814" i="7"/>
  <c r="K811" i="7"/>
  <c r="K810" i="7"/>
  <c r="K809" i="7"/>
  <c r="K799" i="7"/>
  <c r="K798" i="7"/>
  <c r="K791" i="7"/>
  <c r="K788" i="7"/>
  <c r="K787" i="7"/>
  <c r="K786" i="7"/>
  <c r="K781" i="7"/>
  <c r="K778" i="7"/>
  <c r="K777" i="7"/>
  <c r="K776" i="7"/>
  <c r="K770" i="7"/>
  <c r="K767" i="7"/>
  <c r="K766" i="7"/>
  <c r="K765" i="7"/>
  <c r="K760" i="7"/>
  <c r="K758" i="7"/>
  <c r="K757" i="7"/>
  <c r="K756" i="7"/>
  <c r="K755" i="7"/>
  <c r="K750" i="7"/>
  <c r="K747" i="7"/>
  <c r="K746" i="7"/>
  <c r="K745" i="7"/>
  <c r="K741" i="7"/>
  <c r="K738" i="7"/>
  <c r="K737" i="7"/>
  <c r="K736" i="7"/>
  <c r="K731" i="7"/>
  <c r="K728" i="7"/>
  <c r="K727" i="7"/>
  <c r="K726" i="7"/>
  <c r="K721" i="7"/>
  <c r="K718" i="7"/>
  <c r="K717" i="7"/>
  <c r="K716" i="7"/>
  <c r="K708" i="7"/>
  <c r="K707" i="7"/>
  <c r="K706" i="7"/>
  <c r="K655" i="7"/>
  <c r="K646" i="7" s="1"/>
  <c r="K654" i="7"/>
  <c r="K645" i="7" s="1"/>
  <c r="K653" i="7"/>
  <c r="K644" i="7" s="1"/>
  <c r="K652" i="7"/>
  <c r="K643" i="7" s="1"/>
  <c r="K651" i="7"/>
  <c r="K642" i="7" s="1"/>
  <c r="K650" i="7"/>
  <c r="K641" i="7" s="1"/>
  <c r="K671" i="7"/>
  <c r="K670" i="7"/>
  <c r="K669" i="7"/>
  <c r="K636" i="7"/>
  <c r="K635" i="7"/>
  <c r="K634" i="7"/>
  <c r="K633" i="7"/>
  <c r="K632" i="7"/>
  <c r="K624" i="7"/>
  <c r="K626" i="7"/>
  <c r="K618" i="7" s="1"/>
  <c r="K609" i="7" s="1"/>
  <c r="K627" i="7"/>
  <c r="K619" i="7" s="1"/>
  <c r="K610" i="7" s="1"/>
  <c r="K628" i="7"/>
  <c r="K629" i="7"/>
  <c r="K621" i="7" s="1"/>
  <c r="K612" i="7" s="1"/>
  <c r="K625" i="7"/>
  <c r="I846" i="7"/>
  <c r="N845" i="7"/>
  <c r="I845" i="7"/>
  <c r="N844" i="7"/>
  <c r="I844" i="7"/>
  <c r="N843" i="7"/>
  <c r="I843" i="7"/>
  <c r="N842" i="7"/>
  <c r="N841" i="7"/>
  <c r="I841" i="7"/>
  <c r="M840" i="7"/>
  <c r="J840" i="7"/>
  <c r="G840" i="7"/>
  <c r="N555" i="7"/>
  <c r="N554" i="7"/>
  <c r="N553" i="7"/>
  <c r="N552" i="7"/>
  <c r="N551" i="7"/>
  <c r="I551" i="7"/>
  <c r="N550" i="7"/>
  <c r="I550" i="7"/>
  <c r="M549" i="7"/>
  <c r="L549" i="7"/>
  <c r="J549" i="7"/>
  <c r="H549" i="7"/>
  <c r="G549" i="7"/>
  <c r="N542" i="7"/>
  <c r="N541" i="7"/>
  <c r="N540" i="7"/>
  <c r="N539" i="7"/>
  <c r="N538" i="7"/>
  <c r="I538" i="7"/>
  <c r="N537" i="7"/>
  <c r="I537" i="7"/>
  <c r="M536" i="7"/>
  <c r="L536" i="7"/>
  <c r="J536" i="7"/>
  <c r="H536" i="7"/>
  <c r="G536" i="7"/>
  <c r="N517" i="7"/>
  <c r="N516" i="7"/>
  <c r="N515" i="7"/>
  <c r="I515" i="7"/>
  <c r="N514" i="7"/>
  <c r="N513" i="7"/>
  <c r="I513" i="7"/>
  <c r="N512" i="7"/>
  <c r="I512" i="7"/>
  <c r="M511" i="7"/>
  <c r="L511" i="7"/>
  <c r="J511" i="7"/>
  <c r="H511" i="7"/>
  <c r="G511" i="7"/>
  <c r="N506" i="7"/>
  <c r="I506" i="7"/>
  <c r="N505" i="7"/>
  <c r="I505" i="7"/>
  <c r="N504" i="7"/>
  <c r="I504" i="7"/>
  <c r="N503" i="7"/>
  <c r="I503" i="7"/>
  <c r="I502" i="7"/>
  <c r="N501" i="7"/>
  <c r="K501" i="7"/>
  <c r="I501" i="7"/>
  <c r="M500" i="7"/>
  <c r="J500" i="7"/>
  <c r="H500" i="7"/>
  <c r="G500" i="7"/>
  <c r="N469" i="7"/>
  <c r="N468" i="7"/>
  <c r="N467" i="7"/>
  <c r="N466" i="7"/>
  <c r="N465" i="7"/>
  <c r="I465" i="7"/>
  <c r="N464" i="7"/>
  <c r="M463" i="7"/>
  <c r="L463" i="7"/>
  <c r="J463" i="7"/>
  <c r="G463" i="7"/>
  <c r="N451" i="7"/>
  <c r="N450" i="7"/>
  <c r="N449" i="7"/>
  <c r="N448" i="7"/>
  <c r="N447" i="7"/>
  <c r="I447" i="7"/>
  <c r="N446" i="7"/>
  <c r="M445" i="7"/>
  <c r="L445" i="7"/>
  <c r="J445" i="7"/>
  <c r="H445" i="7"/>
  <c r="G445" i="7"/>
  <c r="N442" i="7"/>
  <c r="N441" i="7"/>
  <c r="N440" i="7"/>
  <c r="N439" i="7"/>
  <c r="N438" i="7"/>
  <c r="I438" i="7"/>
  <c r="N437" i="7"/>
  <c r="M436" i="7"/>
  <c r="L436" i="7"/>
  <c r="J436" i="7"/>
  <c r="G436" i="7"/>
  <c r="N424" i="7"/>
  <c r="N423" i="7"/>
  <c r="N422" i="7"/>
  <c r="N421" i="7"/>
  <c r="N420" i="7"/>
  <c r="I420" i="7"/>
  <c r="N419" i="7"/>
  <c r="M418" i="7"/>
  <c r="L418" i="7"/>
  <c r="J418" i="7"/>
  <c r="H418" i="7"/>
  <c r="G418" i="7"/>
  <c r="N352" i="7"/>
  <c r="I352" i="7"/>
  <c r="N351" i="7"/>
  <c r="I351" i="7"/>
  <c r="N350" i="7"/>
  <c r="I350" i="7"/>
  <c r="N349" i="7"/>
  <c r="I349" i="7"/>
  <c r="N348" i="7"/>
  <c r="I348" i="7"/>
  <c r="N347" i="7"/>
  <c r="I347" i="7"/>
  <c r="M346" i="7"/>
  <c r="L346" i="7"/>
  <c r="J346" i="7"/>
  <c r="H346" i="7"/>
  <c r="G346" i="7"/>
  <c r="N343" i="7"/>
  <c r="I343" i="7"/>
  <c r="N342" i="7"/>
  <c r="I342" i="7"/>
  <c r="N341" i="7"/>
  <c r="I341" i="7"/>
  <c r="N340" i="7"/>
  <c r="I340" i="7"/>
  <c r="N339" i="7"/>
  <c r="I339" i="7"/>
  <c r="N338" i="7"/>
  <c r="I338" i="7"/>
  <c r="M337" i="7"/>
  <c r="L337" i="7"/>
  <c r="J337" i="7"/>
  <c r="G337" i="7"/>
  <c r="N89" i="7"/>
  <c r="N88" i="7"/>
  <c r="I88" i="7"/>
  <c r="N87" i="7"/>
  <c r="N86" i="7"/>
  <c r="I86" i="7"/>
  <c r="N79" i="7"/>
  <c r="N78" i="7"/>
  <c r="I78" i="7"/>
  <c r="N77" i="7"/>
  <c r="N76" i="7"/>
  <c r="I76" i="7"/>
  <c r="N65" i="7"/>
  <c r="N64" i="7"/>
  <c r="I64" i="7"/>
  <c r="N63" i="7"/>
  <c r="N62" i="7"/>
  <c r="I62" i="7"/>
  <c r="N58" i="7"/>
  <c r="N57" i="7"/>
  <c r="I57" i="7"/>
  <c r="N56" i="7"/>
  <c r="N55" i="7"/>
  <c r="I55" i="7"/>
  <c r="N54" i="7"/>
  <c r="N53" i="7"/>
  <c r="I53" i="7"/>
  <c r="M52" i="7"/>
  <c r="L52" i="7"/>
  <c r="J52" i="7"/>
  <c r="G52" i="7"/>
  <c r="I233" i="7"/>
  <c r="N223" i="7"/>
  <c r="I223" i="7"/>
  <c r="N884" i="7"/>
  <c r="N883" i="7"/>
  <c r="N882" i="7"/>
  <c r="I882" i="7"/>
  <c r="N881" i="7"/>
  <c r="I881" i="7"/>
  <c r="N880" i="7"/>
  <c r="I880" i="7"/>
  <c r="N879" i="7"/>
  <c r="I879" i="7"/>
  <c r="M878" i="7"/>
  <c r="L878" i="7"/>
  <c r="N878" i="7" s="1"/>
  <c r="J878" i="7"/>
  <c r="H878" i="7"/>
  <c r="G878" i="7"/>
  <c r="M875" i="7"/>
  <c r="L875" i="7"/>
  <c r="N875" i="7" s="1"/>
  <c r="J875" i="7"/>
  <c r="H875" i="7"/>
  <c r="G875" i="7"/>
  <c r="I875" i="7" s="1"/>
  <c r="M874" i="7"/>
  <c r="L874" i="7"/>
  <c r="N874" i="7" s="1"/>
  <c r="J874" i="7"/>
  <c r="H874" i="7"/>
  <c r="G874" i="7"/>
  <c r="I874" i="7" s="1"/>
  <c r="M873" i="7"/>
  <c r="L873" i="7"/>
  <c r="N873" i="7" s="1"/>
  <c r="J873" i="7"/>
  <c r="H873" i="7"/>
  <c r="G873" i="7"/>
  <c r="I873" i="7" s="1"/>
  <c r="M872" i="7"/>
  <c r="L872" i="7"/>
  <c r="N872" i="7" s="1"/>
  <c r="J872" i="7"/>
  <c r="H872" i="7"/>
  <c r="G872" i="7"/>
  <c r="M871" i="7"/>
  <c r="L871" i="7"/>
  <c r="J871" i="7"/>
  <c r="H871" i="7"/>
  <c r="G871" i="7"/>
  <c r="M870" i="7"/>
  <c r="L870" i="7"/>
  <c r="N870" i="7" s="1"/>
  <c r="J870" i="7"/>
  <c r="H870" i="7"/>
  <c r="G870" i="7"/>
  <c r="N864" i="7"/>
  <c r="N863" i="7"/>
  <c r="N862" i="7"/>
  <c r="I862" i="7"/>
  <c r="N861" i="7"/>
  <c r="N860" i="7"/>
  <c r="I860" i="7"/>
  <c r="N859" i="7"/>
  <c r="I859" i="7"/>
  <c r="M858" i="7"/>
  <c r="L858" i="7"/>
  <c r="J858" i="7"/>
  <c r="H858" i="7"/>
  <c r="G858" i="7"/>
  <c r="M855" i="7"/>
  <c r="L855" i="7"/>
  <c r="N855" i="7" s="1"/>
  <c r="J855" i="7"/>
  <c r="H855" i="7"/>
  <c r="G855" i="7"/>
  <c r="I855" i="7" s="1"/>
  <c r="M854" i="7"/>
  <c r="L854" i="7"/>
  <c r="N854" i="7" s="1"/>
  <c r="J854" i="7"/>
  <c r="H854" i="7"/>
  <c r="G854" i="7"/>
  <c r="I854" i="7" s="1"/>
  <c r="M853" i="7"/>
  <c r="L853" i="7"/>
  <c r="N853" i="7" s="1"/>
  <c r="J853" i="7"/>
  <c r="H853" i="7"/>
  <c r="G853" i="7"/>
  <c r="M852" i="7"/>
  <c r="L852" i="7"/>
  <c r="N852" i="7" s="1"/>
  <c r="J852" i="7"/>
  <c r="H852" i="7"/>
  <c r="G852" i="7"/>
  <c r="I852" i="7" s="1"/>
  <c r="M851" i="7"/>
  <c r="L851" i="7"/>
  <c r="N851" i="7" s="1"/>
  <c r="J851" i="7"/>
  <c r="H851" i="7"/>
  <c r="G851" i="7"/>
  <c r="M850" i="7"/>
  <c r="L850" i="7"/>
  <c r="J850" i="7"/>
  <c r="H850" i="7"/>
  <c r="G850" i="7"/>
  <c r="N825" i="7"/>
  <c r="N824" i="7"/>
  <c r="N823" i="7"/>
  <c r="N822" i="7"/>
  <c r="I822" i="7"/>
  <c r="N821" i="7"/>
  <c r="I821" i="7"/>
  <c r="N820" i="7"/>
  <c r="I820" i="7"/>
  <c r="M819" i="7"/>
  <c r="L819" i="7"/>
  <c r="J819" i="7"/>
  <c r="H819" i="7"/>
  <c r="G819" i="7"/>
  <c r="N814" i="7"/>
  <c r="I814" i="7"/>
  <c r="N813" i="7"/>
  <c r="N812" i="7"/>
  <c r="N811" i="7"/>
  <c r="I811" i="7"/>
  <c r="N810" i="7"/>
  <c r="I810" i="7"/>
  <c r="N809" i="7"/>
  <c r="I809" i="7"/>
  <c r="M808" i="7"/>
  <c r="L808" i="7"/>
  <c r="J808" i="7"/>
  <c r="H808" i="7"/>
  <c r="G808" i="7"/>
  <c r="N803" i="7"/>
  <c r="N802" i="7"/>
  <c r="N801" i="7"/>
  <c r="N800" i="7"/>
  <c r="N799" i="7"/>
  <c r="I799" i="7"/>
  <c r="N798" i="7"/>
  <c r="I798" i="7"/>
  <c r="M797" i="7"/>
  <c r="L797" i="7"/>
  <c r="J797" i="7"/>
  <c r="H797" i="7"/>
  <c r="G797" i="7"/>
  <c r="N791" i="7"/>
  <c r="I791" i="7"/>
  <c r="N790" i="7"/>
  <c r="N789" i="7"/>
  <c r="N788" i="7"/>
  <c r="I788" i="7"/>
  <c r="N787" i="7"/>
  <c r="I787" i="7"/>
  <c r="N786" i="7"/>
  <c r="I786" i="7"/>
  <c r="M785" i="7"/>
  <c r="L785" i="7"/>
  <c r="J785" i="7"/>
  <c r="H785" i="7"/>
  <c r="G785" i="7"/>
  <c r="N781" i="7"/>
  <c r="I781" i="7"/>
  <c r="N780" i="7"/>
  <c r="N779" i="7"/>
  <c r="N778" i="7"/>
  <c r="I778" i="7"/>
  <c r="N777" i="7"/>
  <c r="I777" i="7"/>
  <c r="N776" i="7"/>
  <c r="I776" i="7"/>
  <c r="M775" i="7"/>
  <c r="L775" i="7"/>
  <c r="J775" i="7"/>
  <c r="H775" i="7"/>
  <c r="G775" i="7"/>
  <c r="N770" i="7"/>
  <c r="I770" i="7"/>
  <c r="N769" i="7"/>
  <c r="N768" i="7"/>
  <c r="N767" i="7"/>
  <c r="I767" i="7"/>
  <c r="N766" i="7"/>
  <c r="I766" i="7"/>
  <c r="N765" i="7"/>
  <c r="I765" i="7"/>
  <c r="M764" i="7"/>
  <c r="L764" i="7"/>
  <c r="J764" i="7"/>
  <c r="H764" i="7"/>
  <c r="G764" i="7"/>
  <c r="N760" i="7"/>
  <c r="I760" i="7"/>
  <c r="N759" i="7"/>
  <c r="N758" i="7"/>
  <c r="I758" i="7"/>
  <c r="N757" i="7"/>
  <c r="I757" i="7"/>
  <c r="N756" i="7"/>
  <c r="I756" i="7"/>
  <c r="N755" i="7"/>
  <c r="I755" i="7"/>
  <c r="M754" i="7"/>
  <c r="L754" i="7"/>
  <c r="J754" i="7"/>
  <c r="H754" i="7"/>
  <c r="G754" i="7"/>
  <c r="N750" i="7"/>
  <c r="I750" i="7"/>
  <c r="N749" i="7"/>
  <c r="N748" i="7"/>
  <c r="N747" i="7"/>
  <c r="I747" i="7"/>
  <c r="N746" i="7"/>
  <c r="I746" i="7"/>
  <c r="N745" i="7"/>
  <c r="I745" i="7"/>
  <c r="M744" i="7"/>
  <c r="L744" i="7"/>
  <c r="J744" i="7"/>
  <c r="H744" i="7"/>
  <c r="G744" i="7"/>
  <c r="N741" i="7"/>
  <c r="I741" i="7"/>
  <c r="N740" i="7"/>
  <c r="N739" i="7"/>
  <c r="N738" i="7"/>
  <c r="I738" i="7"/>
  <c r="N737" i="7"/>
  <c r="I737" i="7"/>
  <c r="N736" i="7"/>
  <c r="I736" i="7"/>
  <c r="M735" i="7"/>
  <c r="L735" i="7"/>
  <c r="J735" i="7"/>
  <c r="H735" i="7"/>
  <c r="G735" i="7"/>
  <c r="N731" i="7"/>
  <c r="I731" i="7"/>
  <c r="N730" i="7"/>
  <c r="N729" i="7"/>
  <c r="N728" i="7"/>
  <c r="I728" i="7"/>
  <c r="N727" i="7"/>
  <c r="I727" i="7"/>
  <c r="N726" i="7"/>
  <c r="I726" i="7"/>
  <c r="M725" i="7"/>
  <c r="L725" i="7"/>
  <c r="J725" i="7"/>
  <c r="H725" i="7"/>
  <c r="G725" i="7"/>
  <c r="N721" i="7"/>
  <c r="I721" i="7"/>
  <c r="N720" i="7"/>
  <c r="N719" i="7"/>
  <c r="N718" i="7"/>
  <c r="I718" i="7"/>
  <c r="N717" i="7"/>
  <c r="I717" i="7"/>
  <c r="N716" i="7"/>
  <c r="I716" i="7"/>
  <c r="M715" i="7"/>
  <c r="L715" i="7"/>
  <c r="J715" i="7"/>
  <c r="H715" i="7"/>
  <c r="G715" i="7"/>
  <c r="N711" i="7"/>
  <c r="N710" i="7"/>
  <c r="N709" i="7"/>
  <c r="N708" i="7"/>
  <c r="I708" i="7"/>
  <c r="N707" i="7"/>
  <c r="I707" i="7"/>
  <c r="N706" i="7"/>
  <c r="I706" i="7"/>
  <c r="M705" i="7"/>
  <c r="L705" i="7"/>
  <c r="J705" i="7"/>
  <c r="H705" i="7"/>
  <c r="G705" i="7"/>
  <c r="N674" i="7"/>
  <c r="N673" i="7"/>
  <c r="N672" i="7"/>
  <c r="N671" i="7"/>
  <c r="I671" i="7"/>
  <c r="N670" i="7"/>
  <c r="I670" i="7"/>
  <c r="N669" i="7"/>
  <c r="I669" i="7"/>
  <c r="M668" i="7"/>
  <c r="L668" i="7"/>
  <c r="J668" i="7"/>
  <c r="H668" i="7"/>
  <c r="G668" i="7"/>
  <c r="N655" i="7"/>
  <c r="I655" i="7"/>
  <c r="N654" i="7"/>
  <c r="I654" i="7"/>
  <c r="N653" i="7"/>
  <c r="I653" i="7"/>
  <c r="N652" i="7"/>
  <c r="I652" i="7"/>
  <c r="N651" i="7"/>
  <c r="I651" i="7"/>
  <c r="N650" i="7"/>
  <c r="I650" i="7"/>
  <c r="M649" i="7"/>
  <c r="L649" i="7"/>
  <c r="J649" i="7"/>
  <c r="H649" i="7"/>
  <c r="G649" i="7"/>
  <c r="M646" i="7"/>
  <c r="L646" i="7"/>
  <c r="J646" i="7"/>
  <c r="H646" i="7"/>
  <c r="G646" i="7"/>
  <c r="M645" i="7"/>
  <c r="L645" i="7"/>
  <c r="N645" i="7" s="1"/>
  <c r="J645" i="7"/>
  <c r="H645" i="7"/>
  <c r="G645" i="7"/>
  <c r="I645" i="7" s="1"/>
  <c r="M644" i="7"/>
  <c r="L644" i="7"/>
  <c r="N644" i="7" s="1"/>
  <c r="J644" i="7"/>
  <c r="H644" i="7"/>
  <c r="G644" i="7"/>
  <c r="M643" i="7"/>
  <c r="L643" i="7"/>
  <c r="J643" i="7"/>
  <c r="H643" i="7"/>
  <c r="G643" i="7"/>
  <c r="M642" i="7"/>
  <c r="L642" i="7"/>
  <c r="J642" i="7"/>
  <c r="H642" i="7"/>
  <c r="G642" i="7"/>
  <c r="M641" i="7"/>
  <c r="L641" i="7"/>
  <c r="J641" i="7"/>
  <c r="H641" i="7"/>
  <c r="G641" i="7"/>
  <c r="H221" i="7"/>
  <c r="G221" i="7"/>
  <c r="H231" i="7"/>
  <c r="G231" i="7"/>
  <c r="H580" i="7"/>
  <c r="G580" i="7"/>
  <c r="H593" i="7"/>
  <c r="G593" i="7"/>
  <c r="M593" i="7"/>
  <c r="L593" i="7"/>
  <c r="J593" i="7"/>
  <c r="M580" i="7"/>
  <c r="L580" i="7"/>
  <c r="J580" i="7"/>
  <c r="M231" i="7"/>
  <c r="L231" i="7"/>
  <c r="J231" i="7"/>
  <c r="M221" i="7"/>
  <c r="L221" i="7"/>
  <c r="J221" i="7"/>
  <c r="N637" i="7"/>
  <c r="I637" i="7"/>
  <c r="N636" i="7"/>
  <c r="I636" i="7"/>
  <c r="N635" i="7"/>
  <c r="I635" i="7"/>
  <c r="N634" i="7"/>
  <c r="I634" i="7"/>
  <c r="N633" i="7"/>
  <c r="I633" i="7"/>
  <c r="N632" i="7"/>
  <c r="I632" i="7"/>
  <c r="N629" i="7"/>
  <c r="I629" i="7"/>
  <c r="N628" i="7"/>
  <c r="I628" i="7"/>
  <c r="N627" i="7"/>
  <c r="I627" i="7"/>
  <c r="N626" i="7"/>
  <c r="I626" i="7"/>
  <c r="N625" i="7"/>
  <c r="I625" i="7"/>
  <c r="N624" i="7"/>
  <c r="I624" i="7"/>
  <c r="M621" i="7"/>
  <c r="I15" i="12" s="1"/>
  <c r="H621" i="7"/>
  <c r="H612" i="7" s="1"/>
  <c r="M620" i="7"/>
  <c r="H620" i="7"/>
  <c r="H611" i="7" s="1"/>
  <c r="M619" i="7"/>
  <c r="G15" i="12" s="1"/>
  <c r="H619" i="7"/>
  <c r="H610" i="7" s="1"/>
  <c r="M618" i="7"/>
  <c r="F15" i="12" s="1"/>
  <c r="H618" i="7"/>
  <c r="H609" i="7" s="1"/>
  <c r="M617" i="7"/>
  <c r="E15" i="12" s="1"/>
  <c r="H617" i="7"/>
  <c r="H608" i="7" s="1"/>
  <c r="M616" i="7"/>
  <c r="H616" i="7"/>
  <c r="H607" i="7" s="1"/>
  <c r="G616" i="7"/>
  <c r="G607" i="7" s="1"/>
  <c r="H572" i="7"/>
  <c r="G572" i="7"/>
  <c r="N599" i="7"/>
  <c r="N598" i="7"/>
  <c r="N597" i="7"/>
  <c r="N596" i="7"/>
  <c r="N595" i="7"/>
  <c r="I595" i="7"/>
  <c r="N594" i="7"/>
  <c r="I594" i="7"/>
  <c r="I190" i="7"/>
  <c r="N237" i="7"/>
  <c r="N236" i="7"/>
  <c r="N235" i="7"/>
  <c r="N234" i="7"/>
  <c r="N233" i="7"/>
  <c r="N232" i="7"/>
  <c r="N227" i="7"/>
  <c r="N226" i="7"/>
  <c r="N225" i="7"/>
  <c r="N224" i="7"/>
  <c r="N222" i="7"/>
  <c r="I222" i="7"/>
  <c r="K152" i="7"/>
  <c r="H129" i="7"/>
  <c r="G129" i="7"/>
  <c r="N171" i="7"/>
  <c r="N170" i="7"/>
  <c r="N169" i="7"/>
  <c r="I169" i="7"/>
  <c r="N168" i="7"/>
  <c r="N167" i="7"/>
  <c r="I167" i="7"/>
  <c r="N166" i="7"/>
  <c r="N164" i="7"/>
  <c r="N163" i="7"/>
  <c r="N162" i="7"/>
  <c r="N161" i="7"/>
  <c r="N160" i="7"/>
  <c r="N159" i="7"/>
  <c r="I159" i="7"/>
  <c r="N157" i="7"/>
  <c r="N156" i="7"/>
  <c r="N155" i="7"/>
  <c r="N154" i="7"/>
  <c r="N153" i="7"/>
  <c r="N152" i="7"/>
  <c r="I152" i="7"/>
  <c r="N150" i="7"/>
  <c r="N149" i="7"/>
  <c r="N148" i="7"/>
  <c r="N147" i="7"/>
  <c r="N146" i="7"/>
  <c r="N145" i="7"/>
  <c r="I145" i="7"/>
  <c r="N142" i="7"/>
  <c r="N141" i="7"/>
  <c r="N140" i="7"/>
  <c r="N139" i="7"/>
  <c r="N138" i="7"/>
  <c r="N137" i="7"/>
  <c r="I137" i="7"/>
  <c r="K113" i="7"/>
  <c r="N125" i="7"/>
  <c r="N124" i="7"/>
  <c r="N123" i="7"/>
  <c r="N122" i="7"/>
  <c r="N121" i="7"/>
  <c r="N120" i="7"/>
  <c r="N118" i="7"/>
  <c r="N117" i="7"/>
  <c r="N116" i="7"/>
  <c r="N115" i="7"/>
  <c r="N114" i="7"/>
  <c r="N113" i="7"/>
  <c r="I114" i="7"/>
  <c r="G105" i="7"/>
  <c r="N585" i="7"/>
  <c r="N584" i="7"/>
  <c r="N582" i="7"/>
  <c r="I586" i="7"/>
  <c r="I584" i="7"/>
  <c r="I583" i="7"/>
  <c r="I582" i="7"/>
  <c r="I581" i="7"/>
  <c r="N583" i="7"/>
  <c r="N586" i="7"/>
  <c r="N581" i="7"/>
  <c r="N186" i="7"/>
  <c r="N846" i="7"/>
  <c r="L840" i="7"/>
  <c r="N502" i="7"/>
  <c r="L500" i="7"/>
  <c r="K502" i="7"/>
  <c r="I186" i="7"/>
  <c r="G185" i="7"/>
  <c r="N833" i="7" l="1"/>
  <c r="K665" i="7"/>
  <c r="K187" i="7"/>
  <c r="G101" i="7"/>
  <c r="G97" i="7"/>
  <c r="K492" i="7"/>
  <c r="K188" i="7"/>
  <c r="K190" i="7"/>
  <c r="K185" i="7" s="1"/>
  <c r="K271" i="7"/>
  <c r="G99" i="7"/>
  <c r="G24" i="7" s="1"/>
  <c r="H100" i="7"/>
  <c r="H25" i="7" s="1"/>
  <c r="H566" i="7"/>
  <c r="H568" i="7"/>
  <c r="K272" i="7"/>
  <c r="K575" i="7"/>
  <c r="H98" i="7"/>
  <c r="H567" i="7"/>
  <c r="M607" i="7"/>
  <c r="M563" i="7" s="1"/>
  <c r="D15" i="12"/>
  <c r="D12" i="12" s="1"/>
  <c r="E15" i="14"/>
  <c r="E12" i="14" s="1"/>
  <c r="E16" i="18"/>
  <c r="F16" i="18"/>
  <c r="F15" i="14"/>
  <c r="G15" i="14"/>
  <c r="G12" i="14" s="1"/>
  <c r="G16" i="18"/>
  <c r="M611" i="7"/>
  <c r="M567" i="7" s="1"/>
  <c r="H15" i="12"/>
  <c r="I15" i="14"/>
  <c r="I16" i="18"/>
  <c r="G98" i="7"/>
  <c r="J100" i="7"/>
  <c r="J25" i="7" s="1"/>
  <c r="E5" i="13"/>
  <c r="E5" i="17"/>
  <c r="F5" i="13"/>
  <c r="F3" i="13" s="1"/>
  <c r="F5" i="17"/>
  <c r="J101" i="7"/>
  <c r="J26" i="7" s="1"/>
  <c r="F3" i="12"/>
  <c r="F24" i="12" s="1"/>
  <c r="I3" i="12"/>
  <c r="I24" i="12" s="1"/>
  <c r="G563" i="7"/>
  <c r="H563" i="7"/>
  <c r="G567" i="7"/>
  <c r="G565" i="7"/>
  <c r="J563" i="7"/>
  <c r="J565" i="7"/>
  <c r="J567" i="7"/>
  <c r="G568" i="7"/>
  <c r="G566" i="7"/>
  <c r="J564" i="7"/>
  <c r="J566" i="7"/>
  <c r="J568" i="7"/>
  <c r="G96" i="7"/>
  <c r="K270" i="7"/>
  <c r="K186" i="7"/>
  <c r="D4" i="11"/>
  <c r="D2" i="11" s="1"/>
  <c r="L97" i="7"/>
  <c r="L22" i="7" s="1"/>
  <c r="F4" i="11"/>
  <c r="F2" i="11" s="1"/>
  <c r="L99" i="7"/>
  <c r="H4" i="11"/>
  <c r="H2" i="11" s="1"/>
  <c r="L101" i="7"/>
  <c r="M98" i="7"/>
  <c r="M23" i="7" s="1"/>
  <c r="M100" i="7"/>
  <c r="M25" i="7" s="1"/>
  <c r="I30" i="7"/>
  <c r="H96" i="7"/>
  <c r="I109" i="7"/>
  <c r="G100" i="7"/>
  <c r="I100" i="7" s="1"/>
  <c r="C4" i="11"/>
  <c r="C2" i="11" s="1"/>
  <c r="L96" i="7"/>
  <c r="E4" i="11"/>
  <c r="E2" i="11" s="1"/>
  <c r="L98" i="7"/>
  <c r="N98" i="7" s="1"/>
  <c r="G4" i="11"/>
  <c r="G2" i="11" s="1"/>
  <c r="L100" i="7"/>
  <c r="M97" i="7"/>
  <c r="M99" i="7"/>
  <c r="M101" i="7"/>
  <c r="H97" i="7"/>
  <c r="I97" i="7" s="1"/>
  <c r="N840" i="7"/>
  <c r="K493" i="7"/>
  <c r="K662" i="7"/>
  <c r="N797" i="7"/>
  <c r="N775" i="7"/>
  <c r="K664" i="7"/>
  <c r="K663" i="7"/>
  <c r="K661" i="7"/>
  <c r="K660" i="7"/>
  <c r="I808" i="7"/>
  <c r="I797" i="7"/>
  <c r="N715" i="7"/>
  <c r="N735" i="7"/>
  <c r="N785" i="7"/>
  <c r="I785" i="7"/>
  <c r="I764" i="7"/>
  <c r="I754" i="7"/>
  <c r="N725" i="7"/>
  <c r="I705" i="7"/>
  <c r="I835" i="7"/>
  <c r="I301" i="7"/>
  <c r="N668" i="7"/>
  <c r="N641" i="7"/>
  <c r="N643" i="7"/>
  <c r="N649" i="7"/>
  <c r="N536" i="7"/>
  <c r="K495" i="7"/>
  <c r="K497" i="7"/>
  <c r="I870" i="7"/>
  <c r="I858" i="7"/>
  <c r="I649" i="7"/>
  <c r="M608" i="7"/>
  <c r="M564" i="7" s="1"/>
  <c r="M609" i="7"/>
  <c r="M565" i="7" s="1"/>
  <c r="M610" i="7"/>
  <c r="M566" i="7" s="1"/>
  <c r="M612" i="7"/>
  <c r="M568" i="7" s="1"/>
  <c r="C14" i="11"/>
  <c r="L607" i="7"/>
  <c r="L563" i="7" s="1"/>
  <c r="H14" i="11"/>
  <c r="L612" i="7"/>
  <c r="D14" i="11"/>
  <c r="D11" i="11" s="1"/>
  <c r="L608" i="7"/>
  <c r="L564" i="7" s="1"/>
  <c r="G608" i="7"/>
  <c r="G14" i="11"/>
  <c r="L611" i="7"/>
  <c r="F14" i="11"/>
  <c r="F11" i="11" s="1"/>
  <c r="L610" i="7"/>
  <c r="L566" i="7" s="1"/>
  <c r="E14" i="11"/>
  <c r="E11" i="11" s="1"/>
  <c r="L609" i="7"/>
  <c r="L565" i="7" s="1"/>
  <c r="N500" i="7"/>
  <c r="N593" i="7"/>
  <c r="I436" i="7"/>
  <c r="K494" i="7"/>
  <c r="K496" i="7"/>
  <c r="I573" i="7"/>
  <c r="N573" i="7"/>
  <c r="N577" i="7"/>
  <c r="K30" i="7"/>
  <c r="K32" i="7"/>
  <c r="K34" i="7"/>
  <c r="I549" i="7"/>
  <c r="I511" i="7"/>
  <c r="I500" i="7"/>
  <c r="N436" i="7"/>
  <c r="K31" i="7"/>
  <c r="K33" i="7"/>
  <c r="K35" i="7"/>
  <c r="I445" i="7"/>
  <c r="I418" i="7"/>
  <c r="H23" i="7"/>
  <c r="G571" i="7"/>
  <c r="G29" i="7"/>
  <c r="N31" i="7"/>
  <c r="I617" i="7"/>
  <c r="L491" i="7"/>
  <c r="J571" i="7"/>
  <c r="I572" i="7"/>
  <c r="N107" i="7"/>
  <c r="K840" i="7"/>
  <c r="I121" i="7"/>
  <c r="F12" i="14"/>
  <c r="K797" i="7"/>
  <c r="H75" i="7"/>
  <c r="I75" i="7" s="1"/>
  <c r="J615" i="7"/>
  <c r="M21" i="7"/>
  <c r="I113" i="7"/>
  <c r="K346" i="7"/>
  <c r="H108" i="7"/>
  <c r="H99" i="7" s="1"/>
  <c r="N231" i="7"/>
  <c r="J640" i="7"/>
  <c r="K725" i="7"/>
  <c r="K61" i="7"/>
  <c r="N30" i="7"/>
  <c r="H61" i="7"/>
  <c r="I61" i="7" s="1"/>
  <c r="H85" i="7"/>
  <c r="I85" i="7" s="1"/>
  <c r="N33" i="7"/>
  <c r="K849" i="7"/>
  <c r="K75" i="7"/>
  <c r="L29" i="7"/>
  <c r="C8" i="13"/>
  <c r="C6" i="13"/>
  <c r="H33" i="7"/>
  <c r="I33" i="7" s="1"/>
  <c r="H31" i="7"/>
  <c r="I31" i="7" s="1"/>
  <c r="N130" i="7"/>
  <c r="N109" i="7"/>
  <c r="M615" i="7"/>
  <c r="I619" i="7"/>
  <c r="N808" i="7"/>
  <c r="G849" i="7"/>
  <c r="J849" i="7"/>
  <c r="N850" i="7"/>
  <c r="I851" i="7"/>
  <c r="I853" i="7"/>
  <c r="H869" i="7"/>
  <c r="M869" i="7"/>
  <c r="N52" i="7"/>
  <c r="I65" i="7"/>
  <c r="I89" i="7"/>
  <c r="K617" i="7"/>
  <c r="K608" i="7" s="1"/>
  <c r="K564" i="7" s="1"/>
  <c r="K616" i="7"/>
  <c r="K607" i="7" s="1"/>
  <c r="K715" i="7"/>
  <c r="K744" i="7"/>
  <c r="K754" i="7"/>
  <c r="K418" i="7"/>
  <c r="K577" i="7"/>
  <c r="K568" i="7" s="1"/>
  <c r="K574" i="7"/>
  <c r="K593" i="7"/>
  <c r="I106" i="7"/>
  <c r="J104" i="7"/>
  <c r="I132" i="7"/>
  <c r="I130" i="7"/>
  <c r="I187" i="7"/>
  <c r="J491" i="7"/>
  <c r="H38" i="7"/>
  <c r="I38" i="7" s="1"/>
  <c r="L128" i="7"/>
  <c r="H128" i="7"/>
  <c r="N105" i="7"/>
  <c r="L615" i="7"/>
  <c r="J22" i="7"/>
  <c r="H849" i="7"/>
  <c r="M104" i="7"/>
  <c r="L104" i="7"/>
  <c r="N620" i="7"/>
  <c r="N110" i="7"/>
  <c r="N616" i="7"/>
  <c r="K105" i="7"/>
  <c r="N705" i="7"/>
  <c r="K572" i="7"/>
  <c r="M29" i="7"/>
  <c r="C5" i="15" s="1"/>
  <c r="N38" i="7"/>
  <c r="H26" i="7"/>
  <c r="N580" i="7"/>
  <c r="I593" i="7"/>
  <c r="G640" i="7"/>
  <c r="N646" i="7"/>
  <c r="N764" i="7"/>
  <c r="I871" i="7"/>
  <c r="K649" i="7"/>
  <c r="K705" i="7"/>
  <c r="K819" i="7"/>
  <c r="K511" i="7"/>
  <c r="K536" i="7"/>
  <c r="K580" i="7"/>
  <c r="J185" i="7"/>
  <c r="F12" i="18"/>
  <c r="H52" i="7"/>
  <c r="I52" i="7" s="1"/>
  <c r="K38" i="7"/>
  <c r="B5" i="11"/>
  <c r="C16" i="12"/>
  <c r="G21" i="12"/>
  <c r="I21" i="12"/>
  <c r="E21" i="12"/>
  <c r="C10" i="13"/>
  <c r="B6" i="11"/>
  <c r="F21" i="12"/>
  <c r="H21" i="12"/>
  <c r="J869" i="7"/>
  <c r="I837" i="7"/>
  <c r="B13" i="11"/>
  <c r="F22" i="12"/>
  <c r="H22" i="12"/>
  <c r="D22" i="12"/>
  <c r="J659" i="7"/>
  <c r="G22" i="12"/>
  <c r="I22" i="12"/>
  <c r="E22" i="12"/>
  <c r="G659" i="7"/>
  <c r="H659" i="7"/>
  <c r="K764" i="7"/>
  <c r="I646" i="7"/>
  <c r="N617" i="7"/>
  <c r="N621" i="7"/>
  <c r="E12" i="18"/>
  <c r="G12" i="18"/>
  <c r="I12" i="18"/>
  <c r="K549" i="7"/>
  <c r="N493" i="7"/>
  <c r="H491" i="7"/>
  <c r="G268" i="7"/>
  <c r="M185" i="7"/>
  <c r="C6" i="15" s="1"/>
  <c r="K130" i="7"/>
  <c r="K97" i="7" s="1"/>
  <c r="K132" i="7"/>
  <c r="K133" i="7"/>
  <c r="F3" i="17"/>
  <c r="J29" i="7"/>
  <c r="J24" i="7"/>
  <c r="C25" i="12"/>
  <c r="I35" i="12" s="1"/>
  <c r="I612" i="7"/>
  <c r="J606" i="7"/>
  <c r="N619" i="7"/>
  <c r="L869" i="7"/>
  <c r="N869" i="7" s="1"/>
  <c r="K500" i="7"/>
  <c r="I621" i="7"/>
  <c r="N618" i="7"/>
  <c r="I231" i="7"/>
  <c r="I221" i="7"/>
  <c r="I641" i="7"/>
  <c r="H640" i="7"/>
  <c r="N642" i="7"/>
  <c r="I643" i="7"/>
  <c r="I644" i="7"/>
  <c r="K640" i="7"/>
  <c r="I668" i="7"/>
  <c r="I715" i="7"/>
  <c r="I878" i="7"/>
  <c r="N337" i="7"/>
  <c r="I346" i="7"/>
  <c r="N445" i="7"/>
  <c r="N463" i="7"/>
  <c r="N511" i="7"/>
  <c r="N549" i="7"/>
  <c r="K668" i="7"/>
  <c r="K785" i="7"/>
  <c r="K808" i="7"/>
  <c r="K858" i="7"/>
  <c r="K869" i="7"/>
  <c r="N61" i="7"/>
  <c r="N75" i="7"/>
  <c r="K52" i="7"/>
  <c r="K107" i="7"/>
  <c r="K109" i="7"/>
  <c r="K337" i="7"/>
  <c r="K445" i="7"/>
  <c r="I495" i="7"/>
  <c r="I493" i="7"/>
  <c r="H571" i="7"/>
  <c r="M571" i="7"/>
  <c r="N574" i="7"/>
  <c r="J831" i="7"/>
  <c r="L831" i="7"/>
  <c r="H337" i="7"/>
  <c r="I337" i="7" s="1"/>
  <c r="K129" i="7"/>
  <c r="M659" i="7"/>
  <c r="C3" i="16" s="1"/>
  <c r="C16" i="14"/>
  <c r="I610" i="7"/>
  <c r="I611" i="7"/>
  <c r="C14" i="12"/>
  <c r="H2" i="12"/>
  <c r="C9" i="13"/>
  <c r="I129" i="7"/>
  <c r="G128" i="7"/>
  <c r="N106" i="7"/>
  <c r="J128" i="7"/>
  <c r="N131" i="7"/>
  <c r="G831" i="7"/>
  <c r="I832" i="7"/>
  <c r="N132" i="7"/>
  <c r="L24" i="7"/>
  <c r="N134" i="7"/>
  <c r="L26" i="7"/>
  <c r="N26" i="7" s="1"/>
  <c r="M128" i="7"/>
  <c r="N572" i="7"/>
  <c r="H833" i="7"/>
  <c r="I833" i="7" s="1"/>
  <c r="I842" i="7"/>
  <c r="D21" i="12"/>
  <c r="C5" i="12"/>
  <c r="D28" i="12"/>
  <c r="C28" i="12" s="1"/>
  <c r="C9" i="12"/>
  <c r="M640" i="7"/>
  <c r="C4" i="16" s="1"/>
  <c r="B7" i="11"/>
  <c r="I620" i="7"/>
  <c r="N129" i="7"/>
  <c r="M849" i="7"/>
  <c r="H615" i="7"/>
  <c r="C7" i="12"/>
  <c r="N133" i="7"/>
  <c r="L640" i="7"/>
  <c r="L571" i="7"/>
  <c r="K221" i="7"/>
  <c r="N108" i="7"/>
  <c r="L268" i="7"/>
  <c r="G869" i="7"/>
  <c r="I869" i="7" s="1"/>
  <c r="G104" i="7"/>
  <c r="I492" i="7"/>
  <c r="N662" i="7"/>
  <c r="H463" i="7"/>
  <c r="I463" i="7" s="1"/>
  <c r="K831" i="7"/>
  <c r="M26" i="7"/>
  <c r="I574" i="7"/>
  <c r="I660" i="7"/>
  <c r="C6" i="12"/>
  <c r="H185" i="7"/>
  <c r="I185" i="7" s="1"/>
  <c r="N221" i="7"/>
  <c r="I580" i="7"/>
  <c r="I642" i="7"/>
  <c r="I725" i="7"/>
  <c r="I735" i="7"/>
  <c r="I744" i="7"/>
  <c r="N754" i="7"/>
  <c r="I775" i="7"/>
  <c r="I819" i="7"/>
  <c r="N819" i="7"/>
  <c r="I850" i="7"/>
  <c r="N858" i="7"/>
  <c r="N871" i="7"/>
  <c r="I872" i="7"/>
  <c r="N346" i="7"/>
  <c r="N418" i="7"/>
  <c r="I536" i="7"/>
  <c r="K735" i="7"/>
  <c r="K775" i="7"/>
  <c r="K878" i="7"/>
  <c r="N85" i="7"/>
  <c r="K85" i="7"/>
  <c r="K108" i="7"/>
  <c r="K99" i="7" s="1"/>
  <c r="K131" i="7"/>
  <c r="K436" i="7"/>
  <c r="K463" i="7"/>
  <c r="J23" i="7"/>
  <c r="N495" i="7"/>
  <c r="I577" i="7"/>
  <c r="I662" i="7"/>
  <c r="L659" i="7"/>
  <c r="M831" i="7"/>
  <c r="C7" i="16" s="1"/>
  <c r="C11" i="11"/>
  <c r="G11" i="11"/>
  <c r="B15" i="11"/>
  <c r="C14" i="14"/>
  <c r="E24" i="12"/>
  <c r="N272" i="7"/>
  <c r="M268" i="7"/>
  <c r="C3" i="15" s="1"/>
  <c r="G615" i="7"/>
  <c r="I110" i="7"/>
  <c r="I107" i="7"/>
  <c r="N492" i="7"/>
  <c r="M491" i="7"/>
  <c r="C7" i="15" s="1"/>
  <c r="C13" i="12"/>
  <c r="G491" i="7"/>
  <c r="I616" i="7"/>
  <c r="N744" i="7"/>
  <c r="L849" i="7"/>
  <c r="N849" i="7" s="1"/>
  <c r="K620" i="7"/>
  <c r="K611" i="7" s="1"/>
  <c r="K567" i="7" s="1"/>
  <c r="K231" i="7"/>
  <c r="J268" i="7"/>
  <c r="H24" i="12"/>
  <c r="F12" i="12"/>
  <c r="H23" i="12"/>
  <c r="I12" i="14"/>
  <c r="I105" i="7"/>
  <c r="I618" i="7"/>
  <c r="N187" i="7"/>
  <c r="L185" i="7"/>
  <c r="I269" i="7"/>
  <c r="H834" i="7"/>
  <c r="H565" i="7" s="1"/>
  <c r="H840" i="7"/>
  <c r="I840" i="7" s="1"/>
  <c r="I270" i="7"/>
  <c r="B9" i="11"/>
  <c r="H11" i="11"/>
  <c r="E12" i="12"/>
  <c r="I12" i="12"/>
  <c r="C13" i="14"/>
  <c r="C26" i="12"/>
  <c r="B12" i="11"/>
  <c r="K566" i="7" l="1"/>
  <c r="H16" i="18"/>
  <c r="H12" i="18" s="1"/>
  <c r="H15" i="14"/>
  <c r="H12" i="14" s="1"/>
  <c r="D16" i="18"/>
  <c r="D12" i="18" s="1"/>
  <c r="C12" i="18" s="1"/>
  <c r="D15" i="14"/>
  <c r="B4" i="11"/>
  <c r="C5" i="13"/>
  <c r="I2" i="12"/>
  <c r="C5" i="17"/>
  <c r="K100" i="7"/>
  <c r="J16" i="7"/>
  <c r="K565" i="7"/>
  <c r="K563" i="7"/>
  <c r="H564" i="7"/>
  <c r="N611" i="7"/>
  <c r="L567" i="7"/>
  <c r="N567" i="7" s="1"/>
  <c r="I608" i="7"/>
  <c r="G564" i="7"/>
  <c r="G562" i="7" s="1"/>
  <c r="N612" i="7"/>
  <c r="L568" i="7"/>
  <c r="K96" i="7"/>
  <c r="K21" i="7" s="1"/>
  <c r="G15" i="7"/>
  <c r="K98" i="7"/>
  <c r="K23" i="7" s="1"/>
  <c r="I491" i="7"/>
  <c r="N640" i="7"/>
  <c r="K25" i="7"/>
  <c r="I640" i="7"/>
  <c r="K491" i="7"/>
  <c r="H831" i="7"/>
  <c r="I831" i="7" s="1"/>
  <c r="N571" i="7"/>
  <c r="N607" i="7"/>
  <c r="N608" i="7"/>
  <c r="I849" i="7"/>
  <c r="H16" i="7"/>
  <c r="I108" i="7"/>
  <c r="N565" i="7"/>
  <c r="N128" i="7"/>
  <c r="G22" i="7"/>
  <c r="N96" i="7"/>
  <c r="H95" i="7"/>
  <c r="K571" i="7"/>
  <c r="N104" i="7"/>
  <c r="M16" i="7"/>
  <c r="N615" i="7"/>
  <c r="L606" i="7"/>
  <c r="I659" i="7"/>
  <c r="I571" i="7"/>
  <c r="B14" i="11"/>
  <c r="L23" i="7"/>
  <c r="N23" i="7" s="1"/>
  <c r="I566" i="7"/>
  <c r="I568" i="7"/>
  <c r="N185" i="7"/>
  <c r="I567" i="7"/>
  <c r="K128" i="7"/>
  <c r="I128" i="7"/>
  <c r="H29" i="7"/>
  <c r="I29" i="7" s="1"/>
  <c r="I615" i="7"/>
  <c r="L21" i="7"/>
  <c r="L12" i="7" s="1"/>
  <c r="J14" i="7"/>
  <c r="J13" i="7"/>
  <c r="H104" i="7"/>
  <c r="I104" i="7" s="1"/>
  <c r="I99" i="7"/>
  <c r="G25" i="7"/>
  <c r="I25" i="7" s="1"/>
  <c r="N29" i="7"/>
  <c r="H35" i="12"/>
  <c r="E35" i="12"/>
  <c r="C7" i="13"/>
  <c r="J15" i="7"/>
  <c r="D3" i="17"/>
  <c r="C22" i="12"/>
  <c r="G32" i="12" s="1"/>
  <c r="J562" i="7"/>
  <c r="N659" i="7"/>
  <c r="K659" i="7"/>
  <c r="G35" i="12"/>
  <c r="D35" i="12"/>
  <c r="F35" i="12"/>
  <c r="N566" i="7"/>
  <c r="L13" i="7"/>
  <c r="C6" i="16"/>
  <c r="M12" i="7"/>
  <c r="B3" i="11"/>
  <c r="E3" i="17"/>
  <c r="N97" i="7"/>
  <c r="K24" i="7"/>
  <c r="K15" i="7" s="1"/>
  <c r="K104" i="7"/>
  <c r="C4" i="13"/>
  <c r="D3" i="13"/>
  <c r="M14" i="7"/>
  <c r="M22" i="7"/>
  <c r="K26" i="7"/>
  <c r="K17" i="7" s="1"/>
  <c r="B2" i="11"/>
  <c r="N564" i="7"/>
  <c r="L15" i="7"/>
  <c r="N610" i="7"/>
  <c r="N609" i="7"/>
  <c r="M606" i="7"/>
  <c r="C5" i="16" s="1"/>
  <c r="F23" i="12"/>
  <c r="F20" i="12" s="1"/>
  <c r="D38" i="12"/>
  <c r="H38" i="12"/>
  <c r="G38" i="12"/>
  <c r="F38" i="12"/>
  <c r="I38" i="12"/>
  <c r="E38" i="12"/>
  <c r="L25" i="7"/>
  <c r="N100" i="7"/>
  <c r="C21" i="12"/>
  <c r="D31" i="12" s="1"/>
  <c r="J95" i="7"/>
  <c r="J21" i="7"/>
  <c r="J12" i="7" s="1"/>
  <c r="B11" i="11"/>
  <c r="B20" i="11" s="1"/>
  <c r="N831" i="7"/>
  <c r="L95" i="7"/>
  <c r="F2" i="12"/>
  <c r="N101" i="7"/>
  <c r="N563" i="7"/>
  <c r="H20" i="12"/>
  <c r="I563" i="7"/>
  <c r="G12" i="12"/>
  <c r="G23" i="12"/>
  <c r="D24" i="12"/>
  <c r="D2" i="12"/>
  <c r="C3" i="12"/>
  <c r="K268" i="7"/>
  <c r="K22" i="7"/>
  <c r="I272" i="7"/>
  <c r="H24" i="7"/>
  <c r="K615" i="7"/>
  <c r="M24" i="7"/>
  <c r="N99" i="7"/>
  <c r="I98" i="7"/>
  <c r="G23" i="7"/>
  <c r="G26" i="7"/>
  <c r="I101" i="7"/>
  <c r="N268" i="7"/>
  <c r="E23" i="12"/>
  <c r="H12" i="12"/>
  <c r="D23" i="12"/>
  <c r="C4" i="12"/>
  <c r="E2" i="12"/>
  <c r="I23" i="12"/>
  <c r="M95" i="7"/>
  <c r="C4" i="15" s="1"/>
  <c r="D12" i="14"/>
  <c r="C12" i="14" s="1"/>
  <c r="I609" i="7"/>
  <c r="H606" i="7"/>
  <c r="G95" i="7"/>
  <c r="G21" i="7"/>
  <c r="I96" i="7"/>
  <c r="K29" i="7"/>
  <c r="G2" i="12"/>
  <c r="G24" i="12"/>
  <c r="I607" i="7"/>
  <c r="G606" i="7"/>
  <c r="H22" i="7"/>
  <c r="H268" i="7"/>
  <c r="I268" i="7" s="1"/>
  <c r="E3" i="13"/>
  <c r="C15" i="12"/>
  <c r="J17" i="7"/>
  <c r="I834" i="7"/>
  <c r="H17" i="7"/>
  <c r="N491" i="7"/>
  <c r="H21" i="7"/>
  <c r="G36" i="12"/>
  <c r="H36" i="12"/>
  <c r="I36" i="12"/>
  <c r="E36" i="12"/>
  <c r="F36" i="12"/>
  <c r="D36" i="12"/>
  <c r="C15" i="14" l="1"/>
  <c r="C16" i="18"/>
  <c r="L562" i="7"/>
  <c r="L17" i="7"/>
  <c r="L14" i="7"/>
  <c r="N14" i="7" s="1"/>
  <c r="I95" i="7"/>
  <c r="K14" i="7"/>
  <c r="C35" i="12"/>
  <c r="K95" i="7"/>
  <c r="G13" i="7"/>
  <c r="G16" i="7"/>
  <c r="I16" i="7" s="1"/>
  <c r="N21" i="7"/>
  <c r="I564" i="7"/>
  <c r="E32" i="12"/>
  <c r="F32" i="12"/>
  <c r="D32" i="12"/>
  <c r="H32" i="12"/>
  <c r="I32" i="12"/>
  <c r="C3" i="17"/>
  <c r="M562" i="7"/>
  <c r="K13" i="7"/>
  <c r="M17" i="7"/>
  <c r="N12" i="7"/>
  <c r="C2" i="16"/>
  <c r="M13" i="7"/>
  <c r="N13" i="7" s="1"/>
  <c r="C3" i="13"/>
  <c r="N22" i="7"/>
  <c r="J11" i="7"/>
  <c r="M20" i="7"/>
  <c r="J20" i="7"/>
  <c r="I606" i="7"/>
  <c r="N606" i="7"/>
  <c r="N568" i="7"/>
  <c r="C36" i="12"/>
  <c r="C12" i="12"/>
  <c r="C42" i="12" s="1"/>
  <c r="C38" i="12"/>
  <c r="L16" i="7"/>
  <c r="N16" i="7" s="1"/>
  <c r="L20" i="7"/>
  <c r="N25" i="7"/>
  <c r="H31" i="12"/>
  <c r="I31" i="12"/>
  <c r="F31" i="12"/>
  <c r="E31" i="12"/>
  <c r="G31" i="12"/>
  <c r="H13" i="7"/>
  <c r="I22" i="7"/>
  <c r="K20" i="7"/>
  <c r="K12" i="7"/>
  <c r="G20" i="7"/>
  <c r="I21" i="7"/>
  <c r="G12" i="7"/>
  <c r="H14" i="7"/>
  <c r="H562" i="7"/>
  <c r="I562" i="7" s="1"/>
  <c r="I565" i="7"/>
  <c r="C2" i="15"/>
  <c r="N95" i="7"/>
  <c r="G14" i="7"/>
  <c r="I23" i="7"/>
  <c r="H15" i="7"/>
  <c r="I15" i="7" s="1"/>
  <c r="I24" i="7"/>
  <c r="C24" i="12"/>
  <c r="H12" i="7"/>
  <c r="H20" i="7"/>
  <c r="I20" i="12"/>
  <c r="C23" i="12"/>
  <c r="E33" i="12" s="1"/>
  <c r="D20" i="12"/>
  <c r="E20" i="12"/>
  <c r="G17" i="7"/>
  <c r="I17" i="7" s="1"/>
  <c r="I26" i="7"/>
  <c r="M15" i="7"/>
  <c r="N15" i="7" s="1"/>
  <c r="N24" i="7"/>
  <c r="K606" i="7"/>
  <c r="G20" i="12"/>
  <c r="C2" i="12"/>
  <c r="C41" i="12" s="1"/>
  <c r="B19" i="11" l="1"/>
  <c r="C9" i="15"/>
  <c r="C9" i="16"/>
  <c r="C20" i="14"/>
  <c r="C12" i="13"/>
  <c r="C32" i="12"/>
  <c r="N17" i="7"/>
  <c r="N562" i="7"/>
  <c r="I13" i="7"/>
  <c r="N20" i="7"/>
  <c r="G33" i="12"/>
  <c r="C31" i="12"/>
  <c r="L11" i="7"/>
  <c r="M11" i="7"/>
  <c r="H11" i="7"/>
  <c r="I14" i="7"/>
  <c r="H33" i="12"/>
  <c r="F33" i="12"/>
  <c r="E34" i="12"/>
  <c r="I34" i="12"/>
  <c r="H34" i="12"/>
  <c r="G34" i="12"/>
  <c r="F34" i="12"/>
  <c r="D34" i="12"/>
  <c r="I12" i="7"/>
  <c r="G11" i="7"/>
  <c r="C20" i="12"/>
  <c r="E30" i="12" s="1"/>
  <c r="I33" i="12"/>
  <c r="I20" i="7"/>
  <c r="K16" i="7"/>
  <c r="K11" i="7" s="1"/>
  <c r="K562" i="7"/>
  <c r="D33" i="12"/>
  <c r="C33" i="12" l="1"/>
  <c r="C34" i="12"/>
  <c r="N11" i="7"/>
  <c r="I11" i="7"/>
  <c r="D30" i="12"/>
  <c r="H30" i="12"/>
  <c r="F30" i="12"/>
  <c r="G30" i="12"/>
  <c r="I30" i="12"/>
  <c r="C30" i="12" l="1"/>
  <c r="B3" i="19"/>
  <c r="B2" i="19" s="1"/>
</calcChain>
</file>

<file path=xl/sharedStrings.xml><?xml version="1.0" encoding="utf-8"?>
<sst xmlns="http://schemas.openxmlformats.org/spreadsheetml/2006/main" count="1983" uniqueCount="542">
  <si>
    <t>Stan zaawansowania prac,                                                                          zrealizowany zakres rzeczowy - wskaźniki ilościowe</t>
  </si>
  <si>
    <t>1.</t>
  </si>
  <si>
    <t>I.</t>
  </si>
  <si>
    <t>A</t>
  </si>
  <si>
    <t>w zł</t>
  </si>
  <si>
    <t>Lp.</t>
  </si>
  <si>
    <t>Źródło</t>
  </si>
  <si>
    <t>- środki wymienione w art. 5 ust. 1 pkt 2 i 3 u.f.p.</t>
  </si>
  <si>
    <t>- kredyty, pożyczki, obligacje</t>
  </si>
  <si>
    <t>Program:</t>
  </si>
  <si>
    <t>Priorytet:</t>
  </si>
  <si>
    <t>Działanie:</t>
  </si>
  <si>
    <t>Projekt:</t>
  </si>
  <si>
    <t>II.</t>
  </si>
  <si>
    <t>Plan                       na początek                       roku</t>
  </si>
  <si>
    <t>- środki własne miasta</t>
  </si>
  <si>
    <t>Miasto Kielce</t>
  </si>
  <si>
    <t>Wykaz programów, projektów lub zadań związanych z programami realizowanymi z udziałem środków,</t>
  </si>
  <si>
    <t>o których mowa w art. 5 ust. 1 pkt 2 i 3 ufp</t>
  </si>
  <si>
    <t>Nazwa i cel przedsięwzięcia</t>
  </si>
  <si>
    <t>Ogółem przedsięwzięcia:</t>
  </si>
  <si>
    <t>Ogółem przedsięwzięcia bieżące:</t>
  </si>
  <si>
    <t>- środki inne</t>
  </si>
  <si>
    <t>Cel:</t>
  </si>
  <si>
    <t>Łączne nakłady finansowe</t>
  </si>
  <si>
    <t>Przewidywane nakłady i źródła finansowania</t>
  </si>
  <si>
    <t>Okres                 realizacji</t>
  </si>
  <si>
    <t>Ogółem przedsięwzięcia majątkowe:</t>
  </si>
  <si>
    <t>Wartość przedsięwzięcia:</t>
  </si>
  <si>
    <t>Dział           Rozdział</t>
  </si>
  <si>
    <t>Zmiany dokonane w trakcie roku budżetowego</t>
  </si>
  <si>
    <t>10</t>
  </si>
  <si>
    <t>1</t>
  </si>
  <si>
    <t>2</t>
  </si>
  <si>
    <t>3</t>
  </si>
  <si>
    <t>4</t>
  </si>
  <si>
    <t>5</t>
  </si>
  <si>
    <t>6</t>
  </si>
  <si>
    <t>7</t>
  </si>
  <si>
    <t>8</t>
  </si>
  <si>
    <t>9</t>
  </si>
  <si>
    <t>11</t>
  </si>
  <si>
    <t>12</t>
  </si>
  <si>
    <t>13</t>
  </si>
  <si>
    <t>14</t>
  </si>
  <si>
    <t>- kredyty, pożyczki i obligacje pozaprojektowe</t>
  </si>
  <si>
    <t>- środki własne miasta pozaprojektowe</t>
  </si>
  <si>
    <t>Stopień realizacji   projektów         %                 7:6</t>
  </si>
  <si>
    <t>Stopień realizacji   projektów   %               12:11</t>
  </si>
  <si>
    <t>KIELECKI PARK TECHNOLOGICZNY</t>
  </si>
  <si>
    <t>Program Operacyjny Innowacyjna Gospodarka</t>
  </si>
  <si>
    <t>2.</t>
  </si>
  <si>
    <t>2011   2013</t>
  </si>
  <si>
    <t>710  71095</t>
  </si>
  <si>
    <t>852  85219</t>
  </si>
  <si>
    <t>853  85395</t>
  </si>
  <si>
    <t>Program Operacyjny Kapitał Ludzki</t>
  </si>
  <si>
    <t>852   85201</t>
  </si>
  <si>
    <t>852  85204</t>
  </si>
  <si>
    <t>852  85214</t>
  </si>
  <si>
    <t>2008  2011</t>
  </si>
  <si>
    <t>3.</t>
  </si>
  <si>
    <t>MIEJSKI URZAD PRACY</t>
  </si>
  <si>
    <t>2010  2012</t>
  </si>
  <si>
    <t>2011  2012</t>
  </si>
  <si>
    <t>4.</t>
  </si>
  <si>
    <t>WYDZIAŁ EDUKACJI, KULTURY I SPORTU</t>
  </si>
  <si>
    <t>Priorytet VII: Promocja integracji społecznej</t>
  </si>
  <si>
    <t>gospodarki</t>
  </si>
  <si>
    <t>Priorytet VIII: Społeczeństwo informacyjne - zwiększenie innowacyjności</t>
  </si>
  <si>
    <t>Działanie 8.3: Przeciwdziałanie wykluczeniu cyfrowemu e-inclusion</t>
  </si>
  <si>
    <t>Przeciwdziałanie wykluczeniu cyfrowemu osób dotkniętych ubóstwem</t>
  </si>
  <si>
    <t>Działanie 7.1: Rozwój i upowszechnienie aktywnej integracji</t>
  </si>
  <si>
    <t xml:space="preserve">Zapewnienie równego dostępu do zatrudnienia osobom zagrożonym </t>
  </si>
  <si>
    <t xml:space="preserve">wykluczeniem społecznym oraz dyskryminowanym na rynku pracy, </t>
  </si>
  <si>
    <t>a także podwyższenie ich umiejętności życiowych, społecznych</t>
  </si>
  <si>
    <t>i zawodowych</t>
  </si>
  <si>
    <t xml:space="preserve">Działanie 6.1: Poprawa dostępu do zatrudnienia oraz wspieranie </t>
  </si>
  <si>
    <t>aktywności zawodowej w regionie</t>
  </si>
  <si>
    <t xml:space="preserve">Upowszechnienie pośrednictwa pracy i poradnictwa zawodowego </t>
  </si>
  <si>
    <t>w regionie poprzez dofinansowanie zatrudnienia doradców zawodowych</t>
  </si>
  <si>
    <t>i pośredników pracy</t>
  </si>
  <si>
    <t>Priorytet IX: Rozwój wykształcenia i kompetencji w regionach</t>
  </si>
  <si>
    <t>5.</t>
  </si>
  <si>
    <t>6.</t>
  </si>
  <si>
    <t>Działanie 9.2: Podniesienie atrakcyjności i jakości szkolnictwa zawodowego</t>
  </si>
  <si>
    <t>7.</t>
  </si>
  <si>
    <t>8.</t>
  </si>
  <si>
    <t>9.</t>
  </si>
  <si>
    <t>10.</t>
  </si>
  <si>
    <t>11.</t>
  </si>
  <si>
    <t>Działanie 9.4: Wysoko wykwalifikowane kadry systemu oświaty</t>
  </si>
  <si>
    <t>12.</t>
  </si>
  <si>
    <t>13.</t>
  </si>
  <si>
    <t>14.</t>
  </si>
  <si>
    <t>Program Uczenie Się Przez Całe Życie</t>
  </si>
  <si>
    <t>Comenius</t>
  </si>
  <si>
    <t>Partnerski Projekt Comeniusa</t>
  </si>
  <si>
    <t>15.</t>
  </si>
  <si>
    <t>16.</t>
  </si>
  <si>
    <t>17.</t>
  </si>
  <si>
    <t>18.</t>
  </si>
  <si>
    <t>19.</t>
  </si>
  <si>
    <t>Leonardo Da Vinci</t>
  </si>
  <si>
    <t>Projekt Mobilności Leonardo Da Vinci</t>
  </si>
  <si>
    <t>Regionalny Program Operacyjny Województwa Świętokrzyskiego</t>
  </si>
  <si>
    <t>Oś Priorytetowa 2: Wsparcie innowacyjności, budowa społeczeństwa</t>
  </si>
  <si>
    <t>informacyjnego oraz wzrost potencjału inwestycyjnego regionu</t>
  </si>
  <si>
    <t>WYDZIAŁ PROJEKTÓW STRUKTURALNYCH I STRATEGII MIASTA</t>
  </si>
  <si>
    <t>Program Operacyjny Rozwój Polski Wschodniej</t>
  </si>
  <si>
    <t>Oś Priorytetowa 3: Wojewódzkie ośrodki wzrostu</t>
  </si>
  <si>
    <t>Działanie 3.1: Systemy miejskiego transportu zbiorowego</t>
  </si>
  <si>
    <t>600  60095</t>
  </si>
  <si>
    <t>Priorytet I: Nowoczesna Gospodarka</t>
  </si>
  <si>
    <t>Promocja i Współpraca, Komponent Promocja</t>
  </si>
  <si>
    <t xml:space="preserve">Stworzenie sieci współpracy pomiędzy regionami Polski Wschodniej dla </t>
  </si>
  <si>
    <t xml:space="preserve">wzmocnienia konkurencyjności i innowacyjności regionalnej gospodarki </t>
  </si>
  <si>
    <t xml:space="preserve">poprzez standaryzację obsługi inwestora, stałą współpracę i wymianę </t>
  </si>
  <si>
    <t xml:space="preserve">doświadczeń, wymianę informacji, w tym szczególnie o terenach </t>
  </si>
  <si>
    <t>inwestycyjnych, wspólną bazę terenów inwestycyjnych</t>
  </si>
  <si>
    <t>750  75075</t>
  </si>
  <si>
    <t>Oś Priorytetowa 6: Wzmocnienie ośrodków miejskich i rewitalizacja</t>
  </si>
  <si>
    <t>małych miast</t>
  </si>
  <si>
    <t>wzrostu</t>
  </si>
  <si>
    <t xml:space="preserve">Promocja projektu, mającego na celu zwiększenie atrakcyjności </t>
  </si>
  <si>
    <t>społeczno-gospodarczej i przestrzennej Kielc oraz zapewnienie skute-</t>
  </si>
  <si>
    <t>cznego pełnienia przez miasto funkcji regionalnego ośrodka metropoli-</t>
  </si>
  <si>
    <t xml:space="preserve">talnego. Dzięki jego realizacji nastąpi poprawa estetyki rewitalizowanego </t>
  </si>
  <si>
    <t>terenu, co będzie miało wpływ na jakość życia mieszkańców</t>
  </si>
  <si>
    <t>Promocja projektu, majacego na celu zwiekszenie konkurencyjności re-</t>
  </si>
  <si>
    <t>gionu oraz rozwój funkcji metropolitalnych miasta Kielce poprzez popra-</t>
  </si>
  <si>
    <t>wę jakości infrastruktury drogowej i transportu publicznego w mieście oraz</t>
  </si>
  <si>
    <t>stworzenie przyjaznej mieszkańcom i środowisku komunikacji publicznej</t>
  </si>
  <si>
    <t>ZAKŁAD OBSŁUGI I INFORMATYKI URZĘDU MIASTA</t>
  </si>
  <si>
    <t>Działanie 2.2: Budowa infrastruktury społeczeństwa informacyjnego</t>
  </si>
  <si>
    <t xml:space="preserve">Rozbudowa lokalnej infrastruktury społeczeństwa informacyjnego w </t>
  </si>
  <si>
    <t xml:space="preserve">formie budowy miejskiej sieci światłowodowej w latach 2010-2012 dla </t>
  </si>
  <si>
    <t>jednostek sektora publicznego, zapewniającej bezpieczny internet szero-</t>
  </si>
  <si>
    <t>kopasmowy i wyrównanie dysproporcji w zakresie dostępu do internetu,</t>
  </si>
  <si>
    <t>a także umożliwiającej wykorzystanie nowoczesnych technologii</t>
  </si>
  <si>
    <t>2007  2012</t>
  </si>
  <si>
    <t>750  75023</t>
  </si>
  <si>
    <t xml:space="preserve">Ulepszona wymiana danych, lepsza komunikacja na wielu szczeblach </t>
  </si>
  <si>
    <t xml:space="preserve">administracji, szybki dostęp o każdej porze do serwisu informacyjnego, </t>
  </si>
  <si>
    <t xml:space="preserve">czytelne zarządzanie ładem przestrzennym w województwie. (Kolejny </t>
  </si>
  <si>
    <t>etap informatyzacji Ośrodka Dokumentacji Geodezyjnej i Kartograficznej)</t>
  </si>
  <si>
    <t>720  72095</t>
  </si>
  <si>
    <t>GEOPARK KIELCE</t>
  </si>
  <si>
    <t>Oś Priorytetowa 6: Polska gospodarka na rynku międzynarodowym</t>
  </si>
  <si>
    <t xml:space="preserve">Działanie 6.4: Inwestycje w produkty turystyczne o znaczeniu </t>
  </si>
  <si>
    <t>ponadregionalnym</t>
  </si>
  <si>
    <t>Edukacyjno-turystyczny</t>
  </si>
  <si>
    <t>150  15095</t>
  </si>
  <si>
    <t>Priorytet I: Innowacyjna Gospodarka</t>
  </si>
  <si>
    <t>Działanie 1.3: Wspieranie innowacji</t>
  </si>
  <si>
    <t xml:space="preserve">Utworzenie wielofunkcyjnego terenu aktywności gospodarczej pn. </t>
  </si>
  <si>
    <t>MIEJSKI ZARZĄD DRÓG</t>
  </si>
  <si>
    <t>-</t>
  </si>
  <si>
    <t>Poprawa i rozbudowa infrastruktury drogowej</t>
  </si>
  <si>
    <t>Rozwój systemów komunikacji publicznej</t>
  </si>
  <si>
    <t>600  60016</t>
  </si>
  <si>
    <t>2004  2015</t>
  </si>
  <si>
    <t>600  60015</t>
  </si>
  <si>
    <t>nie drogi wojewódzkiej nr 762 z drogą wojewódzką nr 786)</t>
  </si>
  <si>
    <t>2004  2013</t>
  </si>
  <si>
    <t>Oś Priorytetowa 3: Podniesienie jakości systemu komunikacyjnego regionu</t>
  </si>
  <si>
    <t>Działanie 3.1: Rozwój nowoczesnej infrastruktury komunikacyjnej</t>
  </si>
  <si>
    <t>o znaczeniu regionalnym i ponadregionalnym</t>
  </si>
  <si>
    <t>2008  2012</t>
  </si>
  <si>
    <t xml:space="preserve">od granicy miasta do ul. Karczówkowskiej w Kielcach (ul. Krakowska </t>
  </si>
  <si>
    <t>2008  2013</t>
  </si>
  <si>
    <t>Kielce - Rozbudowa ul. Zagórskiej na odcinku od ul. Szczecińskiej</t>
  </si>
  <si>
    <t xml:space="preserve">i otwarcie komunikacyjne historycznego obszaru Stadion - Ogród </t>
  </si>
  <si>
    <t>Ożywienie i poprawa funkcjonalnosci zabytkowego Śródmieścia Miasta</t>
  </si>
  <si>
    <t xml:space="preserve">od ul. Sienkiewicza do ul. Seminaryjskiej), Czerwonego Krzyża, </t>
  </si>
  <si>
    <t xml:space="preserve">Działanie 6.1: Wzmocnienie regionalnych i sub-regionalnych ośrodków </t>
  </si>
  <si>
    <t xml:space="preserve">pod śródmiejską zabudowę: obszar w rejonie ul. Piotrkowskiej, </t>
  </si>
  <si>
    <t>ul. Silnicznej i Al. IX Wieków Kielc wraz z przebudową skrzyżowania</t>
  </si>
  <si>
    <t>ZARZĄD TRANSPORTU MIEJSKIEGO W KIELCACH</t>
  </si>
  <si>
    <t>Stworzenie mieszkańcom przyjaznej komunikacji publicznej</t>
  </si>
  <si>
    <t>600  60004</t>
  </si>
  <si>
    <t>MIEJSKI OŚRODEK POMOCY RODZINIE</t>
  </si>
  <si>
    <t>Świadczenie  usług doradczych w postaci audytów marketingowych</t>
  </si>
  <si>
    <t>Wartość projektu:</t>
  </si>
  <si>
    <t>Priorytet 8: Regionalne Kadry Gospodarki</t>
  </si>
  <si>
    <t>Działanie 8.2: Transfer wiedzy</t>
  </si>
  <si>
    <t>Działanie 8.1: Rozwój pracowników i przedsiębiorstw w regionie</t>
  </si>
  <si>
    <t>Kompleksowe wsparcie szkoleniowo-doradcze dla przedsiębiorstw</t>
  </si>
  <si>
    <t>710      71095</t>
  </si>
  <si>
    <t>150       15013</t>
  </si>
  <si>
    <t>150     15013</t>
  </si>
  <si>
    <t>150     15011</t>
  </si>
  <si>
    <t>jakości usług edukacyjnych świadczonych w systemie oświaty</t>
  </si>
  <si>
    <t>Działanie 9.1: Wyrównywanie szans edukacyjnych i zapewnienie wysokiej</t>
  </si>
  <si>
    <t>Działanie 9.4: Wyrównanie szans edukacyjnych i zapewnienie wysokiej</t>
  </si>
  <si>
    <t>Gminie Kielce</t>
  </si>
  <si>
    <t>proinnowacyjne oraz ich sieci o znaczeniu ponadregionalnym</t>
  </si>
  <si>
    <t xml:space="preserve">Stworzenie formalnego forum współpracy instytucji regionalnych </t>
  </si>
  <si>
    <t xml:space="preserve">tj. uczestników procesów innowacji bazujących na procesach transferu </t>
  </si>
  <si>
    <t xml:space="preserve">wiedzy i technologii pomiędzy sferą B+R i przedsiębiorstwami w zakresie </t>
  </si>
  <si>
    <t xml:space="preserve">wzornictwa w postaci Kręgu Innowacji wzornictwo. Ponadto w wyniku </t>
  </si>
  <si>
    <t xml:space="preserve">realizacji projektu zostanie wdrożony portfel proinnowacyjnych usług </t>
  </si>
  <si>
    <t xml:space="preserve">doradczych (strategie produktowe, rebranding marki) w oparciu </t>
  </si>
  <si>
    <t>o Laboratorium Design</t>
  </si>
  <si>
    <t>Priorytet 5. Dyfuzja innowacji</t>
  </si>
  <si>
    <t xml:space="preserve">Działanie 5.2 Wspieranie instytucji otoczenia biznesu świadczących usługi </t>
  </si>
  <si>
    <t xml:space="preserve">Ludzie-Biznes-Innowacje - kompleksowe wsparcie szkoleniowo-doradcze dla </t>
  </si>
  <si>
    <t>kadry zarządzajacej i pracowników/nic firm</t>
  </si>
  <si>
    <t>wzrostu konkurencyjności gospodarki regionalnej</t>
  </si>
  <si>
    <t xml:space="preserve">Rozwój kompetencji naukowych i biznesowych dla wzrostu </t>
  </si>
  <si>
    <t>konkurencyjności gospodarki regionalnej</t>
  </si>
  <si>
    <t>Podniesienie atrakcyjności i jakości oferty edukacyjnej ZSElek. służące</t>
  </si>
  <si>
    <t>rozwojowi kompetencji kluczowych i kwalifikacji zawodowych oraz</t>
  </si>
  <si>
    <t>zwiększeniu zdolności uczniów do przyszłego zatrudnienia</t>
  </si>
  <si>
    <t>2011  2013</t>
  </si>
  <si>
    <t>Podniesienie efektywności kształcenia kieleckich nauczycieli gimnazjów</t>
  </si>
  <si>
    <t>w zakresie umiejętności sprawdzanych na egzaminach zewnętrznych</t>
  </si>
  <si>
    <t>Wyeliminowanie trudności oraz rozszerzenie umiejętności uczniów</t>
  </si>
  <si>
    <t>w procesie edukacyjnym poprzez indywidualizację procesu kształcenia</t>
  </si>
  <si>
    <t>dzieci z klas I-III w Gminie Kielce oraz zapewnienie oferty edukacyjno-</t>
  </si>
  <si>
    <t>wychowawczo-profilaktycznej zgodnej z potrzebami i możliwościami edu-</t>
  </si>
  <si>
    <t>kacyjnymi i rozwojowymi dzieci biorącymi udział w I etapie edukacyjnym</t>
  </si>
  <si>
    <t>801  80130</t>
  </si>
  <si>
    <t>Budowa infrastruktury Kieleckiego Parku Technologicznego</t>
  </si>
  <si>
    <t>Świat w moim domu</t>
  </si>
  <si>
    <t>Działanie szansą na przyszłość</t>
  </si>
  <si>
    <t>Poszukiwana, Poszukiwany</t>
  </si>
  <si>
    <t>Profesjonalni na co dzień</t>
  </si>
  <si>
    <t>ZSE szkołą zawodowych kompetencji</t>
  </si>
  <si>
    <t>Nauczyciel sukcesu</t>
  </si>
  <si>
    <t>Indywidualizacja nauczania i wychowania, klas I-III Szkół podstawowych w</t>
  </si>
  <si>
    <t>Nowoczesny budowlaniec</t>
  </si>
  <si>
    <t>801  80101</t>
  </si>
  <si>
    <t>801  80110</t>
  </si>
  <si>
    <t xml:space="preserve">Zachęcanie uczniów szkół partnerskich do współzawodnictwa w grach </t>
  </si>
  <si>
    <t xml:space="preserve">tematycznie związanych z dziedzictwem i różnorodnością kulturową </t>
  </si>
  <si>
    <t>w celu odkrywania własnej tożsamości narodowej</t>
  </si>
  <si>
    <t>Eurogames. Games connecting Europe</t>
  </si>
  <si>
    <t>Sensing.Europe</t>
  </si>
  <si>
    <t>20.</t>
  </si>
  <si>
    <t>Wyeliminowanie negatywnych stereotypów o europejskich stylach życia</t>
  </si>
  <si>
    <t>i zbudowanie w uczniach szkół partnerskich europejskiej tożsamości</t>
  </si>
  <si>
    <t>Words that brings us together - languages and creativity</t>
  </si>
  <si>
    <t>Przełamanie barier językowych uczniów szkół partnerskich oraz podwyż-</t>
  </si>
  <si>
    <t>szenie jakości metod nauczania języków obcych przez nauczycieli</t>
  </si>
  <si>
    <t>21.</t>
  </si>
  <si>
    <t>22.</t>
  </si>
  <si>
    <t>23.</t>
  </si>
  <si>
    <t>24.</t>
  </si>
  <si>
    <t>25.</t>
  </si>
  <si>
    <t>801  80120</t>
  </si>
  <si>
    <t>26.</t>
  </si>
  <si>
    <t>27.</t>
  </si>
  <si>
    <t>28.</t>
  </si>
  <si>
    <t>29.</t>
  </si>
  <si>
    <t>30.</t>
  </si>
  <si>
    <t>31.</t>
  </si>
  <si>
    <t xml:space="preserve">Reklama i sprzedaż z wykorzystaniem nowoczesnych technologii </t>
  </si>
  <si>
    <t>informatycznych</t>
  </si>
  <si>
    <t>Kształcenie zawodowe na przykładzie brytyjskim</t>
  </si>
  <si>
    <t>Supporting Intercultural Education through Museums: Think, Talk, Touch</t>
  </si>
  <si>
    <t>Euroguide: A Students Guidebook through Young Europe</t>
  </si>
  <si>
    <t>The World through Our Eyes</t>
  </si>
  <si>
    <t>Young Explorers</t>
  </si>
  <si>
    <t xml:space="preserve">Rozwój systemu komunikacji publicznej w Kieleckim Obszarze </t>
  </si>
  <si>
    <t>Metropolitalnym</t>
  </si>
  <si>
    <t>Tworzenie i rozwój sieci współpracy Centrów Obsługi Inwestora</t>
  </si>
  <si>
    <t>Rewitalizacja Zabytkowego Sródmieścia Kielc - etap I</t>
  </si>
  <si>
    <t>Rewitalizacja Zabytkowego Sródmieścia Kielc - etap II</t>
  </si>
  <si>
    <t xml:space="preserve">E- Świętokrzyskie - budowa sieci światłowodowych wraz z urządzeniami </t>
  </si>
  <si>
    <t>na terenie Miasta Kielce</t>
  </si>
  <si>
    <t xml:space="preserve">E- Świętokrzyskie  Budowa Systemu Informacji Przestrzennej </t>
  </si>
  <si>
    <t>Województwa Świętokrzyskiego</t>
  </si>
  <si>
    <t>Geopark Kielce - Centrum Geoedukacji</t>
  </si>
  <si>
    <t>Rozbudowa ul. Ściegiennego w ciągu drogi krajowej nr 73 w Kielcach</t>
  </si>
  <si>
    <t xml:space="preserve">Budowa węzła drogowego u zbiegu ulic: Armii Krajowej, Żelaznej, </t>
  </si>
  <si>
    <t>Grunwaldzkiej, Żytniej w Kielcach</t>
  </si>
  <si>
    <t xml:space="preserve">Przebudowa i rozbudowa drogi wojewódzkiej nr 762 na odcinku </t>
  </si>
  <si>
    <t>i ul. Armii Krajowej)</t>
  </si>
  <si>
    <t xml:space="preserve">Rozbudowa ulic usprawniających powiązania komunikacyjne miasta </t>
  </si>
  <si>
    <t>do ul. Prostej</t>
  </si>
  <si>
    <t xml:space="preserve">Rewitalizacja Miasta Kielce - przywrócenie przestrzeni publicznej </t>
  </si>
  <si>
    <t xml:space="preserve"> - otwarcie komunikacyjne obszaru rewitalizowanego</t>
  </si>
  <si>
    <t xml:space="preserve">Rewitalizacja Śródmieścia Kielc - budowa ul. Nowosilnicznej (odcinek </t>
  </si>
  <si>
    <t>od ul. Warszawskiej do Pl. Św. Wojciecha)</t>
  </si>
  <si>
    <t xml:space="preserve">Rewitalizacja Śródmieścia Kielc - przebudowa płyty Placu Najświętszej </t>
  </si>
  <si>
    <t xml:space="preserve">Rewitalizacja Śródmieścia Kielc - przebudowa ulic: Wesoła (na odcinku </t>
  </si>
  <si>
    <t>Mickiewicza i Św. Leonarda (na odcinku od Rynku do ul. Wesołej)</t>
  </si>
  <si>
    <t xml:space="preserve">Rewitalizacja Śródmieścia Kielc - przebudowa wnętrza ul. Warszawskiej </t>
  </si>
  <si>
    <t>(odcinek od Al. IX Wieków Kielc do ul. Orlej)</t>
  </si>
  <si>
    <t xml:space="preserve">Rewitalizacja Śródmieścia Kielc - przygotowanie infrastrukturalne terenu </t>
  </si>
  <si>
    <t>ul. Nowy Świat z Al. IX Wieków Kielc</t>
  </si>
  <si>
    <t>Bieżące</t>
  </si>
  <si>
    <t>POKL</t>
  </si>
  <si>
    <t>POIG</t>
  </si>
  <si>
    <t>PORPW</t>
  </si>
  <si>
    <t>RPOWŚ</t>
  </si>
  <si>
    <t>Majątkowe</t>
  </si>
  <si>
    <t>Leonardo da Vinci</t>
  </si>
  <si>
    <t>POIŚ</t>
  </si>
  <si>
    <t>Razem</t>
  </si>
  <si>
    <t>własne</t>
  </si>
  <si>
    <t>UE</t>
  </si>
  <si>
    <t>kredyty</t>
  </si>
  <si>
    <t>kredyty poza.</t>
  </si>
  <si>
    <t>własne poza.</t>
  </si>
  <si>
    <t>dotacje i inne</t>
  </si>
  <si>
    <t xml:space="preserve">Uczeń z pasją. Rozwijanie kompetencji kluczowych w powiązaniu z dalszą </t>
  </si>
  <si>
    <t>edukacją i rynkiem pracy</t>
  </si>
  <si>
    <t>Wydatki bieżące</t>
  </si>
  <si>
    <t>w tym:</t>
  </si>
  <si>
    <t>Łączne wydatki</t>
  </si>
  <si>
    <t>Liczba przedsięwzięć</t>
  </si>
  <si>
    <t>Wydatki na przedsięwzięcia majątkowe</t>
  </si>
  <si>
    <t>Wydatki na przedsięwzięcia majątkowe:</t>
  </si>
  <si>
    <t>Program Operacyjny Infrastruktura i Środowisko</t>
  </si>
  <si>
    <t>kredyty poza-             projektowe</t>
  </si>
  <si>
    <t>własne poza-             projektowe</t>
  </si>
  <si>
    <t>Liczba przedsię-wzięć</t>
  </si>
  <si>
    <t>Miejski Ośrodek Pomocy Rodzinie</t>
  </si>
  <si>
    <t>Miejski Urząd Pracy</t>
  </si>
  <si>
    <t>Wydział Edukacji, Kultury i Sportu</t>
  </si>
  <si>
    <t>Wydział Projektów Strukturalnych i Strategii Miasta</t>
  </si>
  <si>
    <t>Wydatki na przedsięwzięcia bieżące</t>
  </si>
  <si>
    <t>Zakład Obsługi i Informatyki Urzędu Miasta</t>
  </si>
  <si>
    <t>Geopark Kielce</t>
  </si>
  <si>
    <t>Kielecki Park Technologiczny</t>
  </si>
  <si>
    <t>Miejski Zarząd Dróg</t>
  </si>
  <si>
    <t>środki własne</t>
  </si>
  <si>
    <t>środki wymienione w art. 5 ust. 1 pkt 2 i 3 ufp</t>
  </si>
  <si>
    <t>środki inne</t>
  </si>
  <si>
    <t>środki własne pozaprojektowe</t>
  </si>
  <si>
    <t>kredyty pozaprojektowe</t>
  </si>
  <si>
    <t xml:space="preserve">Wiedza i gospodarka - rozwój kompetencji naukowych i biznesowych dla </t>
  </si>
  <si>
    <t xml:space="preserve">Europejska Współpraca Terytorialna - Program Komisji Europejskiej </t>
  </si>
  <si>
    <t>Central Europe (Program dla Europy Środkowej)</t>
  </si>
  <si>
    <t>Wspieranie innowacyjności w Europie Środkowej</t>
  </si>
  <si>
    <t>Poprawa Ramowych Warunków dla Innowacji</t>
  </si>
  <si>
    <t xml:space="preserve">Central European Living Lab for Territorial Innovation - CentraLab </t>
  </si>
  <si>
    <t xml:space="preserve">(Środkowoeuropejskie "Żywe laboratorium" w zakresie Innowacji </t>
  </si>
  <si>
    <t>Terytorialnych)</t>
  </si>
  <si>
    <t>Ukazanie KPT jako Living Lab poprzez dostarczanie lokalnym przedsię-</t>
  </si>
  <si>
    <t>biorcom narzędzi służących ich rozwojowi i budowie gospodarki opartej</t>
  </si>
  <si>
    <t>na wiedzy. Założenia projektowe pokrywają się z misją Kieleckiego Parku</t>
  </si>
  <si>
    <t>świętokrzyskiego poprzez kształtowanie systemów innowacyjnych</t>
  </si>
  <si>
    <t>Technologicznego, którą jest zwiększenie konkurencyjności regionu</t>
  </si>
  <si>
    <t>2012   2014</t>
  </si>
  <si>
    <t>750      75075</t>
  </si>
  <si>
    <t>Audyt Marketingowy Młodej  Firmy</t>
  </si>
  <si>
    <t>Kręgi Innowacji</t>
  </si>
  <si>
    <t>Działanie 7.2: Przeciwdziałanie wykluczeniu i wzmacnianie sektora</t>
  </si>
  <si>
    <t>ekonomii społecznej</t>
  </si>
  <si>
    <t>Złap okazję</t>
  </si>
  <si>
    <t>Wzrost aktywności oraz integracji społecznej i zawodowej osób</t>
  </si>
  <si>
    <t>niepełnosprawnych, bezrobotnych, zarejestrowanych w MUP</t>
  </si>
  <si>
    <t>2012  2014</t>
  </si>
  <si>
    <t>Pl Novum subsydium</t>
  </si>
  <si>
    <t>2012  2015</t>
  </si>
  <si>
    <t>Rozwój kompetencji kluczowych z przedmiotów matematyczno-</t>
  </si>
  <si>
    <t xml:space="preserve">przyrodniczych, języków obcych i technologii ICT w kontekście dalszej </t>
  </si>
  <si>
    <t>edukacji i rynku pracy</t>
  </si>
  <si>
    <t>Akademia kariery</t>
  </si>
  <si>
    <t xml:space="preserve">Podniesienie kwalifikacji nauczycieli. Doskonalenie metod pracy </t>
  </si>
  <si>
    <t>z dziećmi</t>
  </si>
  <si>
    <t>Kompetentni absolwenci kieleckiego gastronomika</t>
  </si>
  <si>
    <t>Podniesienie jakości kształcenia zawodowego. Zdobywanie nowych</t>
  </si>
  <si>
    <t>umiejętności</t>
  </si>
  <si>
    <t>2012  2013</t>
  </si>
  <si>
    <t>Podniesienie kompetencji zawodowych i specjalistycznych kwalifikacji</t>
  </si>
  <si>
    <t>Work it out</t>
  </si>
  <si>
    <t>Podniesienie jakości kształcenia, zdobywanie nowych doświadczeń podczas wizyt w krajach unijnych</t>
  </si>
  <si>
    <t>podczas wizyt w krajach unijnych</t>
  </si>
  <si>
    <t xml:space="preserve">Rozwijanie wśród młodzieży i kadry nauczycielskiej wiedzy </t>
  </si>
  <si>
    <t>o różnorodności kultur i języków europejskich i zrozumienia ich wartości</t>
  </si>
  <si>
    <t xml:space="preserve">Zdobycie i poszerzenie kwalifikacji zawodowych uczniów, podniesienie </t>
  </si>
  <si>
    <t xml:space="preserve">ich kompetencji językowych i jakości kształcenia zawodowego podczas </t>
  </si>
  <si>
    <t>pobytu w krajach Unii Europejskiej</t>
  </si>
  <si>
    <t xml:space="preserve">Celem projektu jest pogłębienie w praktyce wiedzy i umiejętności </t>
  </si>
  <si>
    <t xml:space="preserve">zawodowych oraz poszerzenie kompetencji językowych, poznanie </t>
  </si>
  <si>
    <t>kultury i obyczajów w Wielkiej Brytanii i Włoszech</t>
  </si>
  <si>
    <t>2009  2013</t>
  </si>
  <si>
    <t>2010  2015</t>
  </si>
  <si>
    <t>32.</t>
  </si>
  <si>
    <t>Rewitalizacja Miasta Kielce - przywrócenie przestrzeni publicznej</t>
  </si>
  <si>
    <t>i otwarcie historycznego obszaru Stadion-Ogród</t>
  </si>
  <si>
    <t>33.</t>
  </si>
  <si>
    <t>Metropolitalnym - wprowadzenie Systemu Kieleckiej Karty Miejskiej</t>
  </si>
  <si>
    <t>Podniesienie atrakcyjności dodatkowych zajęć</t>
  </si>
  <si>
    <t>853   85395</t>
  </si>
  <si>
    <t>Rozwój systemu komunikacji publicznej w Kieleckim Obszarze Metropolital-</t>
  </si>
  <si>
    <t>(na odcinku od ul. Bohaterów Warszawy do Al. Tysiąclecia PP)</t>
  </si>
  <si>
    <t>nym - Budowa bus-pasów w ciągu ulic Tarnowska-Źródłowa-Al. Solidarności</t>
  </si>
  <si>
    <t xml:space="preserve">Zwiększenie aktywizacji zawodowo-społecznej i ułatwienie powrotu/wejścia </t>
  </si>
  <si>
    <t>na rynek pracy kobietom wychowującym dziecko</t>
  </si>
  <si>
    <t>Wzmocnienie i rozwój usług pośrednictwa pracy i poradnictwa zawodowego</t>
  </si>
  <si>
    <t xml:space="preserve">poprzez dofinansowanie zatrudnienia pośredników pracy i doradców </t>
  </si>
  <si>
    <t>zawodowych oraz podniesienie ich kwalifikacji i kompetencji zawodowych</t>
  </si>
  <si>
    <t>poprzez doradztwo zawodowe i psychologiczne oraz szkolenie zawodowe</t>
  </si>
  <si>
    <t xml:space="preserve">nym - Budowa bus-pasów w ciągu ulicy Grunwaldzkiej na odcinku od ul. </t>
  </si>
  <si>
    <t>Jagielońskiej do ul. Szajnowicza wraz z budową obiektu mostowego</t>
  </si>
  <si>
    <t xml:space="preserve">Tarnowskiej wraz z budową nowego połączenia ul. Tarnowskiej z Rondem </t>
  </si>
  <si>
    <t>"Czwartaków", bus-pasów i ścieżki rowerowej</t>
  </si>
  <si>
    <t xml:space="preserve">nym - Budowa pętli autobusowej i parkingu przesiadkowego w rejonie ul. </t>
  </si>
  <si>
    <t>nym - Budowa pętli autobusowej na Bukówce wraz z parkingiem przesiadko-</t>
  </si>
  <si>
    <t xml:space="preserve">wym i infrastrukturą towarzyszącą oraz budowa pętli manewrowej dla </t>
  </si>
  <si>
    <t>autobusów komunikacji miejskiej przy ul. Sikorskiego</t>
  </si>
  <si>
    <t>części miasta (rejon Targów Kielce)</t>
  </si>
  <si>
    <t>nym - budowa ulic usprawniających obsługę komunikacyjną w zachodniej</t>
  </si>
  <si>
    <t xml:space="preserve">nym - budowa węzła drogowego u zbiegu ulic: Żelazna, 1 Maja, Zagnańska </t>
  </si>
  <si>
    <t>wraz z przebudową Ronda im. Gustawa Herlinga - Grudzińskiego (skrzyżowa-</t>
  </si>
  <si>
    <t>2010  2014</t>
  </si>
  <si>
    <t xml:space="preserve">Marii Panny i okolicznych ulic (odcinek od ul. Sienkiewicza do Placu </t>
  </si>
  <si>
    <t>Najświętszej Marii Panny i ul. Kapitulnej)</t>
  </si>
  <si>
    <t>Rok 2012</t>
  </si>
  <si>
    <t>Wydatki poniesione                do dnia              31.12.2012r.</t>
  </si>
  <si>
    <t>Planowane wydatki                      po zmianach                          na 31.12.2012r.</t>
  </si>
  <si>
    <t>Wykonanie                       na dzień            31.12.2012r.</t>
  </si>
  <si>
    <t>Priorytet I: Zatrudnienie i integracja społeczna</t>
  </si>
  <si>
    <t>Działanie 1.2: Wsparcie systemowe instytucji pomocy i integracji społecznej</t>
  </si>
  <si>
    <t>Pilotażowe wdrożenie standardów usług w zakresie bezdomności i przetesto-</t>
  </si>
  <si>
    <t>wania Modelu Gminnego Standardu Wychodzenia z Bezdomności przez</t>
  </si>
  <si>
    <t>Kieleckie Partnerstwo Lokalne</t>
  </si>
  <si>
    <t>Wdrożenie standardów usług w zakresie bezdomności i przetestowanie Modelu</t>
  </si>
  <si>
    <t>Gminnego Standardu Wychodzenia z Bezdomności przez Kieleckie Partnerstwo</t>
  </si>
  <si>
    <t>Lokalne</t>
  </si>
  <si>
    <t>Pakiet 2 w 1</t>
  </si>
  <si>
    <t xml:space="preserve">Wzrost aktywności zawodowej oraz zdolności do zatrudnienia 110 osób </t>
  </si>
  <si>
    <t>w wieku 15-24 zarejestrowanych w MUP Kielce</t>
  </si>
  <si>
    <t>2011  2014</t>
  </si>
  <si>
    <t>Priorytet VI: Rynek pracy otwarty dla wszystkich</t>
  </si>
  <si>
    <t>Wracam do gry</t>
  </si>
  <si>
    <t xml:space="preserve">Wzrost aktywności zawodowej oraz zdolności do zatrudnienia osób </t>
  </si>
  <si>
    <t>długotrwale bezrobotnych zarejestrowanych w MUP</t>
  </si>
  <si>
    <t>Zawodowy Team</t>
  </si>
  <si>
    <t>Poszerzenie wiedzy zawodowej i umiejętności personalnych uczestników</t>
  </si>
  <si>
    <t>projektu poprzez szkolenia</t>
  </si>
  <si>
    <t>Działanie 6.2: Wsparcie oraz promocja przedsiębiorczości i samozatrudnienia</t>
  </si>
  <si>
    <t>Biznes na miarę</t>
  </si>
  <si>
    <t xml:space="preserve">Wzrost przedsiębiorczości oraz samozatrudnienia wśród bezrobotnych kobiet </t>
  </si>
  <si>
    <t xml:space="preserve">i mężczyzn mieszkańsów miasta Kielce zarejestrowanych w MUP Kielce </t>
  </si>
  <si>
    <t>do rozpoczęcia i prowadzenia działalności gospodarczej</t>
  </si>
  <si>
    <t>Działanie 9.1: Wyrównanie szans edukacyjnych i zapewnienie wysokiej</t>
  </si>
  <si>
    <t>Szkolny Inkubator Przedsiębiorczości - wspieranie umiejętności zawodowych</t>
  </si>
  <si>
    <t>i społecznych uczniów Zasadniczej Szkoły Zawodowej Nr 8 w Kielcach</t>
  </si>
  <si>
    <t xml:space="preserve">Projekt unijny mający na celu wspieranie umiejętności zawodowych </t>
  </si>
  <si>
    <t>i społecznych uczniów Zasadniczej Szkoły Zawodowej nr 8 w Kielcach</t>
  </si>
  <si>
    <t>Woda leczy, bawi, pracuje, ale szkodzi czasem też</t>
  </si>
  <si>
    <t xml:space="preserve">Projekt mający na celu wymianę młodzieży pomiędzy krajami Unii Europejskiej </t>
  </si>
  <si>
    <t>w celu poznania nowego spojrzenia na wodę</t>
  </si>
  <si>
    <t>Young Europeans Unite for a Sustainability</t>
  </si>
  <si>
    <t xml:space="preserve">Projekt mający na celu zapoznanie dzieci z kulturą innych krajów Unii </t>
  </si>
  <si>
    <t>Europejskiej</t>
  </si>
  <si>
    <t>34.</t>
  </si>
  <si>
    <t>35.</t>
  </si>
  <si>
    <t>36.</t>
  </si>
  <si>
    <t>Nowe szanse dla branży elektronicznej</t>
  </si>
  <si>
    <t xml:space="preserve">Projekt mający na celu wyjazd młodzieży do krajów Unii Europejskiej, gdzie </t>
  </si>
  <si>
    <t>zapoznają się z nowymi rozwiązaniami w branży elektrotechnicznej</t>
  </si>
  <si>
    <t>37.</t>
  </si>
  <si>
    <t>38.</t>
  </si>
  <si>
    <t>Trainingabroad a key to a successful career</t>
  </si>
  <si>
    <t>w celu poznania wzajemnych kultur</t>
  </si>
  <si>
    <t>39.</t>
  </si>
  <si>
    <t>Zagraniczny staż szansą na europejskie kwalifikacje zawodowe uczniów</t>
  </si>
  <si>
    <t xml:space="preserve">Projekt mający na celu wyjazdy zagraniczne młodzieży ZSPG2 w celu </t>
  </si>
  <si>
    <t>podnoszenia kwalifikacji zawodowych</t>
  </si>
  <si>
    <t>2007  2013</t>
  </si>
  <si>
    <t>2012  2018</t>
  </si>
  <si>
    <t>2008  2014</t>
  </si>
  <si>
    <t>2005  2013</t>
  </si>
  <si>
    <t>Inne</t>
  </si>
  <si>
    <t>40.</t>
  </si>
  <si>
    <t>41.</t>
  </si>
  <si>
    <t>42.</t>
  </si>
  <si>
    <t>43.</t>
  </si>
  <si>
    <t>44.</t>
  </si>
  <si>
    <t>Kwota</t>
  </si>
  <si>
    <t>Dochody ogółem z tytułu realizacji przedsięwzięć współfinansowanych środkami z UE</t>
  </si>
  <si>
    <t>dochody bieżące, w tym:</t>
  </si>
  <si>
    <t>płatności w ramach budżetu środków europejskich</t>
  </si>
  <si>
    <t>środki na realizację programów edukacyjnych „Comenius” i „Leonardo da Vinci”</t>
  </si>
  <si>
    <t>środki na realizację projektu "Rola Miast w zintegrowanym rozwoju regionalnym" w ramach programu URBACT II</t>
  </si>
  <si>
    <t>dochody majątkowe, w tym:</t>
  </si>
  <si>
    <t>dotacje celowe otrzymane na programy finansowane z udziałem środków europejskich oraz środków, o których mowa w art. 5 ust. 1 pkt 3 oraz ust. 3 pkt 5 i 6 ustawy o finansach publicznych</t>
  </si>
  <si>
    <t xml:space="preserve">środki inne </t>
  </si>
  <si>
    <t>Wyszczególnienie</t>
  </si>
  <si>
    <t>Program Operacyjny Innwacyjna Gospodarka</t>
  </si>
  <si>
    <t>Środki na realizację programów edukacyjnych „Comenius” i „Leonardo da Vinci”</t>
  </si>
  <si>
    <t>Środki na realizację projektu "Rola Miast w zintegrowanym rozwoju regionalnym" w ramach programu URBACT II</t>
  </si>
  <si>
    <t>Inne, np. Polsko-Litewski Fundusz Wymiany Młodzieży, Polsko-Niemiecka Współpraca Młodzieży</t>
  </si>
  <si>
    <t>Kwota planu</t>
  </si>
  <si>
    <t>Wydatki na przedsięwzięcia współfinansowane środkami z UE</t>
  </si>
  <si>
    <t>środki własne miasta</t>
  </si>
  <si>
    <t>środki wymienione w art. 5 ust.1 pkt 2 i 3 u.f.p.</t>
  </si>
  <si>
    <t>kredyty, pożyczki i obligacje</t>
  </si>
  <si>
    <t>środki własne miasta pozaprojektowe</t>
  </si>
  <si>
    <t>Okres realizacji projektu 23.12.2011 – 30.04.2014. W  2012r. wydatki poniesiono na wynagrodzenia zespołu projektowego, stworzenie Communication Plan, organizację spotkań w ramach projektu pilotażowego, delegacje członków zespołu na spotkania projektowe, stworzenie koncepcji graficznej projektu, wynagrodzenia ekspertów krajowych, tłumaczenia dokumentacji projektowej, utworzenie podstrony internetowej oraz stworzenie koncepcji systemu informatycznego.</t>
  </si>
  <si>
    <t>Projekt realizowany jest w okresie od 1.03.2011- 30.06.2013. Do końca 2012r. wykonano 30 audytów marketingowych młodych firm,  poniesiono wydatki na wynagrodzenia zespołu projektowego, podróże służbowe,  zakup materiałów biurowych oraz zakup usług telekomunikacyjnych.</t>
  </si>
  <si>
    <t>Okres realizacji projektu 1.09.2011 – 30.06.2013.W  2012r. wydatki poniesiono na wynagrodzenia zespołu projektowego, ekspertów krajowych i zagranicznych, stworzenie mechanizmu komunikacji platformy internetowej,  zorganizowanie Branżowego Forum Innowacji, oraz spotkań członków kręgu Wzornictwo, opracowanie strategii kręgu, prezentacji multimedialnej, przeprowadzenie wzorniczych audytów technologicznych, usług proinnowacyjnych rebrendingu marki, wyposażenie laboratorium Lab Design w meble.</t>
  </si>
  <si>
    <t>Okres realizacji projektu 01.12.2011 – 31.05.2013. Wydatki poniesiono na wynagrodzenia zespołu projektowego wraz z narzutami, wynagrodzenia trenerów szkolenia i doradztwa poszkoleniowego, obsługę prawną , promocje działań projektu w prasie regionalnej, zakup materiałów szkoleniowych oraz wydatki związane z organizacją szkoleń.</t>
  </si>
  <si>
    <t>Okres realizacji projektu 1.10.2011 – 30.06.2013. W 2012r. wydatki poniesiono na wynagrodzenia zespołu projektowego wraz z narzutami,opracowanie koncepcji graficznej kampanii promocyjnej, realizację kampanii w radiu i Internecie,  wypłatę dodatków stażowych i ubezpieczenie stażystów. Zorganizowano również spotkania brokerskie dla uczestników projektu.</t>
  </si>
  <si>
    <t>Wydatki poniesione w projekcie do dnia 31.12.2012r to m.in.koszty zakupu i instalacji 154 zestawów komputerowych wraz z oprogramowaniem, koszty serwisu sprzętu, instalacji internetu i opłaty abonamentowe, a także zakup materiałów promocyjnych. Ponadto w IV kw. 2012r. przeprowadzono szkolenia dla uczestników projektu z obsługi komputera i internetu.</t>
  </si>
  <si>
    <t>Stan zaawansowania prac na dzień 31.12.2012r. : zatrudnionych - 23 osoby, liczba objętych wsparciem - 394,  liczba OP biorących udział w inicjatywach integracyjnych - 394 OP, liczba OP którzy ukończyli kursy i szkolenia zawodowe - 447 OP</t>
  </si>
  <si>
    <t>Do dnia 31-12-2012r. w ramach projektu zrekrutowanu 71 odbiorców. W X 2012r. Zrealizowano wyjazdowy warsztat edukac.-integr. oraz szkolenie dla OP.W XI odbyła się grupa wsparcia dla kobiet, a w XII zajęcia w KIS, które ukończyło 16 OP. W ramach projektu zakupiono wyposażenie dla streetworkerów, wyposażenie noclegowni oraz materiały promocyjne.</t>
  </si>
  <si>
    <t>Niski stopień wskaźnika realizacji projektu związany jest z przeniesieniem kosztów szkoleń na rok 2013 z uwagi na procedury przetargowe.</t>
  </si>
  <si>
    <t>Wraz z końcem 2012 roku zakończył się pierwszy etap realizacji projektu. Drugi etap rozpoczyna się w marcu 2013 r.</t>
  </si>
  <si>
    <t>Realizacja projektu zakończyła się w listopadzie 2012 roku.</t>
  </si>
  <si>
    <t>Środki niewydatkowane w roku 2012 zostaną przesunięte i wykorzystane w latach następnych.</t>
  </si>
  <si>
    <t>Środki niewykorzystane w roku 2012 zasilą budżet roku 2013.</t>
  </si>
  <si>
    <t>Niski stopień realizacji projektu związany jest z przeniesieniem kosztów stypendiów na rok 2013 z uwagi m.in.na przedłużające się oceny biznesplanów</t>
  </si>
  <si>
    <t>Projekt w trakcie realizacji</t>
  </si>
  <si>
    <t>Projekt zakończony w dniu 30.06.2012</t>
  </si>
  <si>
    <t>Projekt zakończony w dniu 29.06.2012</t>
  </si>
  <si>
    <t>Projekt zakończony w dniu 31.07.2012</t>
  </si>
  <si>
    <t>Projekt zakończony w dniu 31.05.2012</t>
  </si>
  <si>
    <t>Projekt zakończony w dniu 15.12.2012</t>
  </si>
  <si>
    <t xml:space="preserve">Projekt jest w trakcie oceny merytorycznej  Instytucji Zarządzającej RPO WŚ. </t>
  </si>
  <si>
    <t xml:space="preserve">Ze względu na rozszerzenie projektu o nowe zadanie inwestycyjne,  wydatki na promocję zostaną poniesione w 2013r. </t>
  </si>
  <si>
    <t xml:space="preserve">Ze względu na podpisanie umowy o dofinansowanie w grudniu 2012r., wydatki na promocję projektu, zostaną poniesione w 2013r. </t>
  </si>
  <si>
    <t xml:space="preserve">Poniesione wydatki dotyczą m.in. częściowych kosztów budowy kanalizacji i kabli światłowodowych (tzw. część pasywna projektu), nadzoru inwestorskiego nad budową kanalizacji i kabli światłowodowych, kosztów  inżyniera kontraktu, kosztów nadzoru autorskiego. Pozostałe wydatki realizowanego projektu (wymienione  wyżej) oraz zakup sprzętu /część aktywna projektu/  będą poniesione w 2013r. </t>
  </si>
  <si>
    <t>Gmina Kielce występuje jako Partner Projektu realizowanego przez Lidera - Urząd Marszałkowski. Wykonano usługi digitalizacji i wektoryzacji  zasobów geodezyjnych (map i innych dokumentów) w Grodzkim Ośrodku Dokumentacji Geodezyjnej i Kartograficznej, tj. dokonano zapisu cyfrowego. Zawarto umowę z dostawcą na zakup sprzętu komputerowego i oprogramowania (realizacja wydatków  nastąpi w 2013r.). Wydatki w ramach  pozostałych podzadań nastąpią w 2013r., gdyż uzależnione są one od Lidera Projektu. Termin zakończenia Projektu został przesunięty przez  Urząd Marszałkowski do 30.06.2014r.</t>
  </si>
  <si>
    <t xml:space="preserve">Realizacja budowy  budynku została zakończona.                                          Budynek Centrum Geoedukacji jest użytkowany.     </t>
  </si>
  <si>
    <t>Nakłady inwestycyjne posienio m.in. na: wynagrodzenie zespołu projektowego,roboty budowlane dotyczące budowy Centrum Technologicznego, budowy serwerowni w budynku IT i uzbrojenie terenów inwestycyjnych, zaprojektowanie i wykonanie dekoracji wnętrz w budynku IT, zakup map do celów projektowych, wyposażenie serwerowni, zakup agregatu prądotwórczego, wydatki związane z zarządzaniem projektem.</t>
  </si>
  <si>
    <t xml:space="preserve">II   Etap przetargu - otwarcie ofert w grudniu br.(przesunięcie terminu z października z powodu dużej ilości pytań do przetargu - ponad 350). Okres realizacji inwestycji planowany jest w latach 2013-2015. </t>
  </si>
  <si>
    <t>Zadanie przewidziane do dofinansowania w ramach projektu: "Rozwój systemu komunikacji publicznej w Kieleckim Obszarze Metropolitalnym". Dokumentacja projektowa odebrana. Wystąpiono z wnioskiem o pozwolenie na budowę - w grudniu 2012 r.</t>
  </si>
  <si>
    <t>Zadanie przewidziane do dofinansowania w ramach projektu "Rozwój systemu komunikacji publicznej w Kieleckim Obszarze Metropolitalnym" . Trwają prace projektowe. Realizacja przewidziana na rok 2014.</t>
  </si>
  <si>
    <t>Dokumentacja projektowa w trakcie realizacji. Złożony wniosek o wydanie decyzji środowiskowej.Planowany termin realizacji inwestycji uzależniony od uzyskania  środków finansowych na realizację inwestycji oraz odszkodowań za wywłaszczenia.</t>
  </si>
  <si>
    <t>Pętla na Bukówce - trwają prace projektowe, pętla Sikorskiego - zakończone prace projektowe - decyzja o pozwoleniu na budowę ostateczna. Zadanie realizowane będzie przez ZTM Kielce</t>
  </si>
  <si>
    <t>Inwestycja zakończona. Zbudowano ulice klasy Z oraz D, pętle autobusową, wykonano roboty ziemne, rozbiórkowe, chodniki z kostki brukowej betonowej, zbudowano kanalizację deszczową,  oczyszczalnię wód deszczowych wraz z osadnikami, kanalizację sanitarną, przebudowano sieć teletechniczną, wodociągową, zbudowano oświetlenie uliczne.</t>
  </si>
  <si>
    <t>Inwestycja w trakcie realizacji: Trwają roboty  budowlane wszystkich branż zgodnie z harmonogramem prac. Planowany termin zakończenia budowy: wrzesień 2013 rok.</t>
  </si>
  <si>
    <t>Inwestycja w trakcie realizacji: Trwają prace budowlane.  Planowany termin zakończenia budowy: 10.12.2012 r. Wykonawca wystąpił z wnioskiem o przesunięcie terminu zakończenia robót na koniec czerwca 2013 r.</t>
  </si>
  <si>
    <t>Inwestycja w trakcie realizacji: Trwają prace budowlane. Podpisano  aneks przedłużający termin wykonania na 31.05.2013 r. - ze względu na wprowadzone zmiany w konstrukcji ekranów akustycznych ( z ziemnych na przeziemne).</t>
  </si>
  <si>
    <t>Inwestycja zakończona. Wykonano rozbudowę ul. Zagórskiej z przyległymi skrzyżowaniami (jezdnia dwukierunkowa o szer. 7 m), zjazdy indywidualne na posesje, chodniki z kostki betonowej, kanalizację deszczową, wodociąg, OWD, gazociąg, oświetlenie uliczne, linie energetyczne, telekomunikacyjne.</t>
  </si>
  <si>
    <t xml:space="preserve">Dokumentacja projektowa gotowa. Jest wydana decyzja Zrid dla nowego  i przebudowywanego odcinka drogi (od ul. Krakowskiej do ul. W.Polskiego), decyzje o pozwoleniu na budowę na przebudowę placu przed WDK  (wszystkie prawomocne).  Płatność w br tylko za dokumentację. Odszkodowania płatne w 2013r. Realizacja  2013 do dnia 30.09.2014. </t>
  </si>
  <si>
    <t>Inwestycja zakończona. Wykonano: jezdnię o szer. 5,0 m, długości 286 m z kostki granitowej i brukowca, chodniki obustronne o szer. 2 m z płyt betonowych i granitowych, kanalizację deszczową, słupy oświetleniowe 13 szt., małą architekturę: ławki sześciokątne z siedziskami drewnianymi, drzewa liściaste.</t>
  </si>
  <si>
    <t>Inwestycja zakończona. Wykonano nawierzchnię z kostki granitowej, chodniki z kostki betonowej.  Plac i chodniki placu z płyt granitowych. Zbudowano kanalizację deszczową, odwodnienie liniowe, instalacje gazociągu i elektryczne słupy oświetleniowe 23 szt., oprawy wbudowane w płytę placu. Mała architektura: schody na placu z granitu i piaskowca, murki oporowe wzdłuż ul. Jana Pawła II, murek wokół pomnika Ks. Popiełuszki.</t>
  </si>
  <si>
    <t>Dokumentacja projektowa gotowa. Jest wydana decyzja Zrid dla ul. Cz.Krzyża, decyzje o pozwoleniu na budowę dla ul. Wesołej, Św. Leonarda i ul. Mickiewicza. W trakcie postępowanie  przetargowa na roboty bud. (termin przetargu - 18 grudnia 2012, plan. termin realizacji -do 30 listopada 2013r. Płatność w br tylko za dokumentację. Realizacja w 2013r.</t>
  </si>
  <si>
    <t xml:space="preserve">Inwestycja zakończona. Wykonano m.in.: jezdnię z kostki granitowej, chodniki obustronne  z płyt granitowych  i  betonowych. Zbudowano kanalizację deszczową, gazociąg, oświetlenie uliczne. Mała  architektura: schody do EMPIK'u, murki z ławkami, murki oporowe, fontanna z granitu czarno-białego, podesty pod rzeźby z granitu, ławki z siedziskami drewnianymi. </t>
  </si>
  <si>
    <t>Inwestycja zakończona. Wykonano jezdnię północną i południową ul. IX Wieków Kielc, chodniki obustronne, ścieżki rowerowe z kostki betonowej, krawężniki obustronne, zatoki postojowe i autobusowe z kostki granitowej. Zbudowano kanał sanitarny, kanalizację deszczową, sieć ciepłowniczą, gazociąg, sygnalizację świetlną oraz oświelenie uliczne słupy 50 szt z linią kablową.</t>
  </si>
  <si>
    <t>Projekt realizowany zgodnie z harmnogramem rzeczowo-finansowym</t>
  </si>
  <si>
    <t>Realizacja w latach następnych</t>
  </si>
  <si>
    <t>Tabela Nr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</si>
</sst>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Arial"/>
      <charset val="238"/>
    </font>
    <font>
      <b/>
      <sz val="11"/>
      <name val="Arial"/>
      <family val="2"/>
      <charset val="238"/>
    </font>
    <font>
      <b/>
      <i/>
      <sz val="7"/>
      <name val="Arial"/>
      <family val="2"/>
      <charset val="238"/>
    </font>
    <font>
      <sz val="7"/>
      <name val="Arial"/>
      <family val="2"/>
      <charset val="238"/>
    </font>
    <font>
      <sz val="10"/>
      <name val="Arial"/>
      <family val="2"/>
      <charset val="238"/>
    </font>
    <font>
      <b/>
      <sz val="8.5"/>
      <name val="Arial"/>
      <family val="2"/>
      <charset val="238"/>
    </font>
    <font>
      <b/>
      <sz val="10"/>
      <name val="Arial"/>
      <family val="2"/>
      <charset val="238"/>
    </font>
    <font>
      <sz val="8.5"/>
      <name val="Arial"/>
      <family val="2"/>
      <charset val="238"/>
    </font>
    <font>
      <b/>
      <sz val="8"/>
      <name val="Arial"/>
      <family val="2"/>
      <charset val="238"/>
    </font>
    <font>
      <i/>
      <sz val="8"/>
      <name val="Arial"/>
      <family val="2"/>
      <charset val="238"/>
    </font>
    <font>
      <sz val="8"/>
      <name val="Arial"/>
      <family val="2"/>
      <charset val="238"/>
    </font>
    <font>
      <b/>
      <i/>
      <sz val="6.5"/>
      <name val="Arial"/>
      <family val="2"/>
      <charset val="238"/>
    </font>
    <font>
      <b/>
      <i/>
      <sz val="10"/>
      <name val="Arial"/>
      <family val="2"/>
      <charset val="238"/>
    </font>
    <font>
      <b/>
      <i/>
      <sz val="8"/>
      <name val="Arial"/>
      <family val="2"/>
      <charset val="238"/>
    </font>
    <font>
      <b/>
      <i/>
      <sz val="6"/>
      <name val="Arial"/>
      <family val="2"/>
      <charset val="238"/>
    </font>
    <font>
      <b/>
      <i/>
      <sz val="9"/>
      <name val="Arial"/>
      <family val="2"/>
      <charset val="238"/>
    </font>
    <font>
      <b/>
      <u/>
      <sz val="9"/>
      <name val="Arial"/>
      <family val="2"/>
      <charset val="238"/>
    </font>
    <font>
      <sz val="9"/>
      <name val="Arial"/>
      <family val="2"/>
      <charset val="238"/>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12">
    <xf numFmtId="0" fontId="0" fillId="0" borderId="0" xfId="0"/>
    <xf numFmtId="0" fontId="0" fillId="0" borderId="0" xfId="0"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7" fillId="2" borderId="2"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0" fontId="7" fillId="0" borderId="0" xfId="0" applyFont="1" applyAlignment="1">
      <alignment horizontal="center" vertical="center"/>
    </xf>
    <xf numFmtId="0" fontId="5" fillId="2" borderId="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5" xfId="0" applyFont="1" applyFill="1" applyBorder="1" applyAlignment="1">
      <alignment vertical="center"/>
    </xf>
    <xf numFmtId="4" fontId="5" fillId="2" borderId="5" xfId="0" applyNumberFormat="1" applyFont="1" applyFill="1" applyBorder="1" applyAlignment="1">
      <alignment vertical="center"/>
    </xf>
    <xf numFmtId="164" fontId="5" fillId="2" borderId="5" xfId="0" applyNumberFormat="1" applyFont="1" applyFill="1" applyBorder="1" applyAlignment="1">
      <alignment horizontal="center" vertical="center"/>
    </xf>
    <xf numFmtId="0" fontId="7" fillId="0" borderId="0" xfId="0" applyFont="1" applyAlignment="1">
      <alignment vertical="center"/>
    </xf>
    <xf numFmtId="49" fontId="7" fillId="2" borderId="6" xfId="0" applyNumberFormat="1" applyFont="1" applyFill="1" applyBorder="1" applyAlignment="1">
      <alignment vertical="center"/>
    </xf>
    <xf numFmtId="4" fontId="7" fillId="2" borderId="5" xfId="0" applyNumberFormat="1" applyFont="1" applyFill="1" applyBorder="1" applyAlignment="1">
      <alignment vertical="center"/>
    </xf>
    <xf numFmtId="164" fontId="7" fillId="2" borderId="5" xfId="0" applyNumberFormat="1" applyFont="1" applyFill="1" applyBorder="1" applyAlignment="1">
      <alignment horizontal="center" vertical="center"/>
    </xf>
    <xf numFmtId="0" fontId="5" fillId="3" borderId="5"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5" xfId="0" applyFont="1" applyFill="1" applyBorder="1" applyAlignment="1">
      <alignment vertical="center"/>
    </xf>
    <xf numFmtId="4" fontId="5" fillId="3" borderId="5" xfId="0" applyNumberFormat="1" applyFont="1" applyFill="1" applyBorder="1" applyAlignment="1">
      <alignment vertical="center"/>
    </xf>
    <xf numFmtId="164" fontId="5" fillId="3" borderId="5" xfId="0" applyNumberFormat="1" applyFont="1" applyFill="1" applyBorder="1" applyAlignment="1">
      <alignment horizontal="center" vertical="center"/>
    </xf>
    <xf numFmtId="0" fontId="7" fillId="3" borderId="7" xfId="0" applyFont="1" applyFill="1" applyBorder="1" applyAlignment="1">
      <alignment vertical="center"/>
    </xf>
    <xf numFmtId="49" fontId="7" fillId="3" borderId="6" xfId="0" applyNumberFormat="1" applyFont="1" applyFill="1" applyBorder="1" applyAlignment="1">
      <alignment vertical="center"/>
    </xf>
    <xf numFmtId="4" fontId="7" fillId="3" borderId="5" xfId="0" applyNumberFormat="1" applyFont="1" applyFill="1" applyBorder="1" applyAlignment="1">
      <alignment vertical="center"/>
    </xf>
    <xf numFmtId="164" fontId="7" fillId="3" borderId="5" xfId="0" applyNumberFormat="1" applyFont="1" applyFill="1" applyBorder="1" applyAlignment="1">
      <alignment horizontal="center" vertical="center"/>
    </xf>
    <xf numFmtId="0" fontId="5" fillId="4" borderId="5"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5" xfId="0" applyFont="1" applyFill="1" applyBorder="1" applyAlignment="1">
      <alignment vertical="center"/>
    </xf>
    <xf numFmtId="4" fontId="5" fillId="4" borderId="5" xfId="0" applyNumberFormat="1" applyFont="1" applyFill="1" applyBorder="1" applyAlignment="1">
      <alignment vertical="center"/>
    </xf>
    <xf numFmtId="164" fontId="5" fillId="4" borderId="5" xfId="0" applyNumberFormat="1" applyFont="1" applyFill="1" applyBorder="1" applyAlignment="1">
      <alignment horizontal="center" vertical="center"/>
    </xf>
    <xf numFmtId="0" fontId="7" fillId="4" borderId="6" xfId="0" applyFont="1" applyFill="1" applyBorder="1" applyAlignment="1">
      <alignment vertical="center"/>
    </xf>
    <xf numFmtId="0" fontId="7" fillId="4" borderId="7" xfId="0" applyFont="1" applyFill="1" applyBorder="1" applyAlignment="1">
      <alignment vertical="center"/>
    </xf>
    <xf numFmtId="49" fontId="7" fillId="4" borderId="6" xfId="0" applyNumberFormat="1" applyFont="1" applyFill="1" applyBorder="1" applyAlignment="1">
      <alignment vertical="center"/>
    </xf>
    <xf numFmtId="4" fontId="7" fillId="4" borderId="5" xfId="0" applyNumberFormat="1" applyFont="1" applyFill="1" applyBorder="1" applyAlignment="1">
      <alignment vertical="center"/>
    </xf>
    <xf numFmtId="164" fontId="7" fillId="4" borderId="5" xfId="0" applyNumberFormat="1" applyFont="1" applyFill="1" applyBorder="1" applyAlignment="1">
      <alignment horizontal="center" vertical="center"/>
    </xf>
    <xf numFmtId="4" fontId="5" fillId="0" borderId="5" xfId="0" applyNumberFormat="1" applyFont="1" applyBorder="1" applyAlignment="1">
      <alignment vertical="center"/>
    </xf>
    <xf numFmtId="164" fontId="5" fillId="0" borderId="5" xfId="0" applyNumberFormat="1" applyFont="1" applyBorder="1" applyAlignment="1">
      <alignment horizontal="center" vertical="center"/>
    </xf>
    <xf numFmtId="0" fontId="7" fillId="0" borderId="0" xfId="0" applyFont="1" applyAlignment="1">
      <alignment horizontal="righ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2" borderId="8" xfId="0" applyFont="1" applyFill="1" applyBorder="1" applyAlignment="1">
      <alignment horizontal="center" vertical="center"/>
    </xf>
    <xf numFmtId="4" fontId="7" fillId="2" borderId="8" xfId="0" applyNumberFormat="1" applyFont="1" applyFill="1" applyBorder="1" applyAlignment="1">
      <alignment vertical="center"/>
    </xf>
    <xf numFmtId="164" fontId="7" fillId="2" borderId="8" xfId="0" applyNumberFormat="1" applyFont="1" applyFill="1" applyBorder="1" applyAlignment="1">
      <alignment horizontal="center"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2" xfId="0" applyFont="1" applyFill="1" applyBorder="1" applyAlignment="1">
      <alignment horizontal="center" vertical="center"/>
    </xf>
    <xf numFmtId="4" fontId="7" fillId="3" borderId="2" xfId="0" applyNumberFormat="1" applyFont="1" applyFill="1" applyBorder="1" applyAlignment="1">
      <alignment vertical="center"/>
    </xf>
    <xf numFmtId="164" fontId="7" fillId="3" borderId="2" xfId="0" applyNumberFormat="1" applyFont="1" applyFill="1" applyBorder="1" applyAlignment="1">
      <alignment horizontal="center" vertical="center"/>
    </xf>
    <xf numFmtId="0" fontId="7" fillId="3" borderId="8" xfId="0" applyFont="1" applyFill="1" applyBorder="1" applyAlignment="1">
      <alignment vertical="center"/>
    </xf>
    <xf numFmtId="0" fontId="7" fillId="3" borderId="9" xfId="0" applyFont="1" applyFill="1" applyBorder="1" applyAlignment="1">
      <alignment vertical="center"/>
    </xf>
    <xf numFmtId="0" fontId="7" fillId="3" borderId="10" xfId="0" applyFont="1" applyFill="1" applyBorder="1" applyAlignment="1">
      <alignment vertical="center"/>
    </xf>
    <xf numFmtId="0" fontId="7" fillId="3" borderId="8" xfId="0" applyFont="1" applyFill="1" applyBorder="1" applyAlignment="1">
      <alignment horizontal="center" vertical="center"/>
    </xf>
    <xf numFmtId="4" fontId="7" fillId="3" borderId="8" xfId="0" applyNumberFormat="1" applyFont="1" applyFill="1" applyBorder="1" applyAlignment="1">
      <alignment vertical="center"/>
    </xf>
    <xf numFmtId="164" fontId="7" fillId="3" borderId="8" xfId="0" applyNumberFormat="1" applyFont="1" applyFill="1" applyBorder="1" applyAlignment="1">
      <alignment horizontal="center" vertical="center"/>
    </xf>
    <xf numFmtId="0" fontId="7" fillId="4" borderId="2" xfId="0" applyFont="1" applyFill="1" applyBorder="1" applyAlignment="1">
      <alignment vertical="center"/>
    </xf>
    <xf numFmtId="0" fontId="7" fillId="4" borderId="3" xfId="0" applyFont="1" applyFill="1" applyBorder="1" applyAlignment="1">
      <alignment vertical="center"/>
    </xf>
    <xf numFmtId="0" fontId="7" fillId="4" borderId="4" xfId="0" applyFont="1" applyFill="1" applyBorder="1" applyAlignment="1">
      <alignment vertical="center"/>
    </xf>
    <xf numFmtId="0" fontId="7" fillId="4" borderId="2" xfId="0" applyFont="1" applyFill="1" applyBorder="1" applyAlignment="1">
      <alignment horizontal="center" vertical="center"/>
    </xf>
    <xf numFmtId="4" fontId="7" fillId="4" borderId="2" xfId="0" applyNumberFormat="1" applyFont="1" applyFill="1" applyBorder="1" applyAlignment="1">
      <alignment vertical="center"/>
    </xf>
    <xf numFmtId="164" fontId="7" fillId="4" borderId="2" xfId="0" applyNumberFormat="1" applyFont="1" applyFill="1" applyBorder="1" applyAlignment="1">
      <alignment horizontal="center" vertical="center"/>
    </xf>
    <xf numFmtId="0" fontId="7" fillId="4" borderId="8" xfId="0" applyFont="1" applyFill="1" applyBorder="1" applyAlignment="1">
      <alignment vertical="center"/>
    </xf>
    <xf numFmtId="0" fontId="7" fillId="4" borderId="9" xfId="0" applyFont="1" applyFill="1" applyBorder="1" applyAlignment="1">
      <alignment vertical="center"/>
    </xf>
    <xf numFmtId="0" fontId="7" fillId="4" borderId="10" xfId="0" applyFont="1" applyFill="1" applyBorder="1" applyAlignment="1">
      <alignment vertical="center"/>
    </xf>
    <xf numFmtId="0" fontId="7" fillId="4" borderId="8" xfId="0" applyFont="1" applyFill="1" applyBorder="1" applyAlignment="1">
      <alignment horizontal="center" vertical="center"/>
    </xf>
    <xf numFmtId="4" fontId="7" fillId="4" borderId="8" xfId="0" applyNumberFormat="1" applyFont="1" applyFill="1" applyBorder="1" applyAlignment="1">
      <alignment vertical="center"/>
    </xf>
    <xf numFmtId="164" fontId="7" fillId="4" borderId="8" xfId="0" applyNumberFormat="1"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wrapText="1"/>
    </xf>
    <xf numFmtId="4" fontId="7" fillId="0" borderId="3" xfId="0" applyNumberFormat="1" applyFont="1" applyBorder="1" applyAlignment="1">
      <alignment vertical="center"/>
    </xf>
    <xf numFmtId="164" fontId="7" fillId="0" borderId="2" xfId="0" applyNumberFormat="1" applyFont="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5" fillId="0" borderId="5" xfId="0" applyFont="1" applyBorder="1" applyAlignment="1">
      <alignment vertical="center"/>
    </xf>
    <xf numFmtId="49" fontId="7" fillId="0" borderId="5" xfId="0" applyNumberFormat="1" applyFont="1" applyBorder="1" applyAlignment="1">
      <alignment vertical="center"/>
    </xf>
    <xf numFmtId="4" fontId="7" fillId="0" borderId="5" xfId="0" applyNumberFormat="1" applyFont="1" applyBorder="1" applyAlignment="1">
      <alignment vertical="center"/>
    </xf>
    <xf numFmtId="164" fontId="7" fillId="0" borderId="5" xfId="0" applyNumberFormat="1" applyFont="1" applyBorder="1" applyAlignment="1">
      <alignment horizontal="center" vertical="center"/>
    </xf>
    <xf numFmtId="0" fontId="7" fillId="0" borderId="7" xfId="0" applyFont="1" applyBorder="1" applyAlignment="1">
      <alignment vertical="center" wrapText="1"/>
    </xf>
    <xf numFmtId="4" fontId="7" fillId="0" borderId="5" xfId="0" applyNumberFormat="1" applyFont="1" applyFill="1" applyBorder="1" applyAlignment="1">
      <alignment vertical="center"/>
    </xf>
    <xf numFmtId="0" fontId="7" fillId="0" borderId="8" xfId="0" applyFont="1" applyBorder="1" applyAlignment="1">
      <alignment horizontal="center" vertical="center"/>
    </xf>
    <xf numFmtId="0" fontId="7" fillId="0" borderId="9" xfId="0" applyFont="1" applyBorder="1" applyAlignment="1">
      <alignment vertical="center"/>
    </xf>
    <xf numFmtId="0" fontId="7" fillId="0" borderId="10" xfId="0" applyFont="1" applyBorder="1" applyAlignment="1">
      <alignment vertical="center" wrapText="1"/>
    </xf>
    <xf numFmtId="4" fontId="7" fillId="0" borderId="9" xfId="0" applyNumberFormat="1" applyFont="1" applyBorder="1" applyAlignment="1">
      <alignment vertical="center"/>
    </xf>
    <xf numFmtId="164" fontId="7" fillId="0" borderId="8" xfId="0" applyNumberFormat="1" applyFont="1" applyBorder="1" applyAlignment="1">
      <alignment horizontal="center" vertical="center"/>
    </xf>
    <xf numFmtId="4" fontId="7" fillId="0" borderId="6" xfId="0" applyNumberFormat="1" applyFont="1" applyFill="1" applyBorder="1" applyAlignment="1">
      <alignment vertical="center"/>
    </xf>
    <xf numFmtId="0" fontId="7" fillId="0" borderId="5" xfId="0" applyFont="1" applyBorder="1" applyAlignment="1">
      <alignment horizontal="center" vertical="center" wrapText="1"/>
    </xf>
    <xf numFmtId="0" fontId="7" fillId="5" borderId="6" xfId="0" applyFont="1" applyFill="1" applyBorder="1" applyAlignment="1">
      <alignment vertical="center"/>
    </xf>
    <xf numFmtId="0" fontId="7" fillId="5" borderId="7" xfId="0" applyFont="1" applyFill="1" applyBorder="1" applyAlignment="1">
      <alignment vertical="center" wrapText="1"/>
    </xf>
    <xf numFmtId="4" fontId="7" fillId="5" borderId="6" xfId="0" applyNumberFormat="1" applyFont="1" applyFill="1" applyBorder="1" applyAlignment="1">
      <alignment vertical="center"/>
    </xf>
    <xf numFmtId="164" fontId="7" fillId="5" borderId="5" xfId="0" applyNumberFormat="1" applyFont="1" applyFill="1" applyBorder="1" applyAlignment="1">
      <alignment horizontal="center" vertical="center"/>
    </xf>
    <xf numFmtId="4" fontId="7" fillId="0" borderId="0" xfId="0" applyNumberFormat="1" applyFont="1" applyFill="1" applyAlignment="1">
      <alignment vertical="center"/>
    </xf>
    <xf numFmtId="0" fontId="7" fillId="0" borderId="0" xfId="0" applyFont="1" applyFill="1" applyAlignment="1">
      <alignment vertical="center"/>
    </xf>
    <xf numFmtId="0" fontId="2" fillId="0" borderId="0" xfId="0" applyFont="1" applyFill="1" applyAlignment="1">
      <alignment horizontal="center" vertical="center"/>
    </xf>
    <xf numFmtId="0" fontId="7" fillId="0" borderId="0" xfId="0" applyFont="1" applyFill="1" applyAlignment="1">
      <alignment horizontal="center" vertical="center"/>
    </xf>
    <xf numFmtId="49" fontId="3" fillId="0" borderId="0" xfId="0" applyNumberFormat="1" applyFont="1" applyFill="1" applyAlignment="1">
      <alignment horizontal="center" vertical="center"/>
    </xf>
    <xf numFmtId="49" fontId="7" fillId="2" borderId="5"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1" fillId="0" borderId="0" xfId="0" applyFont="1" applyFill="1" applyAlignment="1">
      <alignment vertical="center"/>
    </xf>
    <xf numFmtId="49" fontId="7" fillId="3" borderId="7" xfId="0" applyNumberFormat="1" applyFont="1" applyFill="1" applyBorder="1" applyAlignment="1">
      <alignment vertical="center"/>
    </xf>
    <xf numFmtId="49" fontId="7" fillId="2" borderId="7" xfId="0" applyNumberFormat="1" applyFont="1" applyFill="1" applyBorder="1" applyAlignment="1">
      <alignment vertical="center"/>
    </xf>
    <xf numFmtId="49" fontId="7" fillId="0" borderId="6" xfId="0" applyNumberFormat="1" applyFont="1" applyBorder="1" applyAlignment="1">
      <alignment vertical="center"/>
    </xf>
    <xf numFmtId="4" fontId="7" fillId="0" borderId="6" xfId="0" applyNumberFormat="1" applyFont="1" applyBorder="1" applyAlignment="1">
      <alignment vertical="center"/>
    </xf>
    <xf numFmtId="4" fontId="6" fillId="0" borderId="0" xfId="0" applyNumberFormat="1" applyFont="1" applyFill="1" applyAlignment="1">
      <alignment horizontal="left" vertical="center"/>
    </xf>
    <xf numFmtId="0" fontId="7" fillId="0" borderId="5" xfId="0" applyFont="1" applyBorder="1" applyAlignment="1">
      <alignment vertical="center" wrapText="1"/>
    </xf>
    <xf numFmtId="0" fontId="9" fillId="0" borderId="6" xfId="0" applyFont="1" applyBorder="1" applyAlignment="1">
      <alignment vertical="center"/>
    </xf>
    <xf numFmtId="0" fontId="9" fillId="0" borderId="7" xfId="0" applyFont="1" applyBorder="1" applyAlignment="1">
      <alignment vertical="center" wrapText="1"/>
    </xf>
    <xf numFmtId="0" fontId="9" fillId="0" borderId="5" xfId="0" applyFont="1" applyBorder="1" applyAlignment="1">
      <alignment horizontal="center" vertical="center" wrapText="1"/>
    </xf>
    <xf numFmtId="49" fontId="9" fillId="0" borderId="5" xfId="0" applyNumberFormat="1" applyFont="1" applyBorder="1" applyAlignment="1">
      <alignment vertical="center"/>
    </xf>
    <xf numFmtId="4" fontId="9" fillId="0" borderId="6" xfId="0" applyNumberFormat="1" applyFont="1" applyBorder="1" applyAlignment="1">
      <alignment vertical="center"/>
    </xf>
    <xf numFmtId="4" fontId="9" fillId="0" borderId="6" xfId="0" applyNumberFormat="1" applyFont="1" applyFill="1" applyBorder="1" applyAlignment="1">
      <alignment vertical="center"/>
    </xf>
    <xf numFmtId="4" fontId="9" fillId="0" borderId="0" xfId="0" applyNumberFormat="1" applyFont="1" applyFill="1" applyAlignment="1">
      <alignment vertical="center"/>
    </xf>
    <xf numFmtId="49" fontId="9" fillId="0" borderId="6" xfId="0" applyNumberFormat="1" applyFont="1" applyBorder="1" applyAlignment="1">
      <alignment vertical="center"/>
    </xf>
    <xf numFmtId="0" fontId="7" fillId="0" borderId="5" xfId="0" applyFont="1" applyBorder="1" applyAlignment="1">
      <alignment vertical="center"/>
    </xf>
    <xf numFmtId="0" fontId="7"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wrapText="1"/>
    </xf>
    <xf numFmtId="0" fontId="9" fillId="0" borderId="8" xfId="0" applyFont="1" applyBorder="1" applyAlignment="1">
      <alignment horizontal="center" vertical="center" wrapText="1"/>
    </xf>
    <xf numFmtId="49" fontId="9" fillId="0" borderId="9" xfId="0" applyNumberFormat="1" applyFont="1" applyBorder="1" applyAlignment="1">
      <alignment vertical="center"/>
    </xf>
    <xf numFmtId="4" fontId="9" fillId="0" borderId="9" xfId="0" applyNumberFormat="1" applyFont="1" applyFill="1" applyBorder="1" applyAlignment="1">
      <alignment vertical="center"/>
    </xf>
    <xf numFmtId="3" fontId="5" fillId="2" borderId="5" xfId="0" applyNumberFormat="1" applyFont="1" applyFill="1" applyBorder="1" applyAlignment="1">
      <alignment vertical="center"/>
    </xf>
    <xf numFmtId="3" fontId="7" fillId="2" borderId="5" xfId="0" applyNumberFormat="1" applyFont="1" applyFill="1" applyBorder="1" applyAlignment="1">
      <alignment vertical="center"/>
    </xf>
    <xf numFmtId="3" fontId="7" fillId="2" borderId="8" xfId="0" applyNumberFormat="1" applyFont="1" applyFill="1" applyBorder="1" applyAlignment="1">
      <alignment vertical="center"/>
    </xf>
    <xf numFmtId="3" fontId="7" fillId="3" borderId="2" xfId="0" applyNumberFormat="1" applyFont="1" applyFill="1" applyBorder="1" applyAlignment="1">
      <alignment vertical="center"/>
    </xf>
    <xf numFmtId="3" fontId="5" fillId="3" borderId="5" xfId="0" applyNumberFormat="1" applyFont="1" applyFill="1" applyBorder="1" applyAlignment="1">
      <alignment vertical="center"/>
    </xf>
    <xf numFmtId="3" fontId="7" fillId="3" borderId="5" xfId="0" applyNumberFormat="1" applyFont="1" applyFill="1" applyBorder="1" applyAlignment="1">
      <alignment vertical="center"/>
    </xf>
    <xf numFmtId="3" fontId="7" fillId="3" borderId="8" xfId="0" applyNumberFormat="1" applyFont="1" applyFill="1" applyBorder="1" applyAlignment="1">
      <alignment vertical="center"/>
    </xf>
    <xf numFmtId="3" fontId="7" fillId="4" borderId="2" xfId="0" applyNumberFormat="1" applyFont="1" applyFill="1" applyBorder="1" applyAlignment="1">
      <alignment vertical="center"/>
    </xf>
    <xf numFmtId="3" fontId="5" fillId="4" borderId="5" xfId="0" applyNumberFormat="1" applyFont="1" applyFill="1" applyBorder="1" applyAlignment="1">
      <alignment vertical="center"/>
    </xf>
    <xf numFmtId="3" fontId="7" fillId="4" borderId="5" xfId="0" applyNumberFormat="1" applyFont="1" applyFill="1" applyBorder="1" applyAlignment="1">
      <alignment vertical="center"/>
    </xf>
    <xf numFmtId="3" fontId="7" fillId="4" borderId="8" xfId="0" applyNumberFormat="1" applyFont="1" applyFill="1" applyBorder="1" applyAlignment="1">
      <alignment vertical="center"/>
    </xf>
    <xf numFmtId="3" fontId="7" fillId="0" borderId="3" xfId="0" applyNumberFormat="1" applyFont="1" applyBorder="1" applyAlignment="1">
      <alignment vertical="center"/>
    </xf>
    <xf numFmtId="3" fontId="7" fillId="0" borderId="2" xfId="0" applyNumberFormat="1" applyFont="1" applyBorder="1" applyAlignment="1">
      <alignment vertical="center"/>
    </xf>
    <xf numFmtId="3" fontId="5" fillId="0" borderId="5" xfId="0" applyNumberFormat="1" applyFont="1" applyBorder="1" applyAlignment="1">
      <alignment vertical="center"/>
    </xf>
    <xf numFmtId="3" fontId="7" fillId="0" borderId="5" xfId="0" applyNumberFormat="1" applyFont="1" applyBorder="1" applyAlignment="1">
      <alignment vertical="center"/>
    </xf>
    <xf numFmtId="3" fontId="7" fillId="0" borderId="6" xfId="0" applyNumberFormat="1" applyFont="1" applyBorder="1" applyAlignment="1">
      <alignment vertical="center"/>
    </xf>
    <xf numFmtId="3" fontId="7" fillId="0" borderId="9" xfId="0" applyNumberFormat="1" applyFont="1" applyBorder="1" applyAlignment="1">
      <alignment vertical="center"/>
    </xf>
    <xf numFmtId="3" fontId="7" fillId="0" borderId="8" xfId="0" applyNumberFormat="1" applyFont="1" applyBorder="1" applyAlignment="1">
      <alignment vertical="center"/>
    </xf>
    <xf numFmtId="3" fontId="9" fillId="0" borderId="6" xfId="0" applyNumberFormat="1" applyFont="1" applyBorder="1" applyAlignment="1">
      <alignment vertical="center"/>
    </xf>
    <xf numFmtId="3" fontId="9" fillId="0" borderId="5" xfId="0" applyNumberFormat="1" applyFont="1" applyBorder="1" applyAlignment="1">
      <alignment vertical="center"/>
    </xf>
    <xf numFmtId="3" fontId="9" fillId="0" borderId="9" xfId="0" applyNumberFormat="1" applyFont="1" applyBorder="1" applyAlignment="1">
      <alignment vertical="center"/>
    </xf>
    <xf numFmtId="3" fontId="9" fillId="0" borderId="8" xfId="0" applyNumberFormat="1" applyFont="1" applyBorder="1" applyAlignment="1">
      <alignment vertical="center"/>
    </xf>
    <xf numFmtId="3" fontId="7" fillId="5" borderId="6" xfId="0" applyNumberFormat="1" applyFont="1" applyFill="1" applyBorder="1" applyAlignment="1">
      <alignment vertical="center"/>
    </xf>
    <xf numFmtId="3" fontId="7" fillId="5" borderId="5" xfId="0" applyNumberFormat="1" applyFont="1" applyFill="1" applyBorder="1" applyAlignment="1">
      <alignment vertical="center"/>
    </xf>
    <xf numFmtId="0" fontId="7" fillId="0" borderId="7" xfId="0" applyFont="1" applyFill="1" applyBorder="1" applyAlignment="1">
      <alignment vertical="center" wrapText="1"/>
    </xf>
    <xf numFmtId="164" fontId="7" fillId="0" borderId="6" xfId="0" applyNumberFormat="1" applyFont="1" applyBorder="1" applyAlignment="1">
      <alignment horizontal="center" vertical="center"/>
    </xf>
    <xf numFmtId="49" fontId="7" fillId="0" borderId="7" xfId="0" applyNumberFormat="1" applyFont="1" applyBorder="1" applyAlignment="1">
      <alignment vertical="center"/>
    </xf>
    <xf numFmtId="0" fontId="7" fillId="0" borderId="5" xfId="0" applyFont="1" applyBorder="1" applyAlignment="1">
      <alignment horizontal="center" vertical="center"/>
    </xf>
    <xf numFmtId="0" fontId="7" fillId="0" borderId="2" xfId="0" applyFont="1" applyBorder="1" applyAlignment="1">
      <alignment vertical="center"/>
    </xf>
    <xf numFmtId="0" fontId="7" fillId="0" borderId="11" xfId="0" applyFont="1" applyBorder="1" applyAlignment="1">
      <alignment vertical="center"/>
    </xf>
    <xf numFmtId="4" fontId="7" fillId="0" borderId="2" xfId="0" applyNumberFormat="1" applyFont="1" applyBorder="1" applyAlignment="1">
      <alignment vertical="center"/>
    </xf>
    <xf numFmtId="164" fontId="5" fillId="0" borderId="2" xfId="0" applyNumberFormat="1"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49" fontId="7" fillId="0" borderId="8" xfId="0" applyNumberFormat="1" applyFont="1" applyBorder="1" applyAlignment="1">
      <alignment vertical="center"/>
    </xf>
    <xf numFmtId="164" fontId="5" fillId="0" borderId="7" xfId="0" applyNumberFormat="1" applyFont="1" applyBorder="1" applyAlignment="1">
      <alignment horizontal="center" vertical="center"/>
    </xf>
    <xf numFmtId="164" fontId="7" fillId="0" borderId="7" xfId="0" applyNumberFormat="1" applyFont="1" applyBorder="1" applyAlignment="1">
      <alignment horizontal="center" vertical="center"/>
    </xf>
    <xf numFmtId="164" fontId="7" fillId="0" borderId="10" xfId="0" applyNumberFormat="1" applyFont="1" applyBorder="1" applyAlignment="1">
      <alignment horizontal="center" vertical="center"/>
    </xf>
    <xf numFmtId="3" fontId="7" fillId="0" borderId="5" xfId="0" applyNumberFormat="1" applyFont="1" applyBorder="1" applyAlignment="1">
      <alignment horizontal="right" vertical="center"/>
    </xf>
    <xf numFmtId="4" fontId="7" fillId="0" borderId="5" xfId="0" applyNumberFormat="1" applyFont="1" applyBorder="1" applyAlignment="1">
      <alignment horizontal="center" vertical="center"/>
    </xf>
    <xf numFmtId="3" fontId="7" fillId="0" borderId="8" xfId="0" applyNumberFormat="1" applyFont="1" applyBorder="1" applyAlignment="1">
      <alignment horizontal="right" vertical="center"/>
    </xf>
    <xf numFmtId="4" fontId="7" fillId="0" borderId="8" xfId="0" applyNumberFormat="1" applyFont="1" applyFill="1" applyBorder="1" applyAlignment="1">
      <alignment vertical="center"/>
    </xf>
    <xf numFmtId="3" fontId="5" fillId="0" borderId="6" xfId="0" applyNumberFormat="1" applyFont="1" applyBorder="1" applyAlignment="1">
      <alignment vertical="center"/>
    </xf>
    <xf numFmtId="3" fontId="7" fillId="0" borderId="6" xfId="0" applyNumberFormat="1" applyFont="1" applyBorder="1" applyAlignment="1">
      <alignment horizontal="right" vertical="center"/>
    </xf>
    <xf numFmtId="4" fontId="7" fillId="0" borderId="6" xfId="0" applyNumberFormat="1" applyFont="1" applyBorder="1" applyAlignment="1">
      <alignment horizontal="center" vertical="center"/>
    </xf>
    <xf numFmtId="3" fontId="7" fillId="0" borderId="9" xfId="0" applyNumberFormat="1" applyFont="1" applyBorder="1" applyAlignment="1">
      <alignment horizontal="right" vertical="center"/>
    </xf>
    <xf numFmtId="0" fontId="7" fillId="0" borderId="0" xfId="0" applyFont="1" applyBorder="1" applyAlignment="1">
      <alignment vertical="center" wrapText="1"/>
    </xf>
    <xf numFmtId="4" fontId="7" fillId="0" borderId="0" xfId="0" applyNumberFormat="1" applyFont="1" applyAlignment="1">
      <alignment vertical="center"/>
    </xf>
    <xf numFmtId="4" fontId="7" fillId="0" borderId="8" xfId="0" applyNumberFormat="1" applyFont="1" applyBorder="1" applyAlignment="1">
      <alignment horizontal="center" vertical="center"/>
    </xf>
    <xf numFmtId="3" fontId="5" fillId="0" borderId="6" xfId="0" applyNumberFormat="1" applyFont="1" applyBorder="1" applyAlignment="1">
      <alignment horizontal="right" vertical="center"/>
    </xf>
    <xf numFmtId="4" fontId="5" fillId="0" borderId="6" xfId="0" applyNumberFormat="1" applyFont="1" applyBorder="1" applyAlignment="1">
      <alignment horizontal="right" vertical="center"/>
    </xf>
    <xf numFmtId="0" fontId="7" fillId="0" borderId="0" xfId="0" applyFont="1" applyFill="1" applyBorder="1" applyAlignment="1">
      <alignment vertical="center" wrapText="1"/>
    </xf>
    <xf numFmtId="0" fontId="7" fillId="0" borderId="12" xfId="0" applyFont="1" applyBorder="1" applyAlignment="1">
      <alignment vertical="center" wrapText="1"/>
    </xf>
    <xf numFmtId="4" fontId="7" fillId="0" borderId="9" xfId="0" applyNumberFormat="1" applyFont="1" applyBorder="1" applyAlignment="1">
      <alignment horizontal="center" vertical="center"/>
    </xf>
    <xf numFmtId="4" fontId="7" fillId="0" borderId="9" xfId="0" applyNumberFormat="1" applyFont="1" applyFill="1" applyBorder="1" applyAlignment="1">
      <alignment vertical="center"/>
    </xf>
    <xf numFmtId="0" fontId="7" fillId="0" borderId="10" xfId="0" applyFont="1" applyBorder="1" applyAlignment="1">
      <alignment vertical="center"/>
    </xf>
    <xf numFmtId="3" fontId="7" fillId="0" borderId="0" xfId="0" applyNumberFormat="1" applyFont="1" applyBorder="1" applyAlignment="1">
      <alignment vertical="center"/>
    </xf>
    <xf numFmtId="3" fontId="7" fillId="0" borderId="12" xfId="0" applyNumberFormat="1" applyFont="1" applyBorder="1" applyAlignment="1">
      <alignment horizontal="right" vertical="center"/>
    </xf>
    <xf numFmtId="3" fontId="7" fillId="0" borderId="12" xfId="0" applyNumberFormat="1" applyFont="1" applyBorder="1" applyAlignment="1">
      <alignment vertical="center"/>
    </xf>
    <xf numFmtId="3" fontId="7" fillId="0" borderId="5" xfId="0" applyNumberFormat="1" applyFont="1" applyFill="1" applyBorder="1" applyAlignment="1">
      <alignment vertical="center"/>
    </xf>
    <xf numFmtId="3" fontId="7" fillId="0" borderId="5" xfId="0" applyNumberFormat="1" applyFont="1" applyBorder="1" applyAlignment="1">
      <alignment vertical="center" wrapText="1"/>
    </xf>
    <xf numFmtId="4" fontId="7" fillId="0" borderId="5" xfId="0" applyNumberFormat="1" applyFont="1" applyBorder="1" applyAlignment="1">
      <alignment horizontal="center" vertical="center" wrapText="1"/>
    </xf>
    <xf numFmtId="3" fontId="7" fillId="0" borderId="6" xfId="0" applyNumberFormat="1" applyFont="1" applyBorder="1" applyAlignment="1">
      <alignment horizontal="right" vertical="center" wrapText="1"/>
    </xf>
    <xf numFmtId="4" fontId="7" fillId="0" borderId="6" xfId="0" applyNumberFormat="1" applyFont="1" applyFill="1" applyBorder="1" applyAlignment="1">
      <alignment vertical="center" wrapText="1"/>
    </xf>
    <xf numFmtId="4" fontId="7" fillId="0" borderId="6"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vertical="center" wrapText="1"/>
    </xf>
    <xf numFmtId="0" fontId="0" fillId="0" borderId="8" xfId="0" applyBorder="1" applyAlignment="1">
      <alignment vertical="center" wrapText="1"/>
    </xf>
    <xf numFmtId="0" fontId="7" fillId="5" borderId="5" xfId="0" applyFont="1" applyFill="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5" xfId="0" applyFont="1" applyBorder="1" applyAlignment="1">
      <alignment vertical="center" wrapText="1"/>
    </xf>
    <xf numFmtId="0" fontId="5" fillId="0" borderId="7" xfId="0" applyFont="1" applyBorder="1" applyAlignment="1">
      <alignment vertical="center"/>
    </xf>
    <xf numFmtId="0" fontId="7" fillId="0" borderId="11" xfId="0" applyFont="1" applyBorder="1" applyAlignment="1">
      <alignment horizontal="center" vertical="center"/>
    </xf>
    <xf numFmtId="49" fontId="7" fillId="0" borderId="2" xfId="0" applyNumberFormat="1" applyFont="1" applyBorder="1" applyAlignment="1">
      <alignment vertical="center"/>
    </xf>
    <xf numFmtId="164" fontId="7" fillId="0" borderId="4" xfId="0" applyNumberFormat="1" applyFont="1" applyBorder="1" applyAlignment="1">
      <alignment horizontal="center" vertical="center"/>
    </xf>
    <xf numFmtId="0" fontId="7" fillId="0" borderId="5" xfId="0" applyFont="1" applyFill="1" applyBorder="1" applyAlignment="1">
      <alignment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6" fillId="0" borderId="0" xfId="0" applyFont="1" applyAlignment="1">
      <alignment horizontal="left" vertical="center"/>
    </xf>
    <xf numFmtId="4" fontId="0" fillId="0" borderId="0" xfId="0" applyNumberFormat="1" applyAlignment="1">
      <alignment vertical="center"/>
    </xf>
    <xf numFmtId="0" fontId="6" fillId="0" borderId="0" xfId="0" applyFont="1" applyAlignment="1">
      <alignment vertical="center"/>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49" fontId="7" fillId="0" borderId="9" xfId="0" applyNumberFormat="1" applyFont="1" applyBorder="1" applyAlignment="1">
      <alignment vertical="center"/>
    </xf>
    <xf numFmtId="0" fontId="0" fillId="0" borderId="5" xfId="0" applyBorder="1" applyAlignment="1">
      <alignment vertical="center"/>
    </xf>
    <xf numFmtId="3" fontId="10" fillId="0" borderId="5" xfId="0" applyNumberFormat="1" applyFont="1" applyBorder="1" applyAlignment="1">
      <alignment vertical="center"/>
    </xf>
    <xf numFmtId="3" fontId="10" fillId="0" borderId="8" xfId="0" applyNumberFormat="1" applyFont="1" applyBorder="1" applyAlignment="1">
      <alignment vertical="center"/>
    </xf>
    <xf numFmtId="3" fontId="10" fillId="0" borderId="2" xfId="0" applyNumberFormat="1" applyFont="1" applyBorder="1" applyAlignment="1">
      <alignment vertical="center"/>
    </xf>
    <xf numFmtId="3" fontId="10" fillId="0" borderId="11" xfId="0" applyNumberFormat="1" applyFont="1" applyBorder="1" applyAlignment="1">
      <alignment vertical="center"/>
    </xf>
    <xf numFmtId="3" fontId="7" fillId="0" borderId="0" xfId="0" applyNumberFormat="1" applyFont="1" applyAlignment="1">
      <alignment vertical="center"/>
    </xf>
    <xf numFmtId="3" fontId="7" fillId="0" borderId="11" xfId="0" applyNumberFormat="1" applyFont="1" applyBorder="1" applyAlignment="1">
      <alignment vertical="center"/>
    </xf>
    <xf numFmtId="3" fontId="10" fillId="0" borderId="0" xfId="0" applyNumberFormat="1" applyFont="1" applyBorder="1" applyAlignment="1">
      <alignment vertical="center"/>
    </xf>
    <xf numFmtId="3" fontId="7" fillId="0" borderId="7" xfId="0" applyNumberFormat="1" applyFont="1" applyBorder="1" applyAlignment="1">
      <alignment vertical="center"/>
    </xf>
    <xf numFmtId="3" fontId="5" fillId="0" borderId="7" xfId="0" applyNumberFormat="1" applyFont="1" applyBorder="1" applyAlignment="1">
      <alignment vertical="center"/>
    </xf>
    <xf numFmtId="3" fontId="10" fillId="0" borderId="10" xfId="0" applyNumberFormat="1" applyFont="1" applyBorder="1" applyAlignment="1">
      <alignment vertical="center"/>
    </xf>
    <xf numFmtId="3" fontId="7" fillId="0" borderId="10" xfId="0" applyNumberFormat="1" applyFont="1" applyBorder="1" applyAlignment="1">
      <alignment vertical="center"/>
    </xf>
    <xf numFmtId="0" fontId="7" fillId="0" borderId="8" xfId="0" applyFont="1" applyBorder="1" applyAlignment="1">
      <alignment vertical="center" wrapText="1"/>
    </xf>
    <xf numFmtId="4" fontId="5" fillId="0" borderId="5" xfId="0" applyNumberFormat="1" applyFont="1" applyBorder="1" applyAlignment="1">
      <alignment horizontal="center" vertical="center"/>
    </xf>
    <xf numFmtId="0" fontId="0" fillId="0" borderId="6" xfId="0" applyBorder="1" applyAlignment="1">
      <alignment horizontal="center" vertical="center"/>
    </xf>
    <xf numFmtId="4" fontId="7" fillId="0" borderId="2" xfId="0" applyNumberFormat="1" applyFont="1" applyFill="1" applyBorder="1" applyAlignment="1">
      <alignment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3" fontId="7" fillId="0" borderId="3" xfId="0" applyNumberFormat="1" applyFont="1" applyBorder="1" applyAlignment="1">
      <alignment horizontal="right" vertical="center"/>
    </xf>
    <xf numFmtId="4" fontId="7" fillId="0" borderId="2" xfId="0" applyNumberFormat="1" applyFont="1" applyBorder="1" applyAlignment="1">
      <alignment horizontal="center" vertical="center"/>
    </xf>
    <xf numFmtId="49" fontId="7" fillId="0" borderId="3" xfId="0" applyNumberFormat="1" applyFont="1" applyBorder="1" applyAlignment="1">
      <alignment vertical="center"/>
    </xf>
    <xf numFmtId="4" fontId="7" fillId="0" borderId="3" xfId="0" applyNumberFormat="1" applyFont="1" applyBorder="1" applyAlignment="1">
      <alignment horizontal="center" vertical="center"/>
    </xf>
    <xf numFmtId="0" fontId="5" fillId="0" borderId="6" xfId="0" applyFont="1" applyBorder="1" applyAlignment="1">
      <alignment vertical="center"/>
    </xf>
    <xf numFmtId="3" fontId="7" fillId="0" borderId="2" xfId="0" applyNumberFormat="1" applyFont="1" applyBorder="1" applyAlignment="1">
      <alignment horizontal="right" vertical="center"/>
    </xf>
    <xf numFmtId="3" fontId="5" fillId="0" borderId="5" xfId="0" applyNumberFormat="1" applyFont="1" applyBorder="1" applyAlignment="1">
      <alignment horizontal="right" vertical="center"/>
    </xf>
    <xf numFmtId="4" fontId="7" fillId="0" borderId="3" xfId="0" applyNumberFormat="1" applyFont="1" applyFill="1" applyBorder="1" applyAlignment="1">
      <alignment vertical="center"/>
    </xf>
    <xf numFmtId="3" fontId="5" fillId="0" borderId="6" xfId="0" applyNumberFormat="1" applyFont="1" applyBorder="1" applyAlignment="1">
      <alignment horizontal="right" vertical="center" wrapText="1"/>
    </xf>
    <xf numFmtId="4" fontId="5" fillId="0" borderId="5" xfId="0" applyNumberFormat="1" applyFont="1" applyBorder="1" applyAlignment="1">
      <alignment horizontal="center" vertical="center" wrapText="1"/>
    </xf>
    <xf numFmtId="3" fontId="5" fillId="0" borderId="5" xfId="0" applyNumberFormat="1" applyFont="1" applyBorder="1" applyAlignment="1">
      <alignment horizontal="right" vertical="center" wrapText="1"/>
    </xf>
    <xf numFmtId="4" fontId="5" fillId="0" borderId="6" xfId="0" applyNumberFormat="1" applyFont="1" applyBorder="1" applyAlignment="1">
      <alignment horizontal="right" vertical="center" wrapText="1"/>
    </xf>
    <xf numFmtId="0" fontId="7" fillId="0" borderId="11" xfId="0" applyFont="1" applyBorder="1" applyAlignment="1">
      <alignment vertical="center" wrapText="1"/>
    </xf>
    <xf numFmtId="0" fontId="7" fillId="0" borderId="2" xfId="0" applyFont="1" applyBorder="1" applyAlignment="1">
      <alignment vertical="center" wrapText="1"/>
    </xf>
    <xf numFmtId="0" fontId="0" fillId="0" borderId="9" xfId="0" applyBorder="1" applyAlignment="1">
      <alignment vertical="center"/>
    </xf>
    <xf numFmtId="0" fontId="0" fillId="0" borderId="3" xfId="0" applyBorder="1" applyAlignment="1">
      <alignment vertical="center"/>
    </xf>
    <xf numFmtId="0" fontId="7" fillId="7" borderId="2" xfId="0" applyFont="1" applyFill="1" applyBorder="1" applyAlignment="1">
      <alignment vertical="center"/>
    </xf>
    <xf numFmtId="0" fontId="7" fillId="7" borderId="3" xfId="0" applyFont="1" applyFill="1" applyBorder="1" applyAlignment="1">
      <alignment vertical="center"/>
    </xf>
    <xf numFmtId="0" fontId="7" fillId="7" borderId="4" xfId="0" applyFont="1" applyFill="1" applyBorder="1" applyAlignment="1">
      <alignment vertical="center"/>
    </xf>
    <xf numFmtId="0" fontId="7" fillId="7" borderId="2" xfId="0" applyFont="1" applyFill="1" applyBorder="1" applyAlignment="1">
      <alignment horizontal="center" vertical="center"/>
    </xf>
    <xf numFmtId="3" fontId="7" fillId="7" borderId="2" xfId="0" applyNumberFormat="1" applyFont="1" applyFill="1" applyBorder="1" applyAlignment="1">
      <alignment vertical="center"/>
    </xf>
    <xf numFmtId="4" fontId="7" fillId="7" borderId="2" xfId="0" applyNumberFormat="1" applyFont="1" applyFill="1" applyBorder="1" applyAlignment="1">
      <alignment vertical="center"/>
    </xf>
    <xf numFmtId="164" fontId="7" fillId="7" borderId="2" xfId="0" applyNumberFormat="1" applyFont="1" applyFill="1" applyBorder="1" applyAlignment="1">
      <alignment horizontal="center" vertical="center"/>
    </xf>
    <xf numFmtId="0" fontId="9" fillId="0" borderId="8" xfId="0" applyFont="1" applyBorder="1" applyAlignment="1">
      <alignment vertical="center" wrapText="1"/>
    </xf>
    <xf numFmtId="3" fontId="5" fillId="0" borderId="5" xfId="0" applyNumberFormat="1" applyFont="1" applyFill="1" applyBorder="1" applyAlignment="1">
      <alignment vertical="center"/>
    </xf>
    <xf numFmtId="3" fontId="9" fillId="0" borderId="6" xfId="0" applyNumberFormat="1" applyFont="1" applyFill="1" applyBorder="1" applyAlignment="1">
      <alignment vertical="center"/>
    </xf>
    <xf numFmtId="0" fontId="0" fillId="0" borderId="8" xfId="0" applyBorder="1" applyAlignment="1">
      <alignment horizontal="center" vertical="center"/>
    </xf>
    <xf numFmtId="49" fontId="7" fillId="8" borderId="9" xfId="0" applyNumberFormat="1" applyFont="1" applyFill="1" applyBorder="1" applyAlignment="1">
      <alignment vertical="center"/>
    </xf>
    <xf numFmtId="3" fontId="7" fillId="0" borderId="9" xfId="0" applyNumberFormat="1" applyFont="1" applyBorder="1" applyAlignment="1">
      <alignment horizontal="right" vertical="center" wrapText="1"/>
    </xf>
    <xf numFmtId="4" fontId="7" fillId="0" borderId="9" xfId="0" applyNumberFormat="1" applyFont="1" applyBorder="1" applyAlignment="1">
      <alignment horizontal="center" vertical="center" wrapText="1"/>
    </xf>
    <xf numFmtId="3" fontId="7" fillId="0" borderId="8" xfId="0" applyNumberFormat="1" applyFont="1" applyBorder="1" applyAlignment="1">
      <alignment vertical="center" wrapText="1"/>
    </xf>
    <xf numFmtId="4" fontId="7" fillId="0" borderId="9" xfId="0" applyNumberFormat="1" applyFont="1" applyFill="1" applyBorder="1" applyAlignment="1">
      <alignment vertical="center" wrapText="1"/>
    </xf>
    <xf numFmtId="3" fontId="7" fillId="0" borderId="5" xfId="0" applyNumberFormat="1" applyFont="1" applyFill="1" applyBorder="1" applyAlignment="1">
      <alignment vertical="center" wrapText="1"/>
    </xf>
    <xf numFmtId="3" fontId="7" fillId="0" borderId="6" xfId="0" applyNumberFormat="1" applyFont="1" applyFill="1" applyBorder="1" applyAlignment="1">
      <alignment horizontal="right" vertical="center" wrapText="1"/>
    </xf>
    <xf numFmtId="0" fontId="4" fillId="0" borderId="0" xfId="0" applyFont="1"/>
    <xf numFmtId="4" fontId="0" fillId="0" borderId="0" xfId="0" applyNumberFormat="1"/>
    <xf numFmtId="4" fontId="4" fillId="0" borderId="0" xfId="0" applyNumberFormat="1" applyFont="1"/>
    <xf numFmtId="0" fontId="6" fillId="0" borderId="0" xfId="0" applyFont="1"/>
    <xf numFmtId="4" fontId="6" fillId="0" borderId="0" xfId="0" applyNumberFormat="1" applyFont="1"/>
    <xf numFmtId="0" fontId="12" fillId="0" borderId="0" xfId="0" applyFont="1" applyAlignment="1">
      <alignment horizontal="center"/>
    </xf>
    <xf numFmtId="4" fontId="12" fillId="0" borderId="0" xfId="0" applyNumberFormat="1" applyFont="1" applyAlignment="1">
      <alignment horizontal="center"/>
    </xf>
    <xf numFmtId="2" fontId="0" fillId="0" borderId="0" xfId="0" applyNumberFormat="1"/>
    <xf numFmtId="2" fontId="6" fillId="0" borderId="0" xfId="0" applyNumberFormat="1" applyFont="1"/>
    <xf numFmtId="0" fontId="6" fillId="0" borderId="1" xfId="0" applyFont="1" applyBorder="1" applyAlignment="1">
      <alignment vertical="center"/>
    </xf>
    <xf numFmtId="4" fontId="6" fillId="0" borderId="1" xfId="0" applyNumberFormat="1" applyFont="1" applyBorder="1" applyAlignment="1">
      <alignment vertical="center"/>
    </xf>
    <xf numFmtId="0" fontId="4" fillId="0" borderId="1" xfId="0" applyFont="1" applyBorder="1" applyAlignment="1">
      <alignment vertical="center"/>
    </xf>
    <xf numFmtId="4" fontId="0" fillId="0" borderId="1" xfId="0" applyNumberFormat="1" applyBorder="1" applyAlignment="1">
      <alignment vertical="center"/>
    </xf>
    <xf numFmtId="0" fontId="0" fillId="0" borderId="0" xfId="0" applyAlignment="1">
      <alignment horizontal="center" vertical="center"/>
    </xf>
    <xf numFmtId="0" fontId="6" fillId="0" borderId="1" xfId="0" applyFont="1" applyBorder="1" applyAlignment="1">
      <alignment horizontal="center" vertical="center"/>
    </xf>
    <xf numFmtId="0" fontId="10" fillId="0" borderId="0" xfId="0" applyFont="1" applyAlignment="1">
      <alignment vertical="center"/>
    </xf>
    <xf numFmtId="4" fontId="13" fillId="0" borderId="1" xfId="0" applyNumberFormat="1" applyFont="1" applyBorder="1" applyAlignment="1">
      <alignment horizontal="center" vertical="center"/>
    </xf>
    <xf numFmtId="0" fontId="13" fillId="0" borderId="0" xfId="0" applyFont="1" applyAlignment="1">
      <alignment horizontal="center" vertical="center"/>
    </xf>
    <xf numFmtId="0" fontId="10"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xf>
    <xf numFmtId="4" fontId="8" fillId="0" borderId="1" xfId="0" applyNumberFormat="1" applyFont="1" applyBorder="1" applyAlignment="1">
      <alignment vertical="center"/>
    </xf>
    <xf numFmtId="0" fontId="10" fillId="0" borderId="1" xfId="0" applyFont="1" applyBorder="1" applyAlignment="1">
      <alignment vertical="center" wrapText="1"/>
    </xf>
    <xf numFmtId="4" fontId="10" fillId="0" borderId="1" xfId="0" applyNumberFormat="1" applyFont="1" applyBorder="1" applyAlignment="1">
      <alignment vertical="center"/>
    </xf>
    <xf numFmtId="4" fontId="14" fillId="0" borderId="1" xfId="0" applyNumberFormat="1" applyFont="1" applyBorder="1" applyAlignment="1">
      <alignment horizontal="center" vertical="center" wrapText="1"/>
    </xf>
    <xf numFmtId="0" fontId="15" fillId="0" borderId="0" xfId="0" applyFont="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0" fillId="0" borderId="1" xfId="0" applyBorder="1" applyAlignment="1">
      <alignment horizontal="center" vertical="center"/>
    </xf>
    <xf numFmtId="0" fontId="9" fillId="0" borderId="5" xfId="0" applyFont="1" applyBorder="1" applyAlignment="1">
      <alignment horizontal="center" vertical="center" wrapText="1"/>
    </xf>
    <xf numFmtId="164" fontId="9" fillId="0" borderId="5" xfId="0" applyNumberFormat="1" applyFont="1" applyBorder="1" applyAlignment="1">
      <alignment horizontal="center" vertical="center"/>
    </xf>
    <xf numFmtId="4" fontId="6" fillId="0" borderId="8" xfId="0" applyNumberFormat="1" applyFont="1" applyBorder="1" applyAlignment="1">
      <alignment vertical="center"/>
    </xf>
    <xf numFmtId="0" fontId="13" fillId="0" borderId="1" xfId="0" applyFont="1" applyBorder="1" applyAlignment="1">
      <alignment horizontal="center" vertical="center" wrapText="1"/>
    </xf>
    <xf numFmtId="4" fontId="8" fillId="0" borderId="8" xfId="0" applyNumberFormat="1" applyFont="1" applyBorder="1" applyAlignment="1">
      <alignment vertical="center"/>
    </xf>
    <xf numFmtId="0" fontId="14" fillId="0" borderId="1" xfId="0" applyFont="1" applyBorder="1" applyAlignment="1">
      <alignment horizontal="center" vertical="center" wrapText="1"/>
    </xf>
    <xf numFmtId="0" fontId="0" fillId="0" borderId="5" xfId="0"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0" fillId="0" borderId="6" xfId="0" applyBorder="1" applyAlignment="1">
      <alignment vertical="center"/>
    </xf>
    <xf numFmtId="0" fontId="7" fillId="0" borderId="5" xfId="0" applyFont="1" applyBorder="1" applyAlignment="1">
      <alignment horizontal="center" vertical="center" wrapText="1"/>
    </xf>
    <xf numFmtId="0" fontId="9" fillId="0" borderId="5" xfId="0" applyFont="1" applyBorder="1" applyAlignment="1">
      <alignment horizontal="center" vertical="center" wrapText="1"/>
    </xf>
    <xf numFmtId="0" fontId="7" fillId="7" borderId="7" xfId="0" applyFont="1" applyFill="1" applyBorder="1" applyAlignment="1">
      <alignment vertical="center"/>
    </xf>
    <xf numFmtId="0" fontId="7" fillId="0" borderId="12" xfId="0" applyFont="1" applyBorder="1" applyAlignment="1">
      <alignment horizontal="center" vertical="center"/>
    </xf>
    <xf numFmtId="3" fontId="10" fillId="0" borderId="12" xfId="0" applyNumberFormat="1" applyFont="1" applyBorder="1" applyAlignment="1">
      <alignment vertical="center"/>
    </xf>
    <xf numFmtId="0" fontId="9"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1" xfId="0" applyFont="1" applyBorder="1" applyAlignment="1">
      <alignment horizontal="center" vertical="center"/>
    </xf>
    <xf numFmtId="4" fontId="10" fillId="0" borderId="0" xfId="0" applyNumberFormat="1" applyFont="1" applyAlignment="1">
      <alignment vertical="center"/>
    </xf>
    <xf numFmtId="0" fontId="0" fillId="0" borderId="0" xfId="0" applyAlignment="1">
      <alignment vertical="center" wrapText="1"/>
    </xf>
    <xf numFmtId="0" fontId="16" fillId="0" borderId="1" xfId="0" applyFont="1" applyBorder="1" applyAlignment="1">
      <alignment vertical="center" wrapText="1"/>
    </xf>
    <xf numFmtId="4" fontId="16" fillId="0" borderId="1" xfId="0" applyNumberFormat="1" applyFont="1" applyBorder="1" applyAlignment="1">
      <alignment horizontal="right" vertical="center" wrapText="1"/>
    </xf>
    <xf numFmtId="0" fontId="15" fillId="0" borderId="1" xfId="0" applyFont="1" applyBorder="1" applyAlignment="1">
      <alignment horizontal="left" vertical="center" wrapText="1" indent="1"/>
    </xf>
    <xf numFmtId="4" fontId="15" fillId="0" borderId="1" xfId="0" applyNumberFormat="1" applyFont="1" applyBorder="1" applyAlignment="1">
      <alignment horizontal="right" vertical="center" wrapText="1"/>
    </xf>
    <xf numFmtId="0" fontId="17" fillId="0" borderId="1" xfId="0" applyFont="1" applyBorder="1" applyAlignment="1">
      <alignment horizontal="left" vertical="center" wrapText="1" indent="2"/>
    </xf>
    <xf numFmtId="4" fontId="17" fillId="0" borderId="1" xfId="0" applyNumberFormat="1" applyFont="1" applyBorder="1" applyAlignment="1">
      <alignment horizontal="right" vertical="center" wrapText="1"/>
    </xf>
    <xf numFmtId="0" fontId="12" fillId="0" borderId="0" xfId="0" applyFont="1" applyAlignment="1">
      <alignment horizontal="center" vertical="center"/>
    </xf>
    <xf numFmtId="4" fontId="6" fillId="0" borderId="0" xfId="0" applyNumberFormat="1" applyFont="1" applyAlignment="1">
      <alignment vertical="center"/>
    </xf>
    <xf numFmtId="0" fontId="12" fillId="0" borderId="1" xfId="0" applyFont="1" applyBorder="1" applyAlignment="1">
      <alignment horizontal="center" vertical="center"/>
    </xf>
    <xf numFmtId="4" fontId="12" fillId="0" borderId="1" xfId="0" applyNumberFormat="1" applyFont="1" applyBorder="1" applyAlignment="1">
      <alignment horizontal="center" vertical="center"/>
    </xf>
    <xf numFmtId="0" fontId="17" fillId="0" borderId="1" xfId="0" applyFont="1" applyBorder="1" applyAlignment="1">
      <alignment horizontal="left" vertical="center" wrapText="1"/>
    </xf>
    <xf numFmtId="4" fontId="0" fillId="0" borderId="1" xfId="0" applyNumberFormat="1" applyBorder="1" applyAlignment="1">
      <alignment vertical="center" wrapText="1"/>
    </xf>
    <xf numFmtId="0" fontId="4" fillId="0" borderId="1" xfId="0" applyFont="1" applyBorder="1" applyAlignment="1">
      <alignment vertical="center" wrapText="1"/>
    </xf>
    <xf numFmtId="0" fontId="12" fillId="0" borderId="1" xfId="0" applyFont="1" applyBorder="1" applyAlignment="1">
      <alignment horizontal="center" vertical="center" wrapText="1"/>
    </xf>
    <xf numFmtId="0" fontId="6" fillId="0" borderId="1" xfId="0" applyFont="1" applyBorder="1" applyAlignment="1">
      <alignment vertical="center" wrapText="1"/>
    </xf>
    <xf numFmtId="3" fontId="6"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0" fontId="4" fillId="0" borderId="1" xfId="0" applyFont="1" applyBorder="1" applyAlignment="1">
      <alignment horizontal="left" vertical="center" wrapText="1" indent="1"/>
    </xf>
    <xf numFmtId="0" fontId="7" fillId="0" borderId="0" xfId="0" applyFont="1" applyAlignment="1">
      <alignment horizontal="left" vertical="center"/>
    </xf>
    <xf numFmtId="4" fontId="10" fillId="6" borderId="2" xfId="0" applyNumberFormat="1" applyFont="1" applyFill="1" applyBorder="1" applyAlignment="1">
      <alignment horizontal="left" vertical="center" wrapText="1"/>
    </xf>
    <xf numFmtId="4" fontId="3" fillId="6" borderId="5" xfId="0" applyNumberFormat="1" applyFont="1" applyFill="1" applyBorder="1" applyAlignment="1">
      <alignment horizontal="left" vertical="center" wrapText="1"/>
    </xf>
    <xf numFmtId="4" fontId="3" fillId="6" borderId="8" xfId="0" applyNumberFormat="1" applyFont="1" applyFill="1" applyBorder="1" applyAlignment="1">
      <alignment horizontal="left" vertical="center" wrapText="1"/>
    </xf>
    <xf numFmtId="4" fontId="3" fillId="5" borderId="2" xfId="0" applyNumberFormat="1" applyFont="1" applyFill="1" applyBorder="1" applyAlignment="1">
      <alignment horizontal="left" vertical="center" wrapText="1"/>
    </xf>
    <xf numFmtId="4" fontId="3" fillId="5" borderId="5" xfId="0" applyNumberFormat="1" applyFont="1" applyFill="1" applyBorder="1" applyAlignment="1">
      <alignment horizontal="left" vertical="center" wrapText="1"/>
    </xf>
    <xf numFmtId="4" fontId="3" fillId="5" borderId="8" xfId="0" applyNumberFormat="1" applyFont="1" applyFill="1" applyBorder="1" applyAlignment="1">
      <alignment horizontal="left" vertical="center" wrapText="1"/>
    </xf>
    <xf numFmtId="4" fontId="3" fillId="7" borderId="2" xfId="0" applyNumberFormat="1" applyFont="1" applyFill="1" applyBorder="1" applyAlignment="1">
      <alignment horizontal="left" vertical="center" wrapText="1"/>
    </xf>
    <xf numFmtId="4" fontId="3" fillId="7" borderId="5" xfId="0" applyNumberFormat="1" applyFont="1" applyFill="1" applyBorder="1" applyAlignment="1">
      <alignment horizontal="left" vertical="center" wrapText="1"/>
    </xf>
    <xf numFmtId="4" fontId="3" fillId="7" borderId="8" xfId="0" applyNumberFormat="1" applyFont="1" applyFill="1" applyBorder="1" applyAlignment="1">
      <alignment horizontal="left" vertical="center" wrapText="1"/>
    </xf>
    <xf numFmtId="4" fontId="3" fillId="0" borderId="2" xfId="0" applyNumberFormat="1" applyFont="1" applyFill="1" applyBorder="1" applyAlignment="1">
      <alignment horizontal="left" vertical="center" wrapText="1"/>
    </xf>
    <xf numFmtId="4" fontId="3" fillId="0" borderId="8" xfId="0" applyNumberFormat="1"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xf>
    <xf numFmtId="0" fontId="3" fillId="0" borderId="8" xfId="0" applyFont="1" applyBorder="1" applyAlignment="1">
      <alignment horizontal="left" vertical="center"/>
    </xf>
    <xf numFmtId="4" fontId="3" fillId="0" borderId="5" xfId="0" applyNumberFormat="1" applyFont="1" applyFill="1" applyBorder="1" applyAlignment="1">
      <alignment horizontal="left" vertical="center" wrapText="1"/>
    </xf>
    <xf numFmtId="0" fontId="0" fillId="0" borderId="8" xfId="0" applyBorder="1" applyAlignment="1">
      <alignment horizontal="left" vertical="center" wrapText="1"/>
    </xf>
    <xf numFmtId="4" fontId="7" fillId="0" borderId="0" xfId="0" applyNumberFormat="1" applyFont="1" applyFill="1" applyAlignment="1">
      <alignment horizontal="left" vertical="center"/>
    </xf>
    <xf numFmtId="0" fontId="7" fillId="0" borderId="6" xfId="0" applyFont="1" applyBorder="1" applyAlignment="1">
      <alignment vertical="center" wrapText="1"/>
    </xf>
    <xf numFmtId="0" fontId="7" fillId="0" borderId="5" xfId="0" applyFont="1" applyBorder="1" applyAlignment="1">
      <alignment horizontal="center" vertical="center" wrapText="1"/>
    </xf>
    <xf numFmtId="4" fontId="3" fillId="0" borderId="5"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4" fontId="3" fillId="0" borderId="2" xfId="0" applyNumberFormat="1" applyFont="1" applyFill="1" applyBorder="1" applyAlignment="1">
      <alignment horizontal="left" vertical="center" wrapText="1"/>
    </xf>
    <xf numFmtId="4" fontId="3" fillId="0" borderId="8" xfId="0" applyNumberFormat="1" applyFont="1" applyFill="1" applyBorder="1" applyAlignment="1">
      <alignment horizontal="left" vertical="center" wrapText="1"/>
    </xf>
    <xf numFmtId="4" fontId="3" fillId="0" borderId="5" xfId="0" applyNumberFormat="1" applyFont="1" applyBorder="1" applyAlignment="1">
      <alignment horizontal="left" vertical="center" wrapText="1"/>
    </xf>
    <xf numFmtId="0" fontId="3" fillId="0" borderId="5" xfId="0" applyFont="1" applyBorder="1" applyAlignment="1">
      <alignment horizontal="left" vertical="center" wrapText="1"/>
    </xf>
    <xf numFmtId="0" fontId="7" fillId="0" borderId="5" xfId="0" applyFont="1" applyFill="1" applyBorder="1" applyAlignment="1">
      <alignment horizontal="center" vertical="center"/>
    </xf>
    <xf numFmtId="0" fontId="7" fillId="0" borderId="5" xfId="0" applyFont="1" applyBorder="1" applyAlignment="1">
      <alignment horizontal="center" vertical="center"/>
    </xf>
    <xf numFmtId="0" fontId="5" fillId="7" borderId="6" xfId="0" applyFont="1" applyFill="1" applyBorder="1" applyAlignment="1">
      <alignment vertical="center"/>
    </xf>
    <xf numFmtId="0" fontId="5" fillId="7" borderId="7" xfId="0" applyFont="1" applyFill="1" applyBorder="1" applyAlignment="1">
      <alignment vertical="center"/>
    </xf>
    <xf numFmtId="0" fontId="5" fillId="3" borderId="6" xfId="0" applyFont="1" applyFill="1" applyBorder="1" applyAlignment="1">
      <alignment vertical="center"/>
    </xf>
    <xf numFmtId="0" fontId="5" fillId="3" borderId="7" xfId="0" applyFont="1" applyFill="1" applyBorder="1" applyAlignment="1">
      <alignment vertical="center"/>
    </xf>
    <xf numFmtId="49" fontId="7" fillId="3" borderId="6" xfId="0" applyNumberFormat="1" applyFont="1" applyFill="1" applyBorder="1" applyAlignment="1">
      <alignment vertical="center"/>
    </xf>
    <xf numFmtId="49" fontId="7" fillId="3" borderId="7" xfId="0" applyNumberFormat="1" applyFont="1" applyFill="1" applyBorder="1" applyAlignment="1">
      <alignment vertical="center"/>
    </xf>
    <xf numFmtId="0" fontId="5" fillId="4" borderId="6" xfId="0" applyFont="1" applyFill="1" applyBorder="1" applyAlignment="1">
      <alignment vertical="center"/>
    </xf>
    <xf numFmtId="0" fontId="5" fillId="4" borderId="7" xfId="0" applyFont="1" applyFill="1" applyBorder="1" applyAlignment="1">
      <alignment vertical="center"/>
    </xf>
    <xf numFmtId="0" fontId="7" fillId="5" borderId="5" xfId="0" applyFont="1" applyFill="1" applyBorder="1" applyAlignment="1">
      <alignment horizontal="center" vertical="center"/>
    </xf>
    <xf numFmtId="0" fontId="7" fillId="5" borderId="8" xfId="0" applyFont="1" applyFill="1" applyBorder="1" applyAlignment="1">
      <alignment horizontal="center" vertical="center"/>
    </xf>
    <xf numFmtId="0" fontId="5" fillId="4" borderId="6" xfId="0" applyFont="1" applyFill="1" applyBorder="1" applyAlignment="1">
      <alignment vertical="center" wrapText="1"/>
    </xf>
    <xf numFmtId="0" fontId="9"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0" xfId="0" applyFont="1" applyAlignment="1">
      <alignment horizontal="center" vertical="center" wrapText="1"/>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90" wrapText="1"/>
    </xf>
    <xf numFmtId="49" fontId="7" fillId="2" borderId="6" xfId="0" applyNumberFormat="1" applyFont="1" applyFill="1" applyBorder="1" applyAlignment="1">
      <alignment vertical="center"/>
    </xf>
    <xf numFmtId="49" fontId="7" fillId="2" borderId="7" xfId="0" applyNumberFormat="1" applyFont="1" applyFill="1" applyBorder="1" applyAlignment="1">
      <alignment vertical="center"/>
    </xf>
    <xf numFmtId="0" fontId="3" fillId="0" borderId="2" xfId="0" applyFont="1" applyBorder="1" applyAlignment="1">
      <alignment horizontal="left" vertical="center" wrapText="1"/>
    </xf>
    <xf numFmtId="0" fontId="0" fillId="0" borderId="5" xfId="0" applyFill="1" applyBorder="1" applyAlignment="1">
      <alignment horizontal="left" vertical="center" wrapText="1"/>
    </xf>
    <xf numFmtId="0" fontId="0" fillId="0" borderId="8" xfId="0" applyFill="1" applyBorder="1" applyAlignment="1">
      <alignment horizontal="left" vertical="center" wrapText="1"/>
    </xf>
    <xf numFmtId="4" fontId="3" fillId="0" borderId="5" xfId="0" applyNumberFormat="1" applyFont="1" applyFill="1" applyBorder="1" applyAlignment="1">
      <alignment vertical="center" wrapText="1"/>
    </xf>
    <xf numFmtId="0" fontId="10" fillId="0" borderId="1" xfId="0" applyFont="1" applyBorder="1" applyAlignment="1">
      <alignment horizontal="center" vertical="center"/>
    </xf>
    <xf numFmtId="4" fontId="13" fillId="0" borderId="3" xfId="0" applyNumberFormat="1" applyFont="1" applyBorder="1" applyAlignment="1">
      <alignment horizontal="center" vertical="center" wrapText="1"/>
    </xf>
    <xf numFmtId="4" fontId="13" fillId="0" borderId="9" xfId="0" applyNumberFormat="1" applyFont="1" applyBorder="1" applyAlignment="1">
      <alignment horizontal="center" vertical="center" wrapText="1"/>
    </xf>
    <xf numFmtId="0" fontId="13" fillId="0" borderId="15" xfId="0" applyFont="1" applyBorder="1" applyAlignment="1">
      <alignment horizontal="center" vertical="center"/>
    </xf>
    <xf numFmtId="0" fontId="13" fillId="0" borderId="14" xfId="0" applyFont="1" applyBorder="1" applyAlignment="1">
      <alignment horizontal="center" vertical="center"/>
    </xf>
    <xf numFmtId="4" fontId="13" fillId="0" borderId="2" xfId="0" applyNumberFormat="1" applyFont="1" applyBorder="1" applyAlignment="1">
      <alignment horizontal="center" vertical="center" wrapText="1"/>
    </xf>
    <xf numFmtId="4" fontId="13" fillId="0" borderId="8" xfId="0"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4" fontId="14" fillId="0" borderId="5" xfId="0"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1" xfId="0" applyFont="1" applyBorder="1" applyAlignment="1">
      <alignment horizontal="center" vertical="center"/>
    </xf>
    <xf numFmtId="4" fontId="14" fillId="0" borderId="3" xfId="0" applyNumberFormat="1" applyFont="1" applyBorder="1" applyAlignment="1">
      <alignment horizontal="center" vertical="center" wrapText="1"/>
    </xf>
    <xf numFmtId="4" fontId="14" fillId="0" borderId="9" xfId="0" applyNumberFormat="1" applyFont="1" applyBorder="1" applyAlignment="1">
      <alignment horizontal="center" vertical="center" wrapText="1"/>
    </xf>
  </cellXfs>
  <cellStyles count="1">
    <cellStyle name="Normalny"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20"/>
      <c:depthPercent val="90"/>
      <c:rAngAx val="0"/>
      <c:perspective val="0"/>
    </c:view3D>
    <c:floor>
      <c:thickness val="0"/>
    </c:floor>
    <c:sideWall>
      <c:thickness val="0"/>
    </c:sideWall>
    <c:backWall>
      <c:thickness val="0"/>
    </c:backWall>
    <c:plotArea>
      <c:layout/>
      <c:pie3DChart>
        <c:varyColors val="1"/>
        <c:ser>
          <c:idx val="0"/>
          <c:order val="0"/>
          <c:explosion val="25"/>
          <c:dLbls>
            <c:dLbl>
              <c:idx val="0"/>
              <c:layout>
                <c:manualLayout>
                  <c:x val="1.4958621975531734E-2"/>
                  <c:y val="2.1321198486552891E-2"/>
                </c:manualLayout>
              </c:layout>
              <c:dLblPos val="bestFit"/>
              <c:showLegendKey val="0"/>
              <c:showVal val="0"/>
              <c:showCatName val="0"/>
              <c:showSerName val="0"/>
              <c:showPercent val="1"/>
              <c:showBubbleSize val="0"/>
            </c:dLbl>
            <c:dLbl>
              <c:idx val="1"/>
              <c:layout>
                <c:manualLayout>
                  <c:x val="-5.3430479659987894E-2"/>
                  <c:y val="-2.1645021645021655E-2"/>
                </c:manualLayout>
              </c:layout>
              <c:dLblPos val="bestFit"/>
              <c:showLegendKey val="0"/>
              <c:showVal val="0"/>
              <c:showCatName val="0"/>
              <c:showSerName val="0"/>
              <c:showPercent val="1"/>
              <c:showBubbleSize val="0"/>
            </c:dLbl>
            <c:dLbl>
              <c:idx val="2"/>
              <c:layout>
                <c:manualLayout>
                  <c:x val="3.6429872495446457E-2"/>
                  <c:y val="8.6576677915260747E-3"/>
                </c:manualLayout>
              </c:layout>
              <c:dLblPos val="bestFit"/>
              <c:showLegendKey val="0"/>
              <c:showVal val="0"/>
              <c:showCatName val="0"/>
              <c:showSerName val="0"/>
              <c:showPercent val="1"/>
              <c:showBubbleSize val="0"/>
            </c:dLbl>
            <c:numFmt formatCode="0%" sourceLinked="0"/>
            <c:txPr>
              <a:bodyPr/>
              <a:lstStyle/>
              <a:p>
                <a:pPr>
                  <a:defRPr sz="1200">
                    <a:latin typeface="Times New Roman" pitchFamily="18" charset="0"/>
                    <a:cs typeface="Times New Roman" pitchFamily="18" charset="0"/>
                  </a:defRPr>
                </a:pPr>
                <a:endParaRPr lang="pl-PL"/>
              </a:p>
            </c:txPr>
            <c:dLblPos val="ctr"/>
            <c:showLegendKey val="0"/>
            <c:showVal val="0"/>
            <c:showCatName val="0"/>
            <c:showSerName val="0"/>
            <c:showPercent val="1"/>
            <c:showBubbleSize val="0"/>
            <c:showLeaderLines val="1"/>
          </c:dLbls>
          <c:cat>
            <c:strRef>
              <c:f>'Arkusz3 (2)'!$D$2:$F$2</c:f>
              <c:strCache>
                <c:ptCount val="3"/>
                <c:pt idx="0">
                  <c:v>środki własne</c:v>
                </c:pt>
                <c:pt idx="1">
                  <c:v>środki wymienione w art. 5 ust. 1 pkt 2 i 3 ufp</c:v>
                </c:pt>
                <c:pt idx="2">
                  <c:v>środki inne</c:v>
                </c:pt>
              </c:strCache>
            </c:strRef>
          </c:cat>
          <c:val>
            <c:numRef>
              <c:f>'Arkusz3 (2)'!$D$3:$F$3</c:f>
              <c:numCache>
                <c:formatCode>#,##0.00</c:formatCode>
                <c:ptCount val="3"/>
                <c:pt idx="0">
                  <c:v>466637.85000000003</c:v>
                </c:pt>
                <c:pt idx="1">
                  <c:v>8646173.8699999992</c:v>
                </c:pt>
                <c:pt idx="2">
                  <c:v>776863.42999999993</c:v>
                </c:pt>
              </c:numCache>
            </c:numRef>
          </c:val>
        </c:ser>
        <c:dLbls>
          <c:showLegendKey val="0"/>
          <c:showVal val="1"/>
          <c:showCatName val="0"/>
          <c:showSerName val="0"/>
          <c:showPercent val="0"/>
          <c:showBubbleSize val="0"/>
          <c:showLeaderLines val="1"/>
        </c:dLbls>
      </c:pie3DChart>
    </c:plotArea>
    <c:legend>
      <c:legendPos val="b"/>
      <c:overlay val="0"/>
      <c:txPr>
        <a:bodyPr/>
        <a:lstStyle/>
        <a:p>
          <a:pPr rtl="0">
            <a:defRPr sz="1200">
              <a:latin typeface="Times New Roman" pitchFamily="18" charset="0"/>
              <a:cs typeface="Times New Roman" pitchFamily="18" charset="0"/>
            </a:defRPr>
          </a:pPr>
          <a:endParaRPr lang="pl-PL"/>
        </a:p>
      </c:txPr>
    </c:legend>
    <c:plotVisOnly val="1"/>
    <c:dispBlanksAs val="gap"/>
    <c:showDLblsOverMax val="0"/>
  </c:chart>
  <c:spPr>
    <a:ln w="0">
      <a:noFill/>
    </a:ln>
  </c:spPr>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70"/>
      <c:rAngAx val="0"/>
      <c:perspective val="30"/>
    </c:view3D>
    <c:floor>
      <c:thickness val="0"/>
    </c:floor>
    <c:sideWall>
      <c:thickness val="0"/>
    </c:sideWall>
    <c:backWall>
      <c:thickness val="0"/>
    </c:backWall>
    <c:plotArea>
      <c:layout/>
      <c:pie3DChart>
        <c:varyColors val="1"/>
        <c:ser>
          <c:idx val="0"/>
          <c:order val="0"/>
          <c:explosion val="25"/>
          <c:dLbls>
            <c:dLbl>
              <c:idx val="0"/>
              <c:layout>
                <c:manualLayout>
                  <c:x val="-8.452190881084393E-3"/>
                  <c:y val="-4.1115996365697405E-2"/>
                </c:manualLayout>
              </c:layout>
              <c:dLblPos val="bestFit"/>
              <c:showLegendKey val="0"/>
              <c:showVal val="0"/>
              <c:showCatName val="0"/>
              <c:showSerName val="0"/>
              <c:showPercent val="1"/>
              <c:showBubbleSize val="0"/>
            </c:dLbl>
            <c:dLbl>
              <c:idx val="1"/>
              <c:layout>
                <c:manualLayout>
                  <c:x val="1.4791334041897581E-2"/>
                  <c:y val="2.9368568832640923E-2"/>
                </c:manualLayout>
              </c:layout>
              <c:dLblPos val="bestFit"/>
              <c:showLegendKey val="0"/>
              <c:showVal val="0"/>
              <c:showCatName val="0"/>
              <c:showSerName val="0"/>
              <c:showPercent val="1"/>
              <c:showBubbleSize val="0"/>
            </c:dLbl>
            <c:dLbl>
              <c:idx val="2"/>
              <c:layout>
                <c:manualLayout>
                  <c:x val="1.69043817621688E-2"/>
                  <c:y val="2.6431711949377094E-2"/>
                </c:manualLayout>
              </c:layout>
              <c:dLblPos val="bestFit"/>
              <c:showLegendKey val="0"/>
              <c:showVal val="0"/>
              <c:showCatName val="0"/>
              <c:showSerName val="0"/>
              <c:showPercent val="1"/>
              <c:showBubbleSize val="0"/>
            </c:dLbl>
            <c:dLbl>
              <c:idx val="3"/>
              <c:layout>
                <c:manualLayout>
                  <c:x val="1.2678286321626431E-2"/>
                  <c:y val="2.6431711949377094E-2"/>
                </c:manualLayout>
              </c:layout>
              <c:dLblPos val="bestFit"/>
              <c:showLegendKey val="0"/>
              <c:showVal val="0"/>
              <c:showCatName val="0"/>
              <c:showSerName val="0"/>
              <c:showPercent val="1"/>
              <c:showBubbleSize val="0"/>
            </c:dLbl>
            <c:dLbl>
              <c:idx val="4"/>
              <c:layout>
                <c:manualLayout>
                  <c:x val="2.3243524922981908E-2"/>
                  <c:y val="5.8737137665282026E-2"/>
                </c:manualLayout>
              </c:layout>
              <c:dLblPos val="bestFit"/>
              <c:showLegendKey val="0"/>
              <c:showVal val="0"/>
              <c:showCatName val="0"/>
              <c:showSerName val="0"/>
              <c:showPercent val="1"/>
              <c:showBubbleSize val="0"/>
            </c:dLbl>
            <c:dLbl>
              <c:idx val="5"/>
              <c:layout>
                <c:manualLayout>
                  <c:x val="-4.2260954405421913E-3"/>
                  <c:y val="6.4610851431810334E-2"/>
                </c:manualLayout>
              </c:layout>
              <c:dLblPos val="bestFit"/>
              <c:showLegendKey val="0"/>
              <c:showVal val="0"/>
              <c:showCatName val="0"/>
              <c:showSerName val="0"/>
              <c:showPercent val="1"/>
              <c:showBubbleSize val="0"/>
            </c:dLbl>
            <c:dLbl>
              <c:idx val="6"/>
              <c:layout>
                <c:manualLayout>
                  <c:x val="-7.1843622489216802E-2"/>
                  <c:y val="3.5242282599169422E-2"/>
                </c:manualLayout>
              </c:layout>
              <c:dLblPos val="bestFit"/>
              <c:showLegendKey val="0"/>
              <c:showVal val="0"/>
              <c:showCatName val="0"/>
              <c:showSerName val="0"/>
              <c:showPercent val="1"/>
              <c:showBubbleSize val="0"/>
            </c:dLbl>
            <c:numFmt formatCode="0.0%" sourceLinked="0"/>
            <c:txPr>
              <a:bodyPr/>
              <a:lstStyle/>
              <a:p>
                <a:pPr>
                  <a:defRPr sz="1200">
                    <a:latin typeface="Times New Roman" pitchFamily="18" charset="0"/>
                    <a:cs typeface="Times New Roman" pitchFamily="18" charset="0"/>
                  </a:defRPr>
                </a:pPr>
                <a:endParaRPr lang="pl-PL"/>
              </a:p>
            </c:txPr>
            <c:dLblPos val="outEnd"/>
            <c:showLegendKey val="0"/>
            <c:showVal val="0"/>
            <c:showCatName val="0"/>
            <c:showSerName val="0"/>
            <c:showPercent val="1"/>
            <c:showBubbleSize val="0"/>
            <c:showLeaderLines val="1"/>
          </c:dLbls>
          <c:cat>
            <c:strRef>
              <c:f>'Arkusz3 (2)'!$A$4:$A$10</c:f>
              <c:strCache>
                <c:ptCount val="7"/>
                <c:pt idx="0">
                  <c:v>POKL</c:v>
                </c:pt>
                <c:pt idx="1">
                  <c:v>POIG</c:v>
                </c:pt>
                <c:pt idx="2">
                  <c:v>Leonardo da Vinci</c:v>
                </c:pt>
                <c:pt idx="3">
                  <c:v>Comenius</c:v>
                </c:pt>
                <c:pt idx="4">
                  <c:v>Inne</c:v>
                </c:pt>
                <c:pt idx="5">
                  <c:v>PORPW</c:v>
                </c:pt>
                <c:pt idx="6">
                  <c:v>RPOWŚ</c:v>
                </c:pt>
              </c:strCache>
            </c:strRef>
          </c:cat>
          <c:val>
            <c:numRef>
              <c:f>'Arkusz3 (2)'!$C$4:$C$10</c:f>
              <c:numCache>
                <c:formatCode>#,##0.00</c:formatCode>
                <c:ptCount val="7"/>
                <c:pt idx="0">
                  <c:v>7489147.0899999999</c:v>
                </c:pt>
                <c:pt idx="1">
                  <c:v>1043310.65</c:v>
                </c:pt>
                <c:pt idx="2">
                  <c:v>728299.53999999992</c:v>
                </c:pt>
                <c:pt idx="3">
                  <c:v>281203.49</c:v>
                </c:pt>
                <c:pt idx="4">
                  <c:v>243591.89999999997</c:v>
                </c:pt>
                <c:pt idx="5">
                  <c:v>104122.48000000001</c:v>
                </c:pt>
                <c:pt idx="6">
                  <c:v>0</c:v>
                </c:pt>
              </c:numCache>
            </c:numRef>
          </c:val>
        </c:ser>
        <c:dLbls>
          <c:showLegendKey val="0"/>
          <c:showVal val="1"/>
          <c:showCatName val="0"/>
          <c:showSerName val="0"/>
          <c:showPercent val="0"/>
          <c:showBubbleSize val="0"/>
          <c:showLeaderLines val="1"/>
        </c:dLbls>
      </c:pie3DChart>
    </c:plotArea>
    <c:legend>
      <c:legendPos val="b"/>
      <c:overlay val="0"/>
      <c:txPr>
        <a:bodyPr/>
        <a:lstStyle/>
        <a:p>
          <a:pPr rtl="0">
            <a:defRPr sz="1100">
              <a:latin typeface="Times New Roman" pitchFamily="18" charset="0"/>
              <a:cs typeface="Times New Roman" pitchFamily="18" charset="0"/>
            </a:defRPr>
          </a:pPr>
          <a:endParaRPr lang="pl-PL"/>
        </a:p>
      </c:txPr>
    </c:legend>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210"/>
      <c:rAngAx val="0"/>
      <c:perspective val="10"/>
    </c:view3D>
    <c:floor>
      <c:thickness val="0"/>
    </c:floor>
    <c:sideWall>
      <c:thickness val="0"/>
    </c:sideWall>
    <c:backWall>
      <c:thickness val="0"/>
    </c:backWall>
    <c:plotArea>
      <c:layout/>
      <c:pie3DChart>
        <c:varyColors val="1"/>
        <c:ser>
          <c:idx val="0"/>
          <c:order val="0"/>
          <c:explosion val="14"/>
          <c:dLbls>
            <c:dLbl>
              <c:idx val="0"/>
              <c:layout>
                <c:manualLayout>
                  <c:x val="-4.8859057648558551E-2"/>
                  <c:y val="3.5374145525740516E-2"/>
                </c:manualLayout>
              </c:layout>
              <c:dLblPos val="bestFit"/>
              <c:showLegendKey val="0"/>
              <c:showVal val="0"/>
              <c:showCatName val="0"/>
              <c:showSerName val="0"/>
              <c:showPercent val="1"/>
              <c:showBubbleSize val="0"/>
            </c:dLbl>
            <c:dLbl>
              <c:idx val="1"/>
              <c:layout>
                <c:manualLayout>
                  <c:x val="-7.2125275576443451E-2"/>
                  <c:y val="-6.4316628228619404E-3"/>
                </c:manualLayout>
              </c:layout>
              <c:dLblPos val="bestFit"/>
              <c:showLegendKey val="0"/>
              <c:showVal val="0"/>
              <c:showCatName val="0"/>
              <c:showSerName val="0"/>
              <c:showPercent val="1"/>
              <c:showBubbleSize val="0"/>
            </c:dLbl>
            <c:dLbl>
              <c:idx val="2"/>
              <c:layout>
                <c:manualLayout>
                  <c:x val="3.024608330625048E-2"/>
                  <c:y val="1.6079157057154694E-2"/>
                </c:manualLayout>
              </c:layout>
              <c:dLblPos val="bestFit"/>
              <c:showLegendKey val="0"/>
              <c:showVal val="0"/>
              <c:showCatName val="0"/>
              <c:showSerName val="0"/>
              <c:showPercent val="1"/>
              <c:showBubbleSize val="0"/>
            </c:dLbl>
            <c:dLbl>
              <c:idx val="3"/>
              <c:layout>
                <c:manualLayout>
                  <c:x val="8.8411628125963024E-2"/>
                  <c:y val="2.8942482702878438E-2"/>
                </c:manualLayout>
              </c:layout>
              <c:dLblPos val="bestFit"/>
              <c:showLegendKey val="0"/>
              <c:showVal val="0"/>
              <c:showCatName val="0"/>
              <c:showSerName val="0"/>
              <c:showPercent val="1"/>
              <c:showBubbleSize val="0"/>
            </c:dLbl>
            <c:dLbl>
              <c:idx val="4"/>
              <c:layout>
                <c:manualLayout>
                  <c:x val="3.4899326891827474E-2"/>
                  <c:y val="5.4669133994325984E-2"/>
                </c:manualLayout>
              </c:layout>
              <c:dLblPos val="bestFit"/>
              <c:showLegendKey val="0"/>
              <c:showVal val="0"/>
              <c:showCatName val="0"/>
              <c:showSerName val="0"/>
              <c:showPercent val="1"/>
              <c:showBubbleSize val="0"/>
            </c:dLbl>
            <c:dLbl>
              <c:idx val="5"/>
              <c:layout>
                <c:manualLayout>
                  <c:x val="-2.5592839720673652E-2"/>
                  <c:y val="3.8589976937171262E-2"/>
                </c:manualLayout>
              </c:layout>
              <c:dLblPos val="bestFit"/>
              <c:showLegendKey val="0"/>
              <c:showVal val="0"/>
              <c:showCatName val="0"/>
              <c:showSerName val="0"/>
              <c:showPercent val="1"/>
              <c:showBubbleSize val="0"/>
            </c:dLbl>
            <c:dLblPos val="outEnd"/>
            <c:showLegendKey val="0"/>
            <c:showVal val="0"/>
            <c:showCatName val="0"/>
            <c:showSerName val="0"/>
            <c:showPercent val="1"/>
            <c:showBubbleSize val="0"/>
            <c:showLeaderLines val="1"/>
          </c:dLbls>
          <c:cat>
            <c:strRef>
              <c:f>'Arkusz4 (2)'!$D$11:$I$11</c:f>
              <c:strCache>
                <c:ptCount val="6"/>
                <c:pt idx="0">
                  <c:v>środki własne</c:v>
                </c:pt>
                <c:pt idx="1">
                  <c:v>środki wymienione w art. 5 ust. 1 pkt 2 i 3 ufp</c:v>
                </c:pt>
                <c:pt idx="2">
                  <c:v>kredyty</c:v>
                </c:pt>
                <c:pt idx="3">
                  <c:v>środki inne</c:v>
                </c:pt>
                <c:pt idx="4">
                  <c:v>kredyty pozaprojektowe</c:v>
                </c:pt>
                <c:pt idx="5">
                  <c:v>środki własne pozaprojektowe</c:v>
                </c:pt>
              </c:strCache>
            </c:strRef>
          </c:cat>
          <c:val>
            <c:numRef>
              <c:f>'Arkusz4 (2)'!$D$12:$I$12</c:f>
              <c:numCache>
                <c:formatCode>#,##0.00</c:formatCode>
                <c:ptCount val="6"/>
                <c:pt idx="0">
                  <c:v>1765944.28</c:v>
                </c:pt>
                <c:pt idx="1">
                  <c:v>92235827.569999993</c:v>
                </c:pt>
                <c:pt idx="2">
                  <c:v>67847525.329999983</c:v>
                </c:pt>
                <c:pt idx="3">
                  <c:v>413085.79000000004</c:v>
                </c:pt>
                <c:pt idx="4">
                  <c:v>1054147.27</c:v>
                </c:pt>
                <c:pt idx="5">
                  <c:v>5251629.9899999993</c:v>
                </c:pt>
              </c:numCache>
            </c:numRef>
          </c:val>
        </c:ser>
        <c:dLbls>
          <c:showLegendKey val="0"/>
          <c:showVal val="0"/>
          <c:showCatName val="0"/>
          <c:showSerName val="0"/>
          <c:showPercent val="0"/>
          <c:showBubbleSize val="0"/>
          <c:showLeaderLines val="1"/>
        </c:dLbls>
      </c:pie3DChart>
    </c:plotArea>
    <c:legend>
      <c:legendPos val="b"/>
      <c:overlay val="0"/>
      <c:txPr>
        <a:bodyPr/>
        <a:lstStyle/>
        <a:p>
          <a:pPr rtl="0">
            <a:defRPr/>
          </a:pPr>
          <a:endParaRPr lang="pl-PL"/>
        </a:p>
      </c:txPr>
    </c:legend>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69"/>
      <c:rAngAx val="0"/>
      <c:perspective val="30"/>
    </c:view3D>
    <c:floor>
      <c:thickness val="0"/>
    </c:floor>
    <c:sideWall>
      <c:thickness val="0"/>
    </c:sideWall>
    <c:backWall>
      <c:thickness val="0"/>
    </c:backWall>
    <c:plotArea>
      <c:layout/>
      <c:pie3DChart>
        <c:varyColors val="1"/>
        <c:ser>
          <c:idx val="0"/>
          <c:order val="0"/>
          <c:explosion val="10"/>
          <c:dLbls>
            <c:dLbl>
              <c:idx val="0"/>
              <c:layout>
                <c:manualLayout>
                  <c:x val="-2.2222222222222251E-2"/>
                  <c:y val="1.5238095238095243E-2"/>
                </c:manualLayout>
              </c:layout>
              <c:dLblPos val="bestFit"/>
              <c:showLegendKey val="0"/>
              <c:showVal val="0"/>
              <c:showCatName val="0"/>
              <c:showSerName val="0"/>
              <c:showPercent val="1"/>
              <c:showBubbleSize val="0"/>
            </c:dLbl>
            <c:dLbl>
              <c:idx val="1"/>
              <c:layout>
                <c:manualLayout>
                  <c:x val="1.6666666666666701E-2"/>
                  <c:y val="-2.6666666666666672E-2"/>
                </c:manualLayout>
              </c:layout>
              <c:dLblPos val="bestFit"/>
              <c:showLegendKey val="0"/>
              <c:showVal val="0"/>
              <c:showCatName val="0"/>
              <c:showSerName val="0"/>
              <c:showPercent val="1"/>
              <c:showBubbleSize val="0"/>
            </c:dLbl>
            <c:dLbl>
              <c:idx val="2"/>
              <c:layout>
                <c:manualLayout>
                  <c:x val="3.888888888888889E-2"/>
                  <c:y val="7.6190476190476494E-3"/>
                </c:manualLayout>
              </c:layout>
              <c:dLblPos val="bestFit"/>
              <c:showLegendKey val="0"/>
              <c:showVal val="0"/>
              <c:showCatName val="0"/>
              <c:showSerName val="0"/>
              <c:showPercent val="1"/>
              <c:showBubbleSize val="0"/>
            </c:dLbl>
            <c:dLbl>
              <c:idx val="3"/>
              <c:layout>
                <c:manualLayout>
                  <c:x val="3.0555555555555565E-2"/>
                  <c:y val="3.4285414323209605E-2"/>
                </c:manualLayout>
              </c:layout>
              <c:dLblPos val="bestFit"/>
              <c:showLegendKey val="0"/>
              <c:showVal val="0"/>
              <c:showCatName val="0"/>
              <c:showSerName val="0"/>
              <c:showPercent val="1"/>
              <c:showBubbleSize val="0"/>
            </c:dLbl>
            <c:dLbl>
              <c:idx val="4"/>
              <c:layout>
                <c:manualLayout>
                  <c:x val="-2.5000000000000001E-2"/>
                  <c:y val="2.2857142857142874E-2"/>
                </c:manualLayout>
              </c:layout>
              <c:dLblPos val="bestFit"/>
              <c:showLegendKey val="0"/>
              <c:showVal val="0"/>
              <c:showCatName val="0"/>
              <c:showSerName val="0"/>
              <c:showPercent val="1"/>
              <c:showBubbleSize val="0"/>
            </c:dLbl>
            <c:dLblPos val="outEnd"/>
            <c:showLegendKey val="0"/>
            <c:showVal val="0"/>
            <c:showCatName val="0"/>
            <c:showSerName val="0"/>
            <c:showPercent val="1"/>
            <c:showBubbleSize val="0"/>
            <c:showLeaderLines val="1"/>
          </c:dLbls>
          <c:cat>
            <c:strRef>
              <c:f>'Arkusz4 (2)'!$A$13:$A$17</c:f>
              <c:strCache>
                <c:ptCount val="5"/>
                <c:pt idx="0">
                  <c:v>Program Operacyjny Rozwój Polski Wschodniej</c:v>
                </c:pt>
                <c:pt idx="1">
                  <c:v>Regionalny Program Operacyjny Województwa Świętokrzyskiego</c:v>
                </c:pt>
                <c:pt idx="2">
                  <c:v>Program Operacyjny Infrastruktura i Środowisko</c:v>
                </c:pt>
                <c:pt idx="3">
                  <c:v>Program Operacyjny Innowacyjna Gospodarka</c:v>
                </c:pt>
                <c:pt idx="4">
                  <c:v>Program Operacyjny Kapitał Ludzki</c:v>
                </c:pt>
              </c:strCache>
            </c:strRef>
          </c:cat>
          <c:val>
            <c:numRef>
              <c:f>'Arkusz4 (2)'!$C$13:$C$17</c:f>
              <c:numCache>
                <c:formatCode>#,##0.00</c:formatCode>
                <c:ptCount val="5"/>
                <c:pt idx="0">
                  <c:v>93698076.310000002</c:v>
                </c:pt>
                <c:pt idx="1">
                  <c:v>64564382.399999984</c:v>
                </c:pt>
                <c:pt idx="2">
                  <c:v>6056393.5800000001</c:v>
                </c:pt>
                <c:pt idx="3">
                  <c:v>4074735.07</c:v>
                </c:pt>
                <c:pt idx="4">
                  <c:v>174572.87</c:v>
                </c:pt>
              </c:numCache>
            </c:numRef>
          </c:val>
        </c:ser>
        <c:dLbls>
          <c:showLegendKey val="0"/>
          <c:showVal val="0"/>
          <c:showCatName val="0"/>
          <c:showSerName val="0"/>
          <c:showPercent val="0"/>
          <c:showBubbleSize val="0"/>
          <c:showLeaderLines val="1"/>
        </c:dLbls>
      </c:pie3DChart>
    </c:plotArea>
    <c:legend>
      <c:legendPos val="b"/>
      <c:overlay val="0"/>
      <c:txPr>
        <a:bodyPr/>
        <a:lstStyle/>
        <a:p>
          <a:pPr rtl="0">
            <a:defRPr/>
          </a:pPr>
          <a:endParaRPr lang="pl-PL"/>
        </a:p>
      </c:txPr>
    </c:legend>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485775</xdr:colOff>
      <xdr:row>11</xdr:row>
      <xdr:rowOff>47625</xdr:rowOff>
    </xdr:from>
    <xdr:to>
      <xdr:col>17</xdr:col>
      <xdr:colOff>95250</xdr:colOff>
      <xdr:row>29</xdr:row>
      <xdr:rowOff>66675</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200024</xdr:colOff>
      <xdr:row>17</xdr:row>
      <xdr:rowOff>57149</xdr:rowOff>
    </xdr:from>
    <xdr:to>
      <xdr:col>7</xdr:col>
      <xdr:colOff>190500</xdr:colOff>
      <xdr:row>44</xdr:row>
      <xdr:rowOff>9525</xdr:rowOff>
    </xdr:to>
    <xdr:graphicFrame macro="">
      <xdr:nvGraphicFramePr>
        <xdr:cNvPr id="4" name="Wykres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161192</xdr:colOff>
      <xdr:row>17</xdr:row>
      <xdr:rowOff>0</xdr:rowOff>
    </xdr:from>
    <xdr:to>
      <xdr:col>18</xdr:col>
      <xdr:colOff>146539</xdr:colOff>
      <xdr:row>43</xdr:row>
      <xdr:rowOff>139212</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73271</xdr:colOff>
      <xdr:row>19</xdr:row>
      <xdr:rowOff>29308</xdr:rowOff>
    </xdr:from>
    <xdr:to>
      <xdr:col>7</xdr:col>
      <xdr:colOff>285751</xdr:colOff>
      <xdr:row>41</xdr:row>
      <xdr:rowOff>139212</xdr:rowOff>
    </xdr:to>
    <xdr:graphicFrame macro="">
      <xdr:nvGraphicFramePr>
        <xdr:cNvPr id="3" name="Wykres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wypych\AppData\Local\Microsoft\Windows\Temporary%20Internet%20Files\Content.Outlook\GCVM77KW\Tabela_Nr_9_pozosta&#322;e_unijn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wypych\AppData\Local\Microsoft\Windows\Temporary%20Internet%20Files\Content.Outlook\GCVM77KW\EKS%20-%20unij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wypych\AppData\Local\Microsoft\Windows\Temporary%20Internet%20Files\Content.Outlook\GCVM77KW\Sprawdzenie%20kwot%20%202012.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ącznik 9"/>
    </sheetNames>
    <sheetDataSet>
      <sheetData sheetId="0">
        <row r="24">
          <cell r="H24">
            <v>19752.55</v>
          </cell>
        </row>
        <row r="32">
          <cell r="G32">
            <v>0</v>
          </cell>
          <cell r="H32">
            <v>0</v>
          </cell>
        </row>
        <row r="33">
          <cell r="G33">
            <v>4874</v>
          </cell>
          <cell r="H33">
            <v>4873.75</v>
          </cell>
        </row>
        <row r="34">
          <cell r="G34">
            <v>0</v>
          </cell>
          <cell r="H34">
            <v>0</v>
          </cell>
        </row>
        <row r="39">
          <cell r="G39">
            <v>0</v>
          </cell>
          <cell r="H39">
            <v>0</v>
          </cell>
        </row>
        <row r="40">
          <cell r="G40">
            <v>14880</v>
          </cell>
          <cell r="H40">
            <v>14878.8</v>
          </cell>
        </row>
        <row r="46">
          <cell r="G46">
            <v>0</v>
          </cell>
          <cell r="H46">
            <v>0</v>
          </cell>
        </row>
        <row r="47">
          <cell r="G47">
            <v>156974</v>
          </cell>
          <cell r="H47">
            <v>134336.78</v>
          </cell>
        </row>
        <row r="48">
          <cell r="G48">
            <v>0</v>
          </cell>
          <cell r="H48">
            <v>0</v>
          </cell>
        </row>
        <row r="49">
          <cell r="G49">
            <v>27027</v>
          </cell>
          <cell r="H49">
            <v>23098.720000000001</v>
          </cell>
        </row>
        <row r="52">
          <cell r="H52">
            <v>112235.5</v>
          </cell>
        </row>
        <row r="73">
          <cell r="H73">
            <v>45200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zedsiewziecia UE"/>
      <sheetName val="Arkusz1"/>
    </sheetNames>
    <sheetDataSet>
      <sheetData sheetId="0">
        <row r="207">
          <cell r="L207">
            <v>8876</v>
          </cell>
          <cell r="M207">
            <v>8871.65</v>
          </cell>
        </row>
        <row r="208">
          <cell r="L208">
            <v>5500</v>
          </cell>
          <cell r="M208">
            <v>5495.65</v>
          </cell>
        </row>
        <row r="211">
          <cell r="L211">
            <v>3376</v>
          </cell>
          <cell r="M211">
            <v>3376</v>
          </cell>
        </row>
        <row r="214">
          <cell r="M214">
            <v>1044.24</v>
          </cell>
        </row>
        <row r="215">
          <cell r="L215">
            <v>0</v>
          </cell>
          <cell r="M215">
            <v>0</v>
          </cell>
        </row>
        <row r="218">
          <cell r="L218">
            <v>1440</v>
          </cell>
          <cell r="M218">
            <v>1044.24</v>
          </cell>
        </row>
        <row r="221">
          <cell r="M221">
            <v>715.2</v>
          </cell>
        </row>
        <row r="222">
          <cell r="L222">
            <v>0</v>
          </cell>
          <cell r="M222">
            <v>0</v>
          </cell>
        </row>
        <row r="225">
          <cell r="L225">
            <v>1440</v>
          </cell>
          <cell r="M225">
            <v>715.2</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2"/>
      <sheetName val="Arkusz1"/>
    </sheetNames>
    <sheetDataSet>
      <sheetData sheetId="0"/>
      <sheetData sheetId="1">
        <row r="8">
          <cell r="G8">
            <v>271072939</v>
          </cell>
          <cell r="H8">
            <v>162230791.76000005</v>
          </cell>
        </row>
        <row r="12">
          <cell r="G12">
            <v>13394643</v>
          </cell>
          <cell r="H12">
            <v>9889675.1500000022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9"/>
  <sheetViews>
    <sheetView tabSelected="1" view="pageLayout" topLeftCell="A729" zoomScaleNormal="100" zoomScaleSheetLayoutView="100" workbookViewId="0">
      <selection activeCell="M771" sqref="M771"/>
    </sheetView>
  </sheetViews>
  <sheetFormatPr defaultRowHeight="11.25" outlineLevelRow="1" x14ac:dyDescent="0.2"/>
  <cols>
    <col min="1" max="1" width="2.85546875" style="15" customWidth="1"/>
    <col min="2" max="2" width="7" style="15" customWidth="1"/>
    <col min="3" max="3" width="55.42578125" style="15" customWidth="1"/>
    <col min="4" max="4" width="4.7109375" style="9" customWidth="1"/>
    <col min="5" max="5" width="5.7109375" style="9" customWidth="1"/>
    <col min="6" max="6" width="33.85546875" style="15" customWidth="1"/>
    <col min="7" max="7" width="11.28515625" style="15" bestFit="1" customWidth="1"/>
    <col min="8" max="8" width="11.28515625" style="15" customWidth="1"/>
    <col min="9" max="9" width="6.7109375" style="15" customWidth="1"/>
    <col min="10" max="12" width="9.7109375" style="15" customWidth="1"/>
    <col min="13" max="13" width="11.7109375" style="15" customWidth="1"/>
    <col min="14" max="14" width="6.7109375" style="15" customWidth="1"/>
    <col min="15" max="15" width="25.42578125" style="358" customWidth="1"/>
    <col min="16" max="16384" width="9.140625" style="96"/>
  </cols>
  <sheetData>
    <row r="1" spans="1:15" s="1" customFormat="1" ht="12.75" customHeight="1" x14ac:dyDescent="0.2">
      <c r="C1" s="211"/>
      <c r="D1" s="211"/>
      <c r="M1" s="212" t="s">
        <v>541</v>
      </c>
      <c r="O1" s="210"/>
    </row>
    <row r="2" spans="1:15" s="1" customFormat="1" ht="14.25" customHeight="1" x14ac:dyDescent="0.2">
      <c r="C2" s="211"/>
      <c r="D2" s="211"/>
      <c r="H2" s="15"/>
      <c r="N2" s="15"/>
      <c r="O2" s="210"/>
    </row>
    <row r="3" spans="1:15" ht="14.25" customHeight="1" x14ac:dyDescent="0.2">
      <c r="A3" s="212" t="s">
        <v>16</v>
      </c>
      <c r="O3" s="109"/>
    </row>
    <row r="4" spans="1:15" s="104" customFormat="1" ht="15" customHeight="1" x14ac:dyDescent="0.2">
      <c r="A4" s="385" t="s">
        <v>17</v>
      </c>
      <c r="B4" s="385"/>
      <c r="C4" s="385"/>
      <c r="D4" s="385"/>
      <c r="E4" s="385"/>
      <c r="F4" s="385"/>
      <c r="G4" s="385"/>
      <c r="H4" s="385"/>
      <c r="I4" s="385"/>
      <c r="J4" s="385"/>
      <c r="K4" s="385"/>
      <c r="L4" s="385"/>
      <c r="M4" s="385"/>
      <c r="N4" s="385"/>
      <c r="O4" s="385"/>
    </row>
    <row r="5" spans="1:15" s="104" customFormat="1" ht="15" customHeight="1" x14ac:dyDescent="0.2">
      <c r="A5" s="385" t="s">
        <v>18</v>
      </c>
      <c r="B5" s="385"/>
      <c r="C5" s="385"/>
      <c r="D5" s="385"/>
      <c r="E5" s="385"/>
      <c r="F5" s="385"/>
      <c r="G5" s="385"/>
      <c r="H5" s="385"/>
      <c r="I5" s="385"/>
      <c r="J5" s="385"/>
      <c r="K5" s="385"/>
      <c r="L5" s="385"/>
      <c r="M5" s="385"/>
      <c r="N5" s="385"/>
      <c r="O5" s="385"/>
    </row>
    <row r="6" spans="1:15" ht="15.95" customHeight="1" x14ac:dyDescent="0.2">
      <c r="N6" s="40"/>
      <c r="O6" s="339" t="s">
        <v>4</v>
      </c>
    </row>
    <row r="7" spans="1:15" ht="15.95" customHeight="1" x14ac:dyDescent="0.2">
      <c r="A7" s="390" t="s">
        <v>5</v>
      </c>
      <c r="B7" s="390" t="s">
        <v>19</v>
      </c>
      <c r="C7" s="390"/>
      <c r="D7" s="391" t="s">
        <v>26</v>
      </c>
      <c r="E7" s="391" t="s">
        <v>29</v>
      </c>
      <c r="F7" s="390" t="s">
        <v>25</v>
      </c>
      <c r="G7" s="390"/>
      <c r="H7" s="390"/>
      <c r="I7" s="390"/>
      <c r="J7" s="382" t="s">
        <v>413</v>
      </c>
      <c r="K7" s="383"/>
      <c r="L7" s="383"/>
      <c r="M7" s="383"/>
      <c r="N7" s="383"/>
      <c r="O7" s="384"/>
    </row>
    <row r="8" spans="1:15" s="97" customFormat="1" ht="47.25" customHeight="1" x14ac:dyDescent="0.2">
      <c r="A8" s="390"/>
      <c r="B8" s="390"/>
      <c r="C8" s="390"/>
      <c r="D8" s="391"/>
      <c r="E8" s="391"/>
      <c r="F8" s="2" t="s">
        <v>6</v>
      </c>
      <c r="G8" s="3" t="s">
        <v>24</v>
      </c>
      <c r="H8" s="317" t="s">
        <v>414</v>
      </c>
      <c r="I8" s="200" t="s">
        <v>47</v>
      </c>
      <c r="J8" s="3" t="s">
        <v>14</v>
      </c>
      <c r="K8" s="3" t="s">
        <v>30</v>
      </c>
      <c r="L8" s="317" t="s">
        <v>415</v>
      </c>
      <c r="M8" s="317" t="s">
        <v>416</v>
      </c>
      <c r="N8" s="200" t="s">
        <v>48</v>
      </c>
      <c r="O8" s="102" t="s">
        <v>0</v>
      </c>
    </row>
    <row r="9" spans="1:15" s="99" customFormat="1" ht="12" customHeight="1" x14ac:dyDescent="0.2">
      <c r="A9" s="4" t="s">
        <v>32</v>
      </c>
      <c r="B9" s="386" t="s">
        <v>33</v>
      </c>
      <c r="C9" s="387"/>
      <c r="D9" s="4" t="s">
        <v>34</v>
      </c>
      <c r="E9" s="4" t="s">
        <v>35</v>
      </c>
      <c r="F9" s="4" t="s">
        <v>36</v>
      </c>
      <c r="G9" s="4" t="s">
        <v>37</v>
      </c>
      <c r="H9" s="4" t="s">
        <v>38</v>
      </c>
      <c r="I9" s="4" t="s">
        <v>39</v>
      </c>
      <c r="J9" s="4" t="s">
        <v>40</v>
      </c>
      <c r="K9" s="4" t="s">
        <v>31</v>
      </c>
      <c r="L9" s="5" t="s">
        <v>41</v>
      </c>
      <c r="M9" s="5" t="s">
        <v>42</v>
      </c>
      <c r="N9" s="4" t="s">
        <v>43</v>
      </c>
      <c r="O9" s="103" t="s">
        <v>44</v>
      </c>
    </row>
    <row r="10" spans="1:15" s="98" customFormat="1" ht="3.95" customHeight="1" outlineLevel="1" x14ac:dyDescent="0.2">
      <c r="A10" s="6"/>
      <c r="B10" s="7"/>
      <c r="C10" s="8"/>
      <c r="D10" s="6"/>
      <c r="E10" s="6"/>
      <c r="F10" s="6"/>
      <c r="G10" s="6"/>
      <c r="H10" s="6"/>
      <c r="I10" s="6"/>
      <c r="J10" s="100"/>
      <c r="K10" s="100"/>
      <c r="L10" s="101"/>
      <c r="M10" s="101"/>
      <c r="N10" s="100"/>
      <c r="O10" s="340"/>
    </row>
    <row r="11" spans="1:15" ht="11.45" customHeight="1" outlineLevel="1" x14ac:dyDescent="0.2">
      <c r="A11" s="10" t="s">
        <v>3</v>
      </c>
      <c r="B11" s="388" t="s">
        <v>20</v>
      </c>
      <c r="C11" s="389"/>
      <c r="D11" s="11"/>
      <c r="E11" s="11"/>
      <c r="F11" s="12"/>
      <c r="G11" s="126">
        <f>SUM(G12:G17)</f>
        <v>845342941</v>
      </c>
      <c r="H11" s="126">
        <f>SUM(H12:H17)</f>
        <v>438714524</v>
      </c>
      <c r="I11" s="14">
        <f t="shared" ref="I11:I17" si="0">IF(G11&gt;0,H11/G11*100,"-")</f>
        <v>51.897815989451793</v>
      </c>
      <c r="J11" s="126">
        <f>SUM(J12:J17)</f>
        <v>359986853</v>
      </c>
      <c r="K11" s="126">
        <f>SUM(K12:K17)</f>
        <v>-69143778</v>
      </c>
      <c r="L11" s="126">
        <f>SUM(L12:L17)</f>
        <v>290843075</v>
      </c>
      <c r="M11" s="13">
        <f>SUM(M12:M17)</f>
        <v>178270016.24000007</v>
      </c>
      <c r="N11" s="14">
        <f t="shared" ref="N11:N17" si="1">IF(L11&gt;0,M11/L11*100,"-")</f>
        <v>61.294227562406313</v>
      </c>
      <c r="O11" s="341"/>
    </row>
    <row r="12" spans="1:15" ht="11.45" customHeight="1" outlineLevel="1" x14ac:dyDescent="0.2">
      <c r="A12" s="12"/>
      <c r="B12" s="392" t="s">
        <v>15</v>
      </c>
      <c r="C12" s="393"/>
      <c r="D12" s="11"/>
      <c r="E12" s="11"/>
      <c r="F12" s="16"/>
      <c r="G12" s="127">
        <f t="shared" ref="G12:H17" si="2">G21+G563</f>
        <v>99393792</v>
      </c>
      <c r="H12" s="127">
        <f t="shared" si="2"/>
        <v>30627397</v>
      </c>
      <c r="I12" s="18">
        <f t="shared" si="0"/>
        <v>30.814195115928367</v>
      </c>
      <c r="J12" s="127">
        <f t="shared" ref="J12:M17" si="3">J21+J563</f>
        <v>61259466</v>
      </c>
      <c r="K12" s="127">
        <f t="shared" si="3"/>
        <v>-16597273</v>
      </c>
      <c r="L12" s="127">
        <f t="shared" si="3"/>
        <v>44662193</v>
      </c>
      <c r="M12" s="17">
        <f t="shared" si="3"/>
        <v>2227086.48</v>
      </c>
      <c r="N12" s="18">
        <f t="shared" si="1"/>
        <v>4.986513940325322</v>
      </c>
      <c r="O12" s="341"/>
    </row>
    <row r="13" spans="1:15" ht="11.45" customHeight="1" outlineLevel="1" x14ac:dyDescent="0.2">
      <c r="A13" s="12"/>
      <c r="B13" s="392" t="s">
        <v>7</v>
      </c>
      <c r="C13" s="393"/>
      <c r="D13" s="11"/>
      <c r="E13" s="11"/>
      <c r="F13" s="16"/>
      <c r="G13" s="127">
        <f t="shared" si="2"/>
        <v>526829162</v>
      </c>
      <c r="H13" s="127">
        <f t="shared" si="2"/>
        <v>260044597</v>
      </c>
      <c r="I13" s="18">
        <f t="shared" si="0"/>
        <v>49.360326982051156</v>
      </c>
      <c r="J13" s="127">
        <f t="shared" si="3"/>
        <v>215319283</v>
      </c>
      <c r="K13" s="127">
        <f t="shared" si="3"/>
        <v>-62988936</v>
      </c>
      <c r="L13" s="127">
        <f t="shared" si="3"/>
        <v>152330347</v>
      </c>
      <c r="M13" s="17">
        <f t="shared" si="3"/>
        <v>100722776.67000005</v>
      </c>
      <c r="N13" s="18">
        <f t="shared" si="1"/>
        <v>66.121280922441571</v>
      </c>
      <c r="O13" s="341"/>
    </row>
    <row r="14" spans="1:15" ht="11.45" customHeight="1" outlineLevel="1" x14ac:dyDescent="0.2">
      <c r="A14" s="12"/>
      <c r="B14" s="392" t="s">
        <v>8</v>
      </c>
      <c r="C14" s="393"/>
      <c r="D14" s="11"/>
      <c r="E14" s="11"/>
      <c r="F14" s="16"/>
      <c r="G14" s="127">
        <f t="shared" si="2"/>
        <v>198487703</v>
      </c>
      <c r="H14" s="127">
        <f t="shared" si="2"/>
        <v>133801963</v>
      </c>
      <c r="I14" s="18">
        <f t="shared" si="0"/>
        <v>67.410706546389932</v>
      </c>
      <c r="J14" s="127">
        <f t="shared" si="3"/>
        <v>79016895</v>
      </c>
      <c r="K14" s="127">
        <f t="shared" si="3"/>
        <v>4003659</v>
      </c>
      <c r="L14" s="127">
        <f t="shared" si="3"/>
        <v>83020554</v>
      </c>
      <c r="M14" s="17">
        <f t="shared" si="3"/>
        <v>67847525.329999998</v>
      </c>
      <c r="N14" s="18">
        <f t="shared" si="1"/>
        <v>81.723768465818708</v>
      </c>
      <c r="O14" s="341"/>
    </row>
    <row r="15" spans="1:15" ht="11.45" customHeight="1" outlineLevel="1" x14ac:dyDescent="0.2">
      <c r="A15" s="12"/>
      <c r="B15" s="392" t="s">
        <v>22</v>
      </c>
      <c r="C15" s="393"/>
      <c r="D15" s="11"/>
      <c r="E15" s="11"/>
      <c r="F15" s="16"/>
      <c r="G15" s="127">
        <f t="shared" si="2"/>
        <v>11273798</v>
      </c>
      <c r="H15" s="127">
        <f t="shared" si="2"/>
        <v>6915989</v>
      </c>
      <c r="I15" s="18">
        <f t="shared" si="0"/>
        <v>61.345688471622431</v>
      </c>
      <c r="J15" s="127">
        <f t="shared" si="3"/>
        <v>3660944</v>
      </c>
      <c r="K15" s="127">
        <f t="shared" si="3"/>
        <v>578033</v>
      </c>
      <c r="L15" s="127">
        <f t="shared" si="3"/>
        <v>4238977</v>
      </c>
      <c r="M15" s="17">
        <f t="shared" si="3"/>
        <v>1166850.5</v>
      </c>
      <c r="N15" s="18">
        <f t="shared" si="1"/>
        <v>27.526700427957028</v>
      </c>
      <c r="O15" s="341"/>
    </row>
    <row r="16" spans="1:15" ht="11.45" customHeight="1" outlineLevel="1" x14ac:dyDescent="0.2">
      <c r="A16" s="12"/>
      <c r="B16" s="16" t="s">
        <v>45</v>
      </c>
      <c r="C16" s="106"/>
      <c r="D16" s="11"/>
      <c r="E16" s="11"/>
      <c r="F16" s="16"/>
      <c r="G16" s="127">
        <f t="shared" si="2"/>
        <v>1084119</v>
      </c>
      <c r="H16" s="127">
        <f t="shared" si="2"/>
        <v>1083267</v>
      </c>
      <c r="I16" s="18">
        <f t="shared" si="0"/>
        <v>99.921410841429775</v>
      </c>
      <c r="J16" s="127">
        <f t="shared" si="3"/>
        <v>120265</v>
      </c>
      <c r="K16" s="127">
        <f t="shared" si="3"/>
        <v>934735</v>
      </c>
      <c r="L16" s="127">
        <f t="shared" si="3"/>
        <v>1055000</v>
      </c>
      <c r="M16" s="17">
        <f t="shared" si="3"/>
        <v>1054147.27</v>
      </c>
      <c r="N16" s="18">
        <f t="shared" si="1"/>
        <v>99.919172511848345</v>
      </c>
      <c r="O16" s="341"/>
    </row>
    <row r="17" spans="1:15" ht="11.45" customHeight="1" outlineLevel="1" x14ac:dyDescent="0.2">
      <c r="A17" s="12"/>
      <c r="B17" s="16" t="s">
        <v>46</v>
      </c>
      <c r="C17" s="106"/>
      <c r="D17" s="11"/>
      <c r="E17" s="11"/>
      <c r="F17" s="16"/>
      <c r="G17" s="127">
        <f t="shared" si="2"/>
        <v>8274367</v>
      </c>
      <c r="H17" s="127">
        <f t="shared" si="2"/>
        <v>6241311</v>
      </c>
      <c r="I17" s="18">
        <f t="shared" si="0"/>
        <v>75.429467897665162</v>
      </c>
      <c r="J17" s="127">
        <f t="shared" si="3"/>
        <v>610000</v>
      </c>
      <c r="K17" s="127">
        <f t="shared" si="3"/>
        <v>4926004</v>
      </c>
      <c r="L17" s="127">
        <f t="shared" si="3"/>
        <v>5536004</v>
      </c>
      <c r="M17" s="17">
        <f t="shared" si="3"/>
        <v>5251629.9900000012</v>
      </c>
      <c r="N17" s="18">
        <f t="shared" si="1"/>
        <v>94.863189947117107</v>
      </c>
      <c r="O17" s="341"/>
    </row>
    <row r="18" spans="1:15" ht="3.95" customHeight="1" outlineLevel="1" x14ac:dyDescent="0.2">
      <c r="A18" s="41"/>
      <c r="B18" s="42"/>
      <c r="C18" s="43"/>
      <c r="D18" s="44"/>
      <c r="E18" s="44"/>
      <c r="F18" s="41"/>
      <c r="G18" s="128"/>
      <c r="H18" s="128"/>
      <c r="I18" s="41"/>
      <c r="J18" s="128"/>
      <c r="K18" s="128"/>
      <c r="L18" s="128"/>
      <c r="M18" s="45"/>
      <c r="N18" s="46"/>
      <c r="O18" s="342"/>
    </row>
    <row r="19" spans="1:15" ht="3.95" customHeight="1" outlineLevel="1" x14ac:dyDescent="0.2">
      <c r="A19" s="47"/>
      <c r="B19" s="48"/>
      <c r="C19" s="49"/>
      <c r="D19" s="50"/>
      <c r="E19" s="50"/>
      <c r="F19" s="47"/>
      <c r="G19" s="129"/>
      <c r="H19" s="129"/>
      <c r="I19" s="47"/>
      <c r="J19" s="129"/>
      <c r="K19" s="129"/>
      <c r="L19" s="129"/>
      <c r="M19" s="51"/>
      <c r="N19" s="52"/>
      <c r="O19" s="343"/>
    </row>
    <row r="20" spans="1:15" ht="11.45" customHeight="1" outlineLevel="1" x14ac:dyDescent="0.2">
      <c r="A20" s="19" t="s">
        <v>2</v>
      </c>
      <c r="B20" s="372" t="s">
        <v>21</v>
      </c>
      <c r="C20" s="373"/>
      <c r="D20" s="20"/>
      <c r="E20" s="20"/>
      <c r="F20" s="21"/>
      <c r="G20" s="130">
        <f>SUM(G21:G26)</f>
        <v>38415040</v>
      </c>
      <c r="H20" s="130">
        <f>SUM(H21:H26)</f>
        <v>23769790</v>
      </c>
      <c r="I20" s="23">
        <f t="shared" ref="I20:I26" si="4">IF(G20&gt;0,H20/G20*100,"-")</f>
        <v>61.876259923196756</v>
      </c>
      <c r="J20" s="130">
        <f>SUM(J21:J26)</f>
        <v>7902861</v>
      </c>
      <c r="K20" s="130">
        <f>SUM(K21:K26)</f>
        <v>5460272</v>
      </c>
      <c r="L20" s="130">
        <f>SUM(L21:L26)</f>
        <v>13363133</v>
      </c>
      <c r="M20" s="22">
        <f>SUM(M21:M26)</f>
        <v>9859291.5100000016</v>
      </c>
      <c r="N20" s="23">
        <f t="shared" ref="N20:N26" si="5">IF(L20&gt;0,M20/L20*100,"-")</f>
        <v>73.779790338089143</v>
      </c>
      <c r="O20" s="344"/>
    </row>
    <row r="21" spans="1:15" ht="11.45" customHeight="1" outlineLevel="1" x14ac:dyDescent="0.2">
      <c r="A21" s="21"/>
      <c r="B21" s="25" t="s">
        <v>15</v>
      </c>
      <c r="C21" s="24"/>
      <c r="D21" s="20"/>
      <c r="E21" s="20"/>
      <c r="F21" s="25"/>
      <c r="G21" s="131">
        <f t="shared" ref="G21:H26" si="6">G30+G96+G186+G269+G492</f>
        <v>1997407</v>
      </c>
      <c r="H21" s="131">
        <f t="shared" si="6"/>
        <v>1666044</v>
      </c>
      <c r="I21" s="27">
        <f t="shared" si="4"/>
        <v>83.410341507764812</v>
      </c>
      <c r="J21" s="131">
        <f t="shared" ref="J21:M26" si="7">J30+J96+J186+J269+J492</f>
        <v>584287</v>
      </c>
      <c r="K21" s="131">
        <f t="shared" si="7"/>
        <v>75498</v>
      </c>
      <c r="L21" s="131">
        <f t="shared" si="7"/>
        <v>659785</v>
      </c>
      <c r="M21" s="26">
        <f t="shared" si="7"/>
        <v>461142.2</v>
      </c>
      <c r="N21" s="27">
        <f t="shared" si="5"/>
        <v>69.892798411603792</v>
      </c>
      <c r="O21" s="344"/>
    </row>
    <row r="22" spans="1:15" ht="11.45" customHeight="1" outlineLevel="1" x14ac:dyDescent="0.2">
      <c r="A22" s="21"/>
      <c r="B22" s="25" t="s">
        <v>7</v>
      </c>
      <c r="C22" s="24"/>
      <c r="D22" s="20"/>
      <c r="E22" s="20"/>
      <c r="F22" s="25"/>
      <c r="G22" s="131">
        <f t="shared" si="6"/>
        <v>33238771</v>
      </c>
      <c r="H22" s="131">
        <f t="shared" si="6"/>
        <v>20419586</v>
      </c>
      <c r="I22" s="27">
        <f t="shared" si="4"/>
        <v>61.43303553551965</v>
      </c>
      <c r="J22" s="131">
        <f t="shared" si="7"/>
        <v>6677484</v>
      </c>
      <c r="K22" s="131">
        <f t="shared" si="7"/>
        <v>5038715</v>
      </c>
      <c r="L22" s="131">
        <f t="shared" si="7"/>
        <v>11716199</v>
      </c>
      <c r="M22" s="26">
        <f t="shared" si="7"/>
        <v>8621285.8800000027</v>
      </c>
      <c r="N22" s="27">
        <f t="shared" si="5"/>
        <v>73.584324404186049</v>
      </c>
      <c r="O22" s="344"/>
    </row>
    <row r="23" spans="1:15" ht="11.45" customHeight="1" outlineLevel="1" x14ac:dyDescent="0.2">
      <c r="A23" s="21"/>
      <c r="B23" s="374" t="s">
        <v>8</v>
      </c>
      <c r="C23" s="375"/>
      <c r="D23" s="20"/>
      <c r="E23" s="20"/>
      <c r="F23" s="25"/>
      <c r="G23" s="131">
        <f t="shared" si="6"/>
        <v>0</v>
      </c>
      <c r="H23" s="131">
        <f t="shared" si="6"/>
        <v>0</v>
      </c>
      <c r="I23" s="27" t="str">
        <f t="shared" si="4"/>
        <v>-</v>
      </c>
      <c r="J23" s="131">
        <f t="shared" si="7"/>
        <v>0</v>
      </c>
      <c r="K23" s="131">
        <f t="shared" si="7"/>
        <v>0</v>
      </c>
      <c r="L23" s="131">
        <f t="shared" si="7"/>
        <v>0</v>
      </c>
      <c r="M23" s="26">
        <f t="shared" si="7"/>
        <v>0</v>
      </c>
      <c r="N23" s="27" t="str">
        <f t="shared" si="5"/>
        <v>-</v>
      </c>
      <c r="O23" s="344"/>
    </row>
    <row r="24" spans="1:15" ht="11.45" customHeight="1" outlineLevel="1" x14ac:dyDescent="0.2">
      <c r="A24" s="21"/>
      <c r="B24" s="25" t="s">
        <v>22</v>
      </c>
      <c r="C24" s="24"/>
      <c r="D24" s="20"/>
      <c r="E24" s="20"/>
      <c r="F24" s="25"/>
      <c r="G24" s="131">
        <f t="shared" si="6"/>
        <v>3178862</v>
      </c>
      <c r="H24" s="131">
        <f t="shared" si="6"/>
        <v>1684160</v>
      </c>
      <c r="I24" s="27">
        <f t="shared" si="4"/>
        <v>52.97996578649844</v>
      </c>
      <c r="J24" s="131">
        <f t="shared" si="7"/>
        <v>641090</v>
      </c>
      <c r="K24" s="131">
        <f t="shared" si="7"/>
        <v>346059</v>
      </c>
      <c r="L24" s="131">
        <f t="shared" si="7"/>
        <v>987149</v>
      </c>
      <c r="M24" s="26">
        <f t="shared" si="7"/>
        <v>776863.42999999993</v>
      </c>
      <c r="N24" s="27">
        <f t="shared" si="5"/>
        <v>78.697686975319826</v>
      </c>
      <c r="O24" s="344"/>
    </row>
    <row r="25" spans="1:15" ht="11.45" customHeight="1" outlineLevel="1" x14ac:dyDescent="0.2">
      <c r="A25" s="21"/>
      <c r="B25" s="25" t="s">
        <v>45</v>
      </c>
      <c r="C25" s="24"/>
      <c r="D25" s="20"/>
      <c r="E25" s="20"/>
      <c r="F25" s="25"/>
      <c r="G25" s="131">
        <f t="shared" si="6"/>
        <v>0</v>
      </c>
      <c r="H25" s="131">
        <f t="shared" si="6"/>
        <v>0</v>
      </c>
      <c r="I25" s="27" t="str">
        <f t="shared" si="4"/>
        <v>-</v>
      </c>
      <c r="J25" s="131">
        <f t="shared" si="7"/>
        <v>0</v>
      </c>
      <c r="K25" s="131">
        <f t="shared" si="7"/>
        <v>0</v>
      </c>
      <c r="L25" s="131">
        <f t="shared" si="7"/>
        <v>0</v>
      </c>
      <c r="M25" s="26">
        <f t="shared" si="7"/>
        <v>0</v>
      </c>
      <c r="N25" s="27" t="str">
        <f t="shared" si="5"/>
        <v>-</v>
      </c>
      <c r="O25" s="344"/>
    </row>
    <row r="26" spans="1:15" ht="11.45" customHeight="1" outlineLevel="1" x14ac:dyDescent="0.2">
      <c r="A26" s="21"/>
      <c r="B26" s="25" t="s">
        <v>46</v>
      </c>
      <c r="C26" s="24"/>
      <c r="D26" s="20"/>
      <c r="E26" s="20"/>
      <c r="F26" s="25"/>
      <c r="G26" s="131">
        <f t="shared" si="6"/>
        <v>0</v>
      </c>
      <c r="H26" s="131">
        <f t="shared" si="6"/>
        <v>0</v>
      </c>
      <c r="I26" s="27" t="str">
        <f t="shared" si="4"/>
        <v>-</v>
      </c>
      <c r="J26" s="131">
        <f t="shared" si="7"/>
        <v>0</v>
      </c>
      <c r="K26" s="131">
        <f t="shared" si="7"/>
        <v>0</v>
      </c>
      <c r="L26" s="131">
        <f t="shared" si="7"/>
        <v>0</v>
      </c>
      <c r="M26" s="26">
        <f t="shared" si="7"/>
        <v>0</v>
      </c>
      <c r="N26" s="27" t="str">
        <f t="shared" si="5"/>
        <v>-</v>
      </c>
      <c r="O26" s="344"/>
    </row>
    <row r="27" spans="1:15" ht="3.95" customHeight="1" outlineLevel="1" x14ac:dyDescent="0.2">
      <c r="A27" s="53"/>
      <c r="B27" s="54"/>
      <c r="C27" s="55"/>
      <c r="D27" s="56"/>
      <c r="E27" s="56"/>
      <c r="F27" s="53"/>
      <c r="G27" s="132"/>
      <c r="H27" s="132"/>
      <c r="I27" s="53"/>
      <c r="J27" s="132"/>
      <c r="K27" s="132"/>
      <c r="L27" s="132"/>
      <c r="M27" s="57"/>
      <c r="N27" s="58"/>
      <c r="O27" s="345"/>
    </row>
    <row r="28" spans="1:15" ht="3.95" customHeight="1" outlineLevel="1" x14ac:dyDescent="0.2">
      <c r="A28" s="59"/>
      <c r="B28" s="60"/>
      <c r="C28" s="61"/>
      <c r="D28" s="62"/>
      <c r="E28" s="62"/>
      <c r="F28" s="59"/>
      <c r="G28" s="133"/>
      <c r="H28" s="133"/>
      <c r="I28" s="59"/>
      <c r="J28" s="133"/>
      <c r="K28" s="133"/>
      <c r="L28" s="133"/>
      <c r="M28" s="63"/>
      <c r="N28" s="64"/>
      <c r="O28" s="346"/>
    </row>
    <row r="29" spans="1:15" ht="11.45" customHeight="1" outlineLevel="1" x14ac:dyDescent="0.2">
      <c r="A29" s="28" t="s">
        <v>1</v>
      </c>
      <c r="B29" s="376" t="s">
        <v>49</v>
      </c>
      <c r="C29" s="377"/>
      <c r="D29" s="29"/>
      <c r="E29" s="29"/>
      <c r="F29" s="30"/>
      <c r="G29" s="134">
        <f>SUM(G30:G35)</f>
        <v>3032378</v>
      </c>
      <c r="H29" s="134">
        <f>SUM(H30:H35)</f>
        <v>1273566</v>
      </c>
      <c r="I29" s="32">
        <f>IF(G29&gt;0,H29/G29*100,"-")</f>
        <v>41.998919659752183</v>
      </c>
      <c r="J29" s="134">
        <f>SUM(J30:J35)</f>
        <v>1222130</v>
      </c>
      <c r="K29" s="134">
        <f>SUM(K30:K35)</f>
        <v>309835</v>
      </c>
      <c r="L29" s="134">
        <f>SUM(L30:L35)</f>
        <v>1531965</v>
      </c>
      <c r="M29" s="31">
        <f>SUM(M30:M35)</f>
        <v>1046951.7000000002</v>
      </c>
      <c r="N29" s="32">
        <f t="shared" ref="N29:N35" si="8">IF(L29&gt;0,M29/L29*100,"-")</f>
        <v>68.340445114607718</v>
      </c>
      <c r="O29" s="347"/>
    </row>
    <row r="30" spans="1:15" ht="11.45" customHeight="1" outlineLevel="1" x14ac:dyDescent="0.2">
      <c r="A30" s="30"/>
      <c r="B30" s="33"/>
      <c r="C30" s="34"/>
      <c r="D30" s="29"/>
      <c r="E30" s="29"/>
      <c r="F30" s="35" t="s">
        <v>15</v>
      </c>
      <c r="G30" s="135">
        <f t="shared" ref="G30:H35" si="9">G39+G53+G62+G76+G86</f>
        <v>56889</v>
      </c>
      <c r="H30" s="135">
        <f t="shared" si="9"/>
        <v>32713</v>
      </c>
      <c r="I30" s="37">
        <f t="shared" ref="I30:I35" si="10">IF(G30&gt;0,H30/G30*100,"-")</f>
        <v>57.503208001546867</v>
      </c>
      <c r="J30" s="135">
        <f t="shared" ref="J30:M35" si="11">J39+J53+J62+J76+J86</f>
        <v>0</v>
      </c>
      <c r="K30" s="135">
        <f t="shared" si="11"/>
        <v>56889</v>
      </c>
      <c r="L30" s="135">
        <f t="shared" si="11"/>
        <v>56889</v>
      </c>
      <c r="M30" s="36">
        <f t="shared" si="11"/>
        <v>32712.3</v>
      </c>
      <c r="N30" s="37">
        <f t="shared" si="8"/>
        <v>57.501977535200119</v>
      </c>
      <c r="O30" s="347"/>
    </row>
    <row r="31" spans="1:15" ht="11.45" customHeight="1" outlineLevel="1" x14ac:dyDescent="0.2">
      <c r="A31" s="30"/>
      <c r="B31" s="33"/>
      <c r="C31" s="34"/>
      <c r="D31" s="29"/>
      <c r="E31" s="29"/>
      <c r="F31" s="35" t="s">
        <v>7</v>
      </c>
      <c r="G31" s="135">
        <f t="shared" si="9"/>
        <v>2685264</v>
      </c>
      <c r="H31" s="135">
        <f t="shared" si="9"/>
        <v>1082527</v>
      </c>
      <c r="I31" s="37">
        <f t="shared" si="10"/>
        <v>40.313615346573002</v>
      </c>
      <c r="J31" s="135">
        <f t="shared" si="11"/>
        <v>1038811</v>
      </c>
      <c r="K31" s="135">
        <f t="shared" si="11"/>
        <v>263359</v>
      </c>
      <c r="L31" s="135">
        <f t="shared" si="11"/>
        <v>1302170</v>
      </c>
      <c r="M31" s="36">
        <f t="shared" si="11"/>
        <v>889908.6100000001</v>
      </c>
      <c r="N31" s="37">
        <f t="shared" si="8"/>
        <v>68.340432508812228</v>
      </c>
      <c r="O31" s="347"/>
    </row>
    <row r="32" spans="1:15" ht="11.45" customHeight="1" outlineLevel="1" x14ac:dyDescent="0.2">
      <c r="A32" s="30"/>
      <c r="B32" s="33"/>
      <c r="C32" s="34"/>
      <c r="D32" s="29"/>
      <c r="E32" s="29"/>
      <c r="F32" s="35" t="s">
        <v>8</v>
      </c>
      <c r="G32" s="135">
        <f t="shared" si="9"/>
        <v>0</v>
      </c>
      <c r="H32" s="135">
        <f t="shared" si="9"/>
        <v>0</v>
      </c>
      <c r="I32" s="37" t="str">
        <f t="shared" si="10"/>
        <v>-</v>
      </c>
      <c r="J32" s="135">
        <f t="shared" si="11"/>
        <v>0</v>
      </c>
      <c r="K32" s="135">
        <f t="shared" si="11"/>
        <v>0</v>
      </c>
      <c r="L32" s="135">
        <f t="shared" si="11"/>
        <v>0</v>
      </c>
      <c r="M32" s="36">
        <f t="shared" si="11"/>
        <v>0</v>
      </c>
      <c r="N32" s="37" t="str">
        <f t="shared" si="8"/>
        <v>-</v>
      </c>
      <c r="O32" s="347"/>
    </row>
    <row r="33" spans="1:15" ht="11.45" customHeight="1" outlineLevel="1" x14ac:dyDescent="0.2">
      <c r="A33" s="30"/>
      <c r="B33" s="33"/>
      <c r="C33" s="34"/>
      <c r="D33" s="29"/>
      <c r="E33" s="29"/>
      <c r="F33" s="35" t="s">
        <v>22</v>
      </c>
      <c r="G33" s="135">
        <f t="shared" si="9"/>
        <v>290225</v>
      </c>
      <c r="H33" s="135">
        <f t="shared" si="9"/>
        <v>158326</v>
      </c>
      <c r="I33" s="37">
        <f t="shared" si="10"/>
        <v>54.552846929106721</v>
      </c>
      <c r="J33" s="135">
        <f t="shared" si="11"/>
        <v>183319</v>
      </c>
      <c r="K33" s="135">
        <f t="shared" si="11"/>
        <v>-10413</v>
      </c>
      <c r="L33" s="135">
        <f t="shared" si="11"/>
        <v>172906</v>
      </c>
      <c r="M33" s="36">
        <f t="shared" si="11"/>
        <v>124330.79</v>
      </c>
      <c r="N33" s="37">
        <f t="shared" si="8"/>
        <v>71.906579297421715</v>
      </c>
      <c r="O33" s="347"/>
    </row>
    <row r="34" spans="1:15" ht="11.45" customHeight="1" outlineLevel="1" x14ac:dyDescent="0.2">
      <c r="A34" s="30"/>
      <c r="B34" s="33"/>
      <c r="C34" s="34"/>
      <c r="D34" s="29"/>
      <c r="E34" s="29"/>
      <c r="F34" s="35" t="s">
        <v>45</v>
      </c>
      <c r="G34" s="135">
        <f t="shared" si="9"/>
        <v>0</v>
      </c>
      <c r="H34" s="135">
        <f t="shared" si="9"/>
        <v>0</v>
      </c>
      <c r="I34" s="37" t="str">
        <f t="shared" si="10"/>
        <v>-</v>
      </c>
      <c r="J34" s="135">
        <f t="shared" si="11"/>
        <v>0</v>
      </c>
      <c r="K34" s="135">
        <f t="shared" si="11"/>
        <v>0</v>
      </c>
      <c r="L34" s="135">
        <f t="shared" si="11"/>
        <v>0</v>
      </c>
      <c r="M34" s="36">
        <f t="shared" si="11"/>
        <v>0</v>
      </c>
      <c r="N34" s="37" t="str">
        <f t="shared" si="8"/>
        <v>-</v>
      </c>
      <c r="O34" s="347"/>
    </row>
    <row r="35" spans="1:15" ht="11.45" customHeight="1" outlineLevel="1" x14ac:dyDescent="0.2">
      <c r="A35" s="30"/>
      <c r="B35" s="33"/>
      <c r="C35" s="34"/>
      <c r="D35" s="29"/>
      <c r="E35" s="29"/>
      <c r="F35" s="35" t="s">
        <v>46</v>
      </c>
      <c r="G35" s="135">
        <f t="shared" si="9"/>
        <v>0</v>
      </c>
      <c r="H35" s="135">
        <f t="shared" si="9"/>
        <v>0</v>
      </c>
      <c r="I35" s="37" t="str">
        <f t="shared" si="10"/>
        <v>-</v>
      </c>
      <c r="J35" s="135">
        <f t="shared" si="11"/>
        <v>0</v>
      </c>
      <c r="K35" s="135">
        <f t="shared" si="11"/>
        <v>0</v>
      </c>
      <c r="L35" s="135">
        <f t="shared" si="11"/>
        <v>0</v>
      </c>
      <c r="M35" s="36">
        <f t="shared" si="11"/>
        <v>0</v>
      </c>
      <c r="N35" s="37" t="str">
        <f t="shared" si="8"/>
        <v>-</v>
      </c>
      <c r="O35" s="347"/>
    </row>
    <row r="36" spans="1:15" ht="3.95" customHeight="1" outlineLevel="1" x14ac:dyDescent="0.2">
      <c r="A36" s="65"/>
      <c r="B36" s="66"/>
      <c r="C36" s="67"/>
      <c r="D36" s="68"/>
      <c r="E36" s="68"/>
      <c r="F36" s="65"/>
      <c r="G36" s="136"/>
      <c r="H36" s="136"/>
      <c r="I36" s="70"/>
      <c r="J36" s="136"/>
      <c r="K36" s="136"/>
      <c r="L36" s="136"/>
      <c r="M36" s="69"/>
      <c r="N36" s="70"/>
      <c r="O36" s="348"/>
    </row>
    <row r="37" spans="1:15" s="95" customFormat="1" ht="3.95" customHeight="1" outlineLevel="1" x14ac:dyDescent="0.2">
      <c r="A37" s="154"/>
      <c r="B37" s="72"/>
      <c r="C37" s="73"/>
      <c r="D37" s="71"/>
      <c r="E37" s="71"/>
      <c r="F37" s="72"/>
      <c r="G37" s="137"/>
      <c r="H37" s="137"/>
      <c r="I37" s="75"/>
      <c r="J37" s="138"/>
      <c r="K37" s="138"/>
      <c r="L37" s="138"/>
      <c r="M37" s="156"/>
      <c r="N37" s="75"/>
      <c r="O37" s="364" t="s">
        <v>496</v>
      </c>
    </row>
    <row r="38" spans="1:15" s="95" customFormat="1" ht="11.1" customHeight="1" outlineLevel="1" x14ac:dyDescent="0.2">
      <c r="A38" s="369" t="s">
        <v>1</v>
      </c>
      <c r="B38" s="76" t="s">
        <v>9</v>
      </c>
      <c r="C38" s="77" t="s">
        <v>334</v>
      </c>
      <c r="D38" s="360" t="s">
        <v>346</v>
      </c>
      <c r="E38" s="360" t="s">
        <v>347</v>
      </c>
      <c r="F38" s="78" t="s">
        <v>28</v>
      </c>
      <c r="G38" s="139">
        <f>SUM(G39:G44)</f>
        <v>1097552</v>
      </c>
      <c r="H38" s="260">
        <f>SUM(H39:H44)</f>
        <v>218083</v>
      </c>
      <c r="I38" s="39">
        <f t="shared" ref="I38:I43" si="12">IF(G38&gt;0,H38/G38*100,"-")</f>
        <v>19.869946936454948</v>
      </c>
      <c r="J38" s="139">
        <f>SUM(J39:J42)</f>
        <v>0</v>
      </c>
      <c r="K38" s="139">
        <f>SUM(K39:K42)</f>
        <v>379260</v>
      </c>
      <c r="L38" s="139">
        <f>SUM(L39:L42)</f>
        <v>379260</v>
      </c>
      <c r="M38" s="38">
        <f>SUM(M39:M42)</f>
        <v>218082.00999999998</v>
      </c>
      <c r="N38" s="39">
        <f t="shared" ref="N38:N44" si="13">IF(L38&gt;0,M38/L38*100,"-")</f>
        <v>57.501980171913722</v>
      </c>
      <c r="O38" s="362"/>
    </row>
    <row r="39" spans="1:15" s="95" customFormat="1" ht="11.1" customHeight="1" outlineLevel="1" x14ac:dyDescent="0.2">
      <c r="A39" s="369"/>
      <c r="B39" s="76"/>
      <c r="C39" s="77" t="s">
        <v>335</v>
      </c>
      <c r="D39" s="360"/>
      <c r="E39" s="360"/>
      <c r="F39" s="79" t="s">
        <v>15</v>
      </c>
      <c r="G39" s="140">
        <v>56889</v>
      </c>
      <c r="H39" s="140">
        <f>ROUNDUP(0+M39,0)</f>
        <v>32713</v>
      </c>
      <c r="I39" s="81">
        <f t="shared" si="12"/>
        <v>57.503208001546867</v>
      </c>
      <c r="J39" s="140">
        <v>0</v>
      </c>
      <c r="K39" s="140">
        <f t="shared" ref="K39:K44" si="14">L39-J39</f>
        <v>56889</v>
      </c>
      <c r="L39" s="140">
        <v>56889</v>
      </c>
      <c r="M39" s="80">
        <v>32712.3</v>
      </c>
      <c r="N39" s="81">
        <f t="shared" si="13"/>
        <v>57.501977535200119</v>
      </c>
      <c r="O39" s="362"/>
    </row>
    <row r="40" spans="1:15" s="95" customFormat="1" ht="11.1" customHeight="1" outlineLevel="1" x14ac:dyDescent="0.2">
      <c r="A40" s="369"/>
      <c r="B40" s="76" t="s">
        <v>10</v>
      </c>
      <c r="C40" s="82" t="s">
        <v>336</v>
      </c>
      <c r="D40" s="360"/>
      <c r="E40" s="360"/>
      <c r="F40" s="79" t="s">
        <v>7</v>
      </c>
      <c r="G40" s="140">
        <v>1040663</v>
      </c>
      <c r="H40" s="140">
        <f>ROUNDUP(0+M40,0)</f>
        <v>185370</v>
      </c>
      <c r="I40" s="81">
        <f t="shared" si="12"/>
        <v>17.812682876204882</v>
      </c>
      <c r="J40" s="140">
        <v>0</v>
      </c>
      <c r="K40" s="140">
        <f t="shared" si="14"/>
        <v>322371</v>
      </c>
      <c r="L40" s="140">
        <v>322371</v>
      </c>
      <c r="M40" s="80">
        <v>185369.71</v>
      </c>
      <c r="N40" s="81">
        <f t="shared" si="13"/>
        <v>57.501980637216121</v>
      </c>
      <c r="O40" s="362"/>
    </row>
    <row r="41" spans="1:15" s="95" customFormat="1" ht="11.1" customHeight="1" outlineLevel="1" x14ac:dyDescent="0.2">
      <c r="A41" s="119"/>
      <c r="B41" s="76" t="s">
        <v>11</v>
      </c>
      <c r="C41" s="77" t="s">
        <v>337</v>
      </c>
      <c r="D41" s="110"/>
      <c r="E41" s="110"/>
      <c r="F41" s="79" t="s">
        <v>8</v>
      </c>
      <c r="G41" s="140">
        <v>0</v>
      </c>
      <c r="H41" s="140">
        <f>ROUNDUP(0+M41,0)</f>
        <v>0</v>
      </c>
      <c r="I41" s="81" t="str">
        <f t="shared" si="12"/>
        <v>-</v>
      </c>
      <c r="J41" s="140">
        <v>0</v>
      </c>
      <c r="K41" s="140">
        <f t="shared" si="14"/>
        <v>0</v>
      </c>
      <c r="L41" s="140">
        <v>0</v>
      </c>
      <c r="M41" s="80">
        <v>0</v>
      </c>
      <c r="N41" s="81" t="str">
        <f t="shared" si="13"/>
        <v>-</v>
      </c>
      <c r="O41" s="362"/>
    </row>
    <row r="42" spans="1:15" s="95" customFormat="1" ht="11.1" customHeight="1" outlineLevel="1" x14ac:dyDescent="0.2">
      <c r="A42" s="119"/>
      <c r="B42" s="76" t="s">
        <v>12</v>
      </c>
      <c r="C42" s="82" t="s">
        <v>338</v>
      </c>
      <c r="D42" s="110"/>
      <c r="E42" s="110"/>
      <c r="F42" s="79" t="s">
        <v>22</v>
      </c>
      <c r="G42" s="140">
        <v>0</v>
      </c>
      <c r="H42" s="140">
        <f t="shared" ref="H42:H44" si="15">ROUNDUP(0+M42,0)</f>
        <v>0</v>
      </c>
      <c r="I42" s="81" t="str">
        <f t="shared" si="12"/>
        <v>-</v>
      </c>
      <c r="J42" s="140">
        <v>0</v>
      </c>
      <c r="K42" s="140">
        <f t="shared" si="14"/>
        <v>0</v>
      </c>
      <c r="L42" s="140">
        <v>0</v>
      </c>
      <c r="M42" s="80">
        <v>0</v>
      </c>
      <c r="N42" s="81" t="str">
        <f t="shared" si="13"/>
        <v>-</v>
      </c>
      <c r="O42" s="362"/>
    </row>
    <row r="43" spans="1:15" s="95" customFormat="1" ht="11.1" customHeight="1" outlineLevel="1" x14ac:dyDescent="0.2">
      <c r="A43" s="119"/>
      <c r="B43" s="76"/>
      <c r="C43" s="82" t="s">
        <v>339</v>
      </c>
      <c r="D43" s="308"/>
      <c r="E43" s="308"/>
      <c r="F43" s="107" t="s">
        <v>45</v>
      </c>
      <c r="G43" s="141">
        <v>0</v>
      </c>
      <c r="H43" s="140">
        <f t="shared" si="15"/>
        <v>0</v>
      </c>
      <c r="I43" s="81" t="str">
        <f t="shared" si="12"/>
        <v>-</v>
      </c>
      <c r="J43" s="140">
        <v>0</v>
      </c>
      <c r="K43" s="140">
        <f t="shared" si="14"/>
        <v>0</v>
      </c>
      <c r="L43" s="140">
        <v>0</v>
      </c>
      <c r="M43" s="83">
        <v>0</v>
      </c>
      <c r="N43" s="81" t="str">
        <f t="shared" si="13"/>
        <v>-</v>
      </c>
      <c r="O43" s="362"/>
    </row>
    <row r="44" spans="1:15" s="95" customFormat="1" ht="11.1" customHeight="1" outlineLevel="1" x14ac:dyDescent="0.2">
      <c r="A44" s="119"/>
      <c r="B44" s="76"/>
      <c r="C44" s="150" t="s">
        <v>340</v>
      </c>
      <c r="D44" s="308"/>
      <c r="E44" s="308"/>
      <c r="F44" s="107" t="s">
        <v>46</v>
      </c>
      <c r="G44" s="141">
        <v>0</v>
      </c>
      <c r="H44" s="140">
        <f t="shared" si="15"/>
        <v>0</v>
      </c>
      <c r="I44" s="81" t="str">
        <f>IF(G44&gt;0,H44/G44*100,"-")</f>
        <v>-</v>
      </c>
      <c r="J44" s="140">
        <v>0</v>
      </c>
      <c r="K44" s="140">
        <f t="shared" si="14"/>
        <v>0</v>
      </c>
      <c r="L44" s="140">
        <v>0</v>
      </c>
      <c r="M44" s="83">
        <v>0</v>
      </c>
      <c r="N44" s="81" t="str">
        <f t="shared" si="13"/>
        <v>-</v>
      </c>
      <c r="O44" s="362"/>
    </row>
    <row r="45" spans="1:15" s="95" customFormat="1" ht="11.1" customHeight="1" outlineLevel="1" x14ac:dyDescent="0.2">
      <c r="A45" s="119"/>
      <c r="B45" s="76" t="s">
        <v>23</v>
      </c>
      <c r="C45" s="82" t="s">
        <v>341</v>
      </c>
      <c r="D45" s="308"/>
      <c r="E45" s="308"/>
      <c r="F45" s="107"/>
      <c r="G45" s="141"/>
      <c r="H45" s="141"/>
      <c r="I45" s="81"/>
      <c r="J45" s="140"/>
      <c r="K45" s="140"/>
      <c r="L45" s="140"/>
      <c r="M45" s="83"/>
      <c r="N45" s="81"/>
      <c r="O45" s="362"/>
    </row>
    <row r="46" spans="1:15" s="95" customFormat="1" ht="11.1" customHeight="1" outlineLevel="1" x14ac:dyDescent="0.2">
      <c r="A46" s="119"/>
      <c r="B46" s="76"/>
      <c r="C46" s="82" t="s">
        <v>342</v>
      </c>
      <c r="D46" s="308"/>
      <c r="E46" s="308"/>
      <c r="F46" s="107"/>
      <c r="G46" s="141"/>
      <c r="H46" s="141"/>
      <c r="I46" s="81"/>
      <c r="J46" s="140"/>
      <c r="K46" s="140"/>
      <c r="L46" s="140"/>
      <c r="M46" s="83"/>
      <c r="N46" s="81"/>
      <c r="O46" s="362"/>
    </row>
    <row r="47" spans="1:15" s="95" customFormat="1" ht="11.1" customHeight="1" outlineLevel="1" x14ac:dyDescent="0.2">
      <c r="A47" s="119"/>
      <c r="B47" s="76"/>
      <c r="C47" s="82" t="s">
        <v>343</v>
      </c>
      <c r="D47" s="308"/>
      <c r="E47" s="308"/>
      <c r="F47" s="107"/>
      <c r="G47" s="141"/>
      <c r="H47" s="141"/>
      <c r="I47" s="81"/>
      <c r="J47" s="140"/>
      <c r="K47" s="140"/>
      <c r="L47" s="140"/>
      <c r="M47" s="83"/>
      <c r="N47" s="81"/>
      <c r="O47" s="362"/>
    </row>
    <row r="48" spans="1:15" s="95" customFormat="1" ht="11.1" customHeight="1" outlineLevel="1" x14ac:dyDescent="0.2">
      <c r="A48" s="119"/>
      <c r="B48" s="76"/>
      <c r="C48" s="82" t="s">
        <v>345</v>
      </c>
      <c r="D48" s="308"/>
      <c r="E48" s="308"/>
      <c r="F48" s="107"/>
      <c r="G48" s="141"/>
      <c r="H48" s="141"/>
      <c r="I48" s="81"/>
      <c r="J48" s="140"/>
      <c r="K48" s="140"/>
      <c r="L48" s="140"/>
      <c r="M48" s="83"/>
      <c r="N48" s="81"/>
      <c r="O48" s="362"/>
    </row>
    <row r="49" spans="1:15" s="95" customFormat="1" ht="11.1" customHeight="1" outlineLevel="1" x14ac:dyDescent="0.2">
      <c r="A49" s="119"/>
      <c r="B49" s="76"/>
      <c r="C49" s="82" t="s">
        <v>344</v>
      </c>
      <c r="D49" s="308"/>
      <c r="E49" s="308"/>
      <c r="F49" s="107"/>
      <c r="G49" s="141"/>
      <c r="H49" s="141"/>
      <c r="I49" s="81"/>
      <c r="J49" s="140"/>
      <c r="K49" s="140"/>
      <c r="L49" s="140"/>
      <c r="M49" s="83"/>
      <c r="N49" s="81"/>
      <c r="O49" s="362"/>
    </row>
    <row r="50" spans="1:15" s="95" customFormat="1" ht="3.95" customHeight="1" outlineLevel="1" x14ac:dyDescent="0.2">
      <c r="A50" s="120"/>
      <c r="B50" s="76"/>
      <c r="C50" s="82"/>
      <c r="D50" s="309"/>
      <c r="E50" s="309"/>
      <c r="F50" s="76"/>
      <c r="G50" s="141"/>
      <c r="H50" s="141"/>
      <c r="I50" s="81"/>
      <c r="J50" s="140"/>
      <c r="K50" s="143"/>
      <c r="L50" s="140"/>
      <c r="M50" s="80"/>
      <c r="N50" s="81"/>
      <c r="O50" s="363"/>
    </row>
    <row r="51" spans="1:15" s="95" customFormat="1" ht="3.95" customHeight="1" outlineLevel="1" x14ac:dyDescent="0.2">
      <c r="A51" s="154"/>
      <c r="B51" s="72"/>
      <c r="C51" s="73"/>
      <c r="D51" s="71"/>
      <c r="E51" s="71"/>
      <c r="F51" s="72"/>
      <c r="G51" s="137"/>
      <c r="H51" s="137"/>
      <c r="I51" s="75"/>
      <c r="J51" s="138"/>
      <c r="K51" s="138"/>
      <c r="L51" s="138"/>
      <c r="M51" s="156"/>
      <c r="N51" s="75"/>
      <c r="O51" s="364" t="s">
        <v>497</v>
      </c>
    </row>
    <row r="52" spans="1:15" s="95" customFormat="1" ht="11.1" customHeight="1" outlineLevel="1" x14ac:dyDescent="0.2">
      <c r="A52" s="369" t="s">
        <v>51</v>
      </c>
      <c r="B52" s="76" t="s">
        <v>9</v>
      </c>
      <c r="C52" s="77" t="s">
        <v>50</v>
      </c>
      <c r="D52" s="360" t="s">
        <v>52</v>
      </c>
      <c r="E52" s="360" t="s">
        <v>188</v>
      </c>
      <c r="F52" s="78" t="s">
        <v>28</v>
      </c>
      <c r="G52" s="139">
        <f>SUM(G53:G58)</f>
        <v>585617</v>
      </c>
      <c r="H52" s="260">
        <f>SUM(H53:H58)</f>
        <v>369011</v>
      </c>
      <c r="I52" s="39">
        <f t="shared" ref="I52:I57" si="16">IF(G52&gt;0,H52/G52*100,"-")</f>
        <v>63.01234424547102</v>
      </c>
      <c r="J52" s="139">
        <f>SUM(J53:J56)</f>
        <v>311360</v>
      </c>
      <c r="K52" s="139">
        <f>SUM(K53:K56)</f>
        <v>0</v>
      </c>
      <c r="L52" s="139">
        <f>SUM(L53:L56)</f>
        <v>311360</v>
      </c>
      <c r="M52" s="38">
        <f>SUM(M53:M56)</f>
        <v>208233.13</v>
      </c>
      <c r="N52" s="39">
        <f t="shared" ref="N52:N58" si="17">IF(L52&gt;0,M52/L52*100,"-")</f>
        <v>66.878574640287766</v>
      </c>
      <c r="O52" s="362"/>
    </row>
    <row r="53" spans="1:15" s="95" customFormat="1" ht="11.1" customHeight="1" outlineLevel="1" x14ac:dyDescent="0.2">
      <c r="A53" s="369"/>
      <c r="B53" s="76" t="s">
        <v>10</v>
      </c>
      <c r="C53" s="77" t="s">
        <v>204</v>
      </c>
      <c r="D53" s="360"/>
      <c r="E53" s="360"/>
      <c r="F53" s="79" t="s">
        <v>15</v>
      </c>
      <c r="G53" s="140">
        <v>0</v>
      </c>
      <c r="H53" s="140">
        <f>ROUNDUP(0+M53,0)</f>
        <v>0</v>
      </c>
      <c r="I53" s="81" t="str">
        <f t="shared" si="16"/>
        <v>-</v>
      </c>
      <c r="J53" s="140">
        <v>0</v>
      </c>
      <c r="K53" s="140">
        <f t="shared" ref="K53:K58" si="18">L53-J53</f>
        <v>0</v>
      </c>
      <c r="L53" s="140">
        <v>0</v>
      </c>
      <c r="M53" s="80">
        <v>0</v>
      </c>
      <c r="N53" s="81" t="str">
        <f t="shared" si="17"/>
        <v>-</v>
      </c>
      <c r="O53" s="362"/>
    </row>
    <row r="54" spans="1:15" s="95" customFormat="1" ht="11.1" customHeight="1" outlineLevel="1" x14ac:dyDescent="0.2">
      <c r="A54" s="369"/>
      <c r="B54" s="76" t="s">
        <v>11</v>
      </c>
      <c r="C54" s="82" t="s">
        <v>205</v>
      </c>
      <c r="D54" s="360"/>
      <c r="E54" s="360"/>
      <c r="F54" s="79" t="s">
        <v>7</v>
      </c>
      <c r="G54" s="140">
        <v>497774</v>
      </c>
      <c r="H54" s="140">
        <f>ROUNDUP(136660+M54,0)</f>
        <v>313659</v>
      </c>
      <c r="I54" s="81">
        <f t="shared" si="16"/>
        <v>63.012330897154136</v>
      </c>
      <c r="J54" s="140">
        <v>264656</v>
      </c>
      <c r="K54" s="140">
        <f t="shared" si="18"/>
        <v>0</v>
      </c>
      <c r="L54" s="140">
        <v>264656</v>
      </c>
      <c r="M54" s="80">
        <v>176998.16</v>
      </c>
      <c r="N54" s="81">
        <f t="shared" si="17"/>
        <v>66.878574451363278</v>
      </c>
      <c r="O54" s="362"/>
    </row>
    <row r="55" spans="1:15" s="95" customFormat="1" ht="11.1" customHeight="1" outlineLevel="1" x14ac:dyDescent="0.2">
      <c r="A55" s="119"/>
      <c r="B55" s="76"/>
      <c r="C55" s="82" t="s">
        <v>196</v>
      </c>
      <c r="D55" s="110"/>
      <c r="E55" s="110"/>
      <c r="F55" s="79" t="s">
        <v>8</v>
      </c>
      <c r="G55" s="140">
        <v>0</v>
      </c>
      <c r="H55" s="140">
        <f>ROUNDUP(0+M55,0)</f>
        <v>0</v>
      </c>
      <c r="I55" s="81" t="str">
        <f t="shared" si="16"/>
        <v>-</v>
      </c>
      <c r="J55" s="140">
        <v>0</v>
      </c>
      <c r="K55" s="140">
        <f t="shared" si="18"/>
        <v>0</v>
      </c>
      <c r="L55" s="140">
        <v>0</v>
      </c>
      <c r="M55" s="80">
        <v>0</v>
      </c>
      <c r="N55" s="81" t="str">
        <f t="shared" si="17"/>
        <v>-</v>
      </c>
      <c r="O55" s="362"/>
    </row>
    <row r="56" spans="1:15" s="95" customFormat="1" ht="11.1" customHeight="1" outlineLevel="1" x14ac:dyDescent="0.2">
      <c r="A56" s="119"/>
      <c r="B56" s="76" t="s">
        <v>12</v>
      </c>
      <c r="C56" s="150" t="s">
        <v>348</v>
      </c>
      <c r="D56" s="110"/>
      <c r="E56" s="110"/>
      <c r="F56" s="79" t="s">
        <v>22</v>
      </c>
      <c r="G56" s="140">
        <v>87843</v>
      </c>
      <c r="H56" s="140">
        <f>ROUNDUP(24117+M56,0)</f>
        <v>55352</v>
      </c>
      <c r="I56" s="81">
        <f t="shared" si="16"/>
        <v>63.012419885477499</v>
      </c>
      <c r="J56" s="140">
        <v>46704</v>
      </c>
      <c r="K56" s="140">
        <f t="shared" si="18"/>
        <v>0</v>
      </c>
      <c r="L56" s="140">
        <v>46704</v>
      </c>
      <c r="M56" s="80">
        <v>31234.97</v>
      </c>
      <c r="N56" s="81">
        <f t="shared" si="17"/>
        <v>66.878575710859892</v>
      </c>
      <c r="O56" s="362"/>
    </row>
    <row r="57" spans="1:15" s="95" customFormat="1" ht="11.1" customHeight="1" outlineLevel="1" x14ac:dyDescent="0.2">
      <c r="A57" s="119"/>
      <c r="B57" s="76" t="s">
        <v>23</v>
      </c>
      <c r="C57" s="82" t="s">
        <v>182</v>
      </c>
      <c r="D57" s="90"/>
      <c r="E57" s="90"/>
      <c r="F57" s="107" t="s">
        <v>45</v>
      </c>
      <c r="G57" s="141">
        <v>0</v>
      </c>
      <c r="H57" s="140">
        <f>ROUNDUP(0+M57,0)</f>
        <v>0</v>
      </c>
      <c r="I57" s="81" t="str">
        <f t="shared" si="16"/>
        <v>-</v>
      </c>
      <c r="J57" s="140">
        <v>0</v>
      </c>
      <c r="K57" s="140">
        <f t="shared" si="18"/>
        <v>0</v>
      </c>
      <c r="L57" s="140">
        <v>0</v>
      </c>
      <c r="M57" s="83">
        <v>0</v>
      </c>
      <c r="N57" s="81" t="str">
        <f t="shared" si="17"/>
        <v>-</v>
      </c>
      <c r="O57" s="362"/>
    </row>
    <row r="58" spans="1:15" s="95" customFormat="1" ht="11.1" customHeight="1" outlineLevel="1" x14ac:dyDescent="0.2">
      <c r="A58" s="119"/>
      <c r="B58" s="76"/>
      <c r="C58" s="82"/>
      <c r="D58" s="90"/>
      <c r="E58" s="90"/>
      <c r="F58" s="107" t="s">
        <v>46</v>
      </c>
      <c r="G58" s="141">
        <v>0</v>
      </c>
      <c r="H58" s="140">
        <f>ROUNDUP(0+M58,0)</f>
        <v>0</v>
      </c>
      <c r="I58" s="81" t="str">
        <f>IF(G58&gt;0,H58/G58*100,"-")</f>
        <v>-</v>
      </c>
      <c r="J58" s="140">
        <v>0</v>
      </c>
      <c r="K58" s="140">
        <f t="shared" si="18"/>
        <v>0</v>
      </c>
      <c r="L58" s="140">
        <v>0</v>
      </c>
      <c r="M58" s="83">
        <v>0</v>
      </c>
      <c r="N58" s="81" t="str">
        <f t="shared" si="17"/>
        <v>-</v>
      </c>
      <c r="O58" s="362"/>
    </row>
    <row r="59" spans="1:15" s="95" customFormat="1" ht="3.95" customHeight="1" outlineLevel="1" x14ac:dyDescent="0.2">
      <c r="A59" s="120"/>
      <c r="B59" s="76"/>
      <c r="C59" s="82"/>
      <c r="D59" s="153"/>
      <c r="E59" s="153"/>
      <c r="F59" s="76"/>
      <c r="G59" s="141"/>
      <c r="H59" s="141"/>
      <c r="I59" s="81"/>
      <c r="J59" s="140"/>
      <c r="K59" s="143"/>
      <c r="L59" s="140"/>
      <c r="M59" s="80"/>
      <c r="N59" s="81"/>
      <c r="O59" s="363"/>
    </row>
    <row r="60" spans="1:15" s="95" customFormat="1" ht="3.95" customHeight="1" outlineLevel="1" x14ac:dyDescent="0.2">
      <c r="A60" s="197"/>
      <c r="B60" s="72"/>
      <c r="C60" s="73"/>
      <c r="D60" s="203"/>
      <c r="E60" s="71"/>
      <c r="F60" s="155"/>
      <c r="G60" s="138"/>
      <c r="H60" s="138"/>
      <c r="I60" s="205"/>
      <c r="J60" s="138"/>
      <c r="K60" s="138"/>
      <c r="L60" s="223"/>
      <c r="M60" s="156"/>
      <c r="N60" s="75"/>
      <c r="O60" s="394" t="s">
        <v>498</v>
      </c>
    </row>
    <row r="61" spans="1:15" s="15" customFormat="1" ht="11.1" customHeight="1" outlineLevel="1" x14ac:dyDescent="0.2">
      <c r="A61" s="369" t="s">
        <v>61</v>
      </c>
      <c r="B61" s="76" t="s">
        <v>9</v>
      </c>
      <c r="C61" s="77" t="s">
        <v>56</v>
      </c>
      <c r="D61" s="360" t="s">
        <v>52</v>
      </c>
      <c r="E61" s="360" t="s">
        <v>189</v>
      </c>
      <c r="F61" s="202" t="s">
        <v>183</v>
      </c>
      <c r="G61" s="139">
        <f>SUM(G62:G67)</f>
        <v>775714</v>
      </c>
      <c r="H61" s="260">
        <f>SUM(H62:H67)</f>
        <v>372087</v>
      </c>
      <c r="I61" s="39">
        <f t="shared" ref="I61:I67" si="19">IF(G61&gt;0,H61/G61*100,"-")</f>
        <v>47.96703424200156</v>
      </c>
      <c r="J61" s="139">
        <f>SUM(J62:J65)</f>
        <v>509200</v>
      </c>
      <c r="K61" s="139">
        <f>SUM(K62:K65)</f>
        <v>-62200</v>
      </c>
      <c r="L61" s="226">
        <f>SUM(L62:L65)</f>
        <v>447000</v>
      </c>
      <c r="M61" s="38">
        <f>SUM(M62:M65)</f>
        <v>314821.80000000005</v>
      </c>
      <c r="N61" s="39">
        <f t="shared" ref="N61:N67" si="20">IF(L61&gt;0,M61/L61*100,"-")</f>
        <v>70.429932885906055</v>
      </c>
      <c r="O61" s="362"/>
    </row>
    <row r="62" spans="1:15" s="15" customFormat="1" ht="11.1" customHeight="1" outlineLevel="1" x14ac:dyDescent="0.2">
      <c r="A62" s="369"/>
      <c r="B62" s="76" t="s">
        <v>10</v>
      </c>
      <c r="C62" s="77" t="s">
        <v>184</v>
      </c>
      <c r="D62" s="360"/>
      <c r="E62" s="360"/>
      <c r="F62" s="152" t="s">
        <v>15</v>
      </c>
      <c r="G62" s="140">
        <v>0</v>
      </c>
      <c r="H62" s="140">
        <f>ROUNDUP(0+M62,0)</f>
        <v>0</v>
      </c>
      <c r="I62" s="162" t="str">
        <f t="shared" si="19"/>
        <v>-</v>
      </c>
      <c r="J62" s="140">
        <v>0</v>
      </c>
      <c r="K62" s="140">
        <f t="shared" ref="K62:K67" si="21">L62-J62</f>
        <v>0</v>
      </c>
      <c r="L62" s="182">
        <v>0</v>
      </c>
      <c r="M62" s="80">
        <v>0</v>
      </c>
      <c r="N62" s="81" t="str">
        <f t="shared" si="20"/>
        <v>-</v>
      </c>
      <c r="O62" s="362"/>
    </row>
    <row r="63" spans="1:15" s="15" customFormat="1" ht="11.1" customHeight="1" outlineLevel="1" x14ac:dyDescent="0.2">
      <c r="A63" s="369"/>
      <c r="B63" s="76" t="s">
        <v>11</v>
      </c>
      <c r="C63" s="82" t="s">
        <v>185</v>
      </c>
      <c r="D63" s="360"/>
      <c r="E63" s="360"/>
      <c r="F63" s="152" t="s">
        <v>7</v>
      </c>
      <c r="G63" s="140">
        <v>659357</v>
      </c>
      <c r="H63" s="140">
        <f>ROUNDUP(48674+M63,0)</f>
        <v>316273</v>
      </c>
      <c r="I63" s="162">
        <f t="shared" si="19"/>
        <v>47.966882887419104</v>
      </c>
      <c r="J63" s="140">
        <v>432820</v>
      </c>
      <c r="K63" s="140">
        <f t="shared" si="21"/>
        <v>-52870</v>
      </c>
      <c r="L63" s="182">
        <v>379950</v>
      </c>
      <c r="M63" s="80">
        <v>267598.52</v>
      </c>
      <c r="N63" s="81">
        <f t="shared" si="20"/>
        <v>70.429930253980785</v>
      </c>
      <c r="O63" s="362"/>
    </row>
    <row r="64" spans="1:15" s="15" customFormat="1" ht="11.1" customHeight="1" outlineLevel="1" x14ac:dyDescent="0.2">
      <c r="A64" s="119"/>
      <c r="B64" s="76" t="s">
        <v>12</v>
      </c>
      <c r="C64" s="150" t="s">
        <v>349</v>
      </c>
      <c r="D64" s="206"/>
      <c r="E64" s="110"/>
      <c r="F64" s="152" t="s">
        <v>8</v>
      </c>
      <c r="G64" s="140">
        <v>0</v>
      </c>
      <c r="H64" s="140">
        <f>ROUNDUP(0+M64,0)</f>
        <v>0</v>
      </c>
      <c r="I64" s="162" t="str">
        <f t="shared" si="19"/>
        <v>-</v>
      </c>
      <c r="J64" s="140">
        <v>0</v>
      </c>
      <c r="K64" s="140">
        <f t="shared" si="21"/>
        <v>0</v>
      </c>
      <c r="L64" s="182">
        <v>0</v>
      </c>
      <c r="M64" s="80">
        <v>0</v>
      </c>
      <c r="N64" s="81" t="str">
        <f t="shared" si="20"/>
        <v>-</v>
      </c>
      <c r="O64" s="362"/>
    </row>
    <row r="65" spans="1:15" s="15" customFormat="1" ht="11.1" customHeight="1" outlineLevel="1" x14ac:dyDescent="0.2">
      <c r="A65" s="119"/>
      <c r="B65" s="76" t="s">
        <v>23</v>
      </c>
      <c r="C65" s="213" t="s">
        <v>197</v>
      </c>
      <c r="D65" s="206"/>
      <c r="E65" s="110"/>
      <c r="F65" s="152" t="s">
        <v>22</v>
      </c>
      <c r="G65" s="140">
        <v>116357</v>
      </c>
      <c r="H65" s="140">
        <f>ROUNDUP(8590+M65,0)</f>
        <v>55814</v>
      </c>
      <c r="I65" s="162">
        <f t="shared" si="19"/>
        <v>47.967891918835996</v>
      </c>
      <c r="J65" s="140">
        <v>76380</v>
      </c>
      <c r="K65" s="140">
        <f t="shared" si="21"/>
        <v>-9330</v>
      </c>
      <c r="L65" s="182">
        <v>67050</v>
      </c>
      <c r="M65" s="80">
        <v>47223.28</v>
      </c>
      <c r="N65" s="81">
        <f t="shared" si="20"/>
        <v>70.429947800149137</v>
      </c>
      <c r="O65" s="362"/>
    </row>
    <row r="66" spans="1:15" s="15" customFormat="1" ht="11.1" customHeight="1" outlineLevel="1" x14ac:dyDescent="0.2">
      <c r="A66" s="119"/>
      <c r="B66" s="76"/>
      <c r="C66" s="213" t="s">
        <v>198</v>
      </c>
      <c r="D66" s="158"/>
      <c r="E66" s="153"/>
      <c r="F66" s="152" t="s">
        <v>45</v>
      </c>
      <c r="G66" s="141">
        <v>0</v>
      </c>
      <c r="H66" s="140">
        <f>ROUNDUP(0+M66,0)</f>
        <v>0</v>
      </c>
      <c r="I66" s="81" t="str">
        <f t="shared" si="19"/>
        <v>-</v>
      </c>
      <c r="J66" s="140">
        <v>0</v>
      </c>
      <c r="K66" s="140">
        <f t="shared" si="21"/>
        <v>0</v>
      </c>
      <c r="L66" s="225">
        <v>0</v>
      </c>
      <c r="M66" s="83">
        <v>0</v>
      </c>
      <c r="N66" s="81" t="str">
        <f t="shared" si="20"/>
        <v>-</v>
      </c>
      <c r="O66" s="362"/>
    </row>
    <row r="67" spans="1:15" s="15" customFormat="1" ht="11.1" customHeight="1" outlineLevel="1" x14ac:dyDescent="0.2">
      <c r="A67" s="198"/>
      <c r="B67" s="76"/>
      <c r="C67" s="213" t="s">
        <v>199</v>
      </c>
      <c r="D67" s="158"/>
      <c r="E67" s="153"/>
      <c r="F67" s="79" t="s">
        <v>46</v>
      </c>
      <c r="G67" s="141">
        <v>0</v>
      </c>
      <c r="H67" s="140">
        <f>ROUNDUP(0+M67,0)</f>
        <v>0</v>
      </c>
      <c r="I67" s="81" t="str">
        <f t="shared" si="19"/>
        <v>-</v>
      </c>
      <c r="J67" s="140">
        <v>0</v>
      </c>
      <c r="K67" s="140">
        <f t="shared" si="21"/>
        <v>0</v>
      </c>
      <c r="L67" s="225">
        <v>0</v>
      </c>
      <c r="M67" s="83">
        <v>0</v>
      </c>
      <c r="N67" s="81" t="str">
        <f t="shared" si="20"/>
        <v>-</v>
      </c>
      <c r="O67" s="362"/>
    </row>
    <row r="68" spans="1:15" s="15" customFormat="1" ht="11.1" customHeight="1" outlineLevel="1" x14ac:dyDescent="0.2">
      <c r="A68" s="198"/>
      <c r="B68" s="76"/>
      <c r="C68" s="213" t="s">
        <v>200</v>
      </c>
      <c r="D68" s="158"/>
      <c r="E68" s="198"/>
      <c r="F68" s="79"/>
      <c r="G68" s="218"/>
      <c r="H68" s="218"/>
      <c r="I68" s="162"/>
      <c r="J68" s="218"/>
      <c r="K68" s="140"/>
      <c r="L68" s="224"/>
      <c r="M68" s="119"/>
      <c r="N68" s="119"/>
      <c r="O68" s="362"/>
    </row>
    <row r="69" spans="1:15" s="15" customFormat="1" ht="11.1" customHeight="1" outlineLevel="1" x14ac:dyDescent="0.2">
      <c r="A69" s="198"/>
      <c r="B69" s="76"/>
      <c r="C69" s="213" t="s">
        <v>201</v>
      </c>
      <c r="D69" s="158"/>
      <c r="E69" s="198"/>
      <c r="F69" s="79"/>
      <c r="G69" s="218"/>
      <c r="H69" s="218"/>
      <c r="I69" s="162"/>
      <c r="J69" s="218"/>
      <c r="K69" s="140"/>
      <c r="L69" s="224"/>
      <c r="M69" s="119"/>
      <c r="N69" s="119"/>
      <c r="O69" s="362"/>
    </row>
    <row r="70" spans="1:15" s="15" customFormat="1" ht="11.1" customHeight="1" outlineLevel="1" x14ac:dyDescent="0.2">
      <c r="A70" s="198"/>
      <c r="B70" s="76"/>
      <c r="C70" s="213" t="s">
        <v>202</v>
      </c>
      <c r="D70" s="158"/>
      <c r="E70" s="198"/>
      <c r="F70" s="79"/>
      <c r="G70" s="218"/>
      <c r="H70" s="218"/>
      <c r="I70" s="162"/>
      <c r="J70" s="218"/>
      <c r="K70" s="140"/>
      <c r="L70" s="224"/>
      <c r="M70" s="119"/>
      <c r="N70" s="119"/>
      <c r="O70" s="362"/>
    </row>
    <row r="71" spans="1:15" s="15" customFormat="1" ht="11.1" customHeight="1" outlineLevel="1" x14ac:dyDescent="0.2">
      <c r="A71" s="198"/>
      <c r="B71" s="76"/>
      <c r="C71" s="213" t="s">
        <v>203</v>
      </c>
      <c r="D71" s="158"/>
      <c r="E71" s="198"/>
      <c r="F71" s="79"/>
      <c r="G71" s="218"/>
      <c r="H71" s="218"/>
      <c r="I71" s="162"/>
      <c r="J71" s="218"/>
      <c r="K71" s="140"/>
      <c r="L71" s="224"/>
      <c r="M71" s="119"/>
      <c r="N71" s="119"/>
      <c r="O71" s="362"/>
    </row>
    <row r="72" spans="1:15" s="15" customFormat="1" ht="18.75" customHeight="1" outlineLevel="1" x14ac:dyDescent="0.2">
      <c r="A72" s="198"/>
      <c r="B72" s="76"/>
      <c r="C72" s="213"/>
      <c r="D72" s="158"/>
      <c r="E72" s="198"/>
      <c r="F72" s="79"/>
      <c r="G72" s="218"/>
      <c r="H72" s="218"/>
      <c r="I72" s="162"/>
      <c r="J72" s="218"/>
      <c r="K72" s="140"/>
      <c r="L72" s="224"/>
      <c r="M72" s="119"/>
      <c r="N72" s="119"/>
      <c r="O72" s="362"/>
    </row>
    <row r="73" spans="1:15" s="15" customFormat="1" ht="3.95" customHeight="1" outlineLevel="1" x14ac:dyDescent="0.2">
      <c r="A73" s="159"/>
      <c r="B73" s="85"/>
      <c r="C73" s="215"/>
      <c r="D73" s="314"/>
      <c r="E73" s="159"/>
      <c r="F73" s="160"/>
      <c r="G73" s="219"/>
      <c r="H73" s="219"/>
      <c r="I73" s="163"/>
      <c r="J73" s="219"/>
      <c r="K73" s="143"/>
      <c r="L73" s="315"/>
      <c r="M73" s="120"/>
      <c r="N73" s="120"/>
      <c r="O73" s="363"/>
    </row>
    <row r="74" spans="1:15" s="15" customFormat="1" ht="3.95" customHeight="1" outlineLevel="1" x14ac:dyDescent="0.2">
      <c r="A74" s="197"/>
      <c r="B74" s="72"/>
      <c r="C74" s="214"/>
      <c r="D74" s="203"/>
      <c r="E74" s="197"/>
      <c r="F74" s="204"/>
      <c r="G74" s="220"/>
      <c r="H74" s="220"/>
      <c r="I74" s="205"/>
      <c r="J74" s="220"/>
      <c r="K74" s="138"/>
      <c r="L74" s="221"/>
      <c r="M74" s="154"/>
      <c r="N74" s="154"/>
      <c r="O74" s="394" t="s">
        <v>499</v>
      </c>
    </row>
    <row r="75" spans="1:15" s="15" customFormat="1" ht="11.1" customHeight="1" outlineLevel="1" x14ac:dyDescent="0.2">
      <c r="A75" s="369" t="s">
        <v>65</v>
      </c>
      <c r="B75" s="76" t="s">
        <v>9</v>
      </c>
      <c r="C75" s="77" t="s">
        <v>56</v>
      </c>
      <c r="D75" s="360" t="s">
        <v>52</v>
      </c>
      <c r="E75" s="360" t="s">
        <v>190</v>
      </c>
      <c r="F75" s="78" t="s">
        <v>183</v>
      </c>
      <c r="G75" s="139">
        <f>SUM(G76:G81)</f>
        <v>201116</v>
      </c>
      <c r="H75" s="260">
        <f>SUM(H76:H81)</f>
        <v>153469</v>
      </c>
      <c r="I75" s="161">
        <f t="shared" ref="I75:I81" si="22">IF(G75&gt;0,H75/G75*100,"-")</f>
        <v>76.308697468127846</v>
      </c>
      <c r="J75" s="139">
        <f>SUM(J76:J79)</f>
        <v>174670</v>
      </c>
      <c r="K75" s="139">
        <f>SUM(K76:K79)</f>
        <v>-18222</v>
      </c>
      <c r="L75" s="226">
        <f>SUM(L76:L79)</f>
        <v>156448</v>
      </c>
      <c r="M75" s="38">
        <f>SUM(M76:M79)</f>
        <v>148381.81</v>
      </c>
      <c r="N75" s="39">
        <f t="shared" ref="N75:N81" si="23">IF(L75&gt;0,M75/L75*100,"-")</f>
        <v>94.84417186541215</v>
      </c>
      <c r="O75" s="362"/>
    </row>
    <row r="76" spans="1:15" s="15" customFormat="1" ht="11.1" customHeight="1" outlineLevel="1" x14ac:dyDescent="0.2">
      <c r="A76" s="369"/>
      <c r="B76" s="76" t="s">
        <v>10</v>
      </c>
      <c r="C76" s="77" t="s">
        <v>184</v>
      </c>
      <c r="D76" s="360"/>
      <c r="E76" s="360"/>
      <c r="F76" s="79" t="s">
        <v>15</v>
      </c>
      <c r="G76" s="140">
        <v>0</v>
      </c>
      <c r="H76" s="140">
        <f>ROUNDUP(0+M76,0)</f>
        <v>0</v>
      </c>
      <c r="I76" s="162" t="str">
        <f t="shared" si="22"/>
        <v>-</v>
      </c>
      <c r="J76" s="140">
        <v>0</v>
      </c>
      <c r="K76" s="140">
        <f t="shared" ref="K76:K81" si="24">L76-J76</f>
        <v>0</v>
      </c>
      <c r="L76" s="182">
        <v>0</v>
      </c>
      <c r="M76" s="80">
        <v>0</v>
      </c>
      <c r="N76" s="81" t="str">
        <f t="shared" si="23"/>
        <v>-</v>
      </c>
      <c r="O76" s="362"/>
    </row>
    <row r="77" spans="1:15" s="15" customFormat="1" ht="11.1" customHeight="1" outlineLevel="1" x14ac:dyDescent="0.2">
      <c r="A77" s="369"/>
      <c r="B77" s="76" t="s">
        <v>11</v>
      </c>
      <c r="C77" s="82" t="s">
        <v>186</v>
      </c>
      <c r="D77" s="360"/>
      <c r="E77" s="360"/>
      <c r="F77" s="79" t="s">
        <v>7</v>
      </c>
      <c r="G77" s="140">
        <v>170949</v>
      </c>
      <c r="H77" s="140">
        <f>ROUNDUP(4323+M77,0)</f>
        <v>130448</v>
      </c>
      <c r="I77" s="162">
        <f t="shared" si="22"/>
        <v>76.308138684636944</v>
      </c>
      <c r="J77" s="140">
        <v>148470</v>
      </c>
      <c r="K77" s="140">
        <f t="shared" si="24"/>
        <v>-15489</v>
      </c>
      <c r="L77" s="182">
        <v>132981</v>
      </c>
      <c r="M77" s="80">
        <v>126124.53</v>
      </c>
      <c r="N77" s="81">
        <f t="shared" si="23"/>
        <v>94.844022830329138</v>
      </c>
      <c r="O77" s="362"/>
    </row>
    <row r="78" spans="1:15" s="15" customFormat="1" ht="11.1" customHeight="1" outlineLevel="1" x14ac:dyDescent="0.2">
      <c r="A78" s="119"/>
      <c r="B78" s="76" t="s">
        <v>12</v>
      </c>
      <c r="C78" s="150" t="s">
        <v>206</v>
      </c>
      <c r="D78" s="206"/>
      <c r="E78" s="110"/>
      <c r="F78" s="79" t="s">
        <v>8</v>
      </c>
      <c r="G78" s="140">
        <v>0</v>
      </c>
      <c r="H78" s="140">
        <f>ROUNDUP(0+M78,0)</f>
        <v>0</v>
      </c>
      <c r="I78" s="162" t="str">
        <f t="shared" si="22"/>
        <v>-</v>
      </c>
      <c r="J78" s="140">
        <v>0</v>
      </c>
      <c r="K78" s="140">
        <f t="shared" si="24"/>
        <v>0</v>
      </c>
      <c r="L78" s="182">
        <v>0</v>
      </c>
      <c r="M78" s="80">
        <v>0</v>
      </c>
      <c r="N78" s="81" t="str">
        <f t="shared" si="23"/>
        <v>-</v>
      </c>
      <c r="O78" s="362"/>
    </row>
    <row r="79" spans="1:15" s="15" customFormat="1" ht="11.1" customHeight="1" outlineLevel="1" x14ac:dyDescent="0.2">
      <c r="A79" s="119"/>
      <c r="B79" s="76"/>
      <c r="C79" s="82" t="s">
        <v>207</v>
      </c>
      <c r="D79" s="206"/>
      <c r="E79" s="110"/>
      <c r="F79" s="79" t="s">
        <v>22</v>
      </c>
      <c r="G79" s="140">
        <v>30167</v>
      </c>
      <c r="H79" s="140">
        <f>ROUNDUP(763+M79,0)</f>
        <v>23021</v>
      </c>
      <c r="I79" s="162">
        <f t="shared" si="22"/>
        <v>76.31186395730434</v>
      </c>
      <c r="J79" s="140">
        <v>26200</v>
      </c>
      <c r="K79" s="140">
        <f t="shared" si="24"/>
        <v>-2733</v>
      </c>
      <c r="L79" s="182">
        <v>23467</v>
      </c>
      <c r="M79" s="80">
        <v>22257.279999999999</v>
      </c>
      <c r="N79" s="81">
        <f t="shared" si="23"/>
        <v>94.845016406016953</v>
      </c>
      <c r="O79" s="362"/>
    </row>
    <row r="80" spans="1:15" s="15" customFormat="1" ht="11.1" customHeight="1" outlineLevel="1" x14ac:dyDescent="0.2">
      <c r="A80" s="119"/>
      <c r="B80" s="76" t="s">
        <v>23</v>
      </c>
      <c r="C80" s="82" t="s">
        <v>187</v>
      </c>
      <c r="D80" s="206"/>
      <c r="E80" s="110"/>
      <c r="F80" s="79" t="s">
        <v>45</v>
      </c>
      <c r="G80" s="141">
        <v>0</v>
      </c>
      <c r="H80" s="140">
        <f>ROUNDUP(0+M80,0)</f>
        <v>0</v>
      </c>
      <c r="I80" s="81" t="str">
        <f t="shared" si="22"/>
        <v>-</v>
      </c>
      <c r="J80" s="140">
        <v>0</v>
      </c>
      <c r="K80" s="140">
        <f t="shared" si="24"/>
        <v>0</v>
      </c>
      <c r="L80" s="225">
        <v>0</v>
      </c>
      <c r="M80" s="83">
        <v>0</v>
      </c>
      <c r="N80" s="81" t="str">
        <f t="shared" si="23"/>
        <v>-</v>
      </c>
      <c r="O80" s="362"/>
    </row>
    <row r="81" spans="1:15" s="15" customFormat="1" ht="11.1" customHeight="1" outlineLevel="1" x14ac:dyDescent="0.2">
      <c r="A81" s="119"/>
      <c r="B81" s="76"/>
      <c r="C81" s="82"/>
      <c r="D81" s="206"/>
      <c r="E81" s="110"/>
      <c r="F81" s="79" t="s">
        <v>46</v>
      </c>
      <c r="G81" s="141">
        <v>0</v>
      </c>
      <c r="H81" s="140">
        <f>ROUNDUP(0+M81,0)</f>
        <v>0</v>
      </c>
      <c r="I81" s="81" t="str">
        <f t="shared" si="22"/>
        <v>-</v>
      </c>
      <c r="J81" s="140">
        <v>0</v>
      </c>
      <c r="K81" s="140">
        <f t="shared" si="24"/>
        <v>0</v>
      </c>
      <c r="L81" s="225">
        <v>0</v>
      </c>
      <c r="M81" s="83">
        <v>0</v>
      </c>
      <c r="N81" s="81" t="str">
        <f t="shared" si="23"/>
        <v>-</v>
      </c>
      <c r="O81" s="362"/>
    </row>
    <row r="82" spans="1:15" s="15" customFormat="1" ht="11.1" customHeight="1" outlineLevel="1" x14ac:dyDescent="0.2">
      <c r="A82" s="119"/>
      <c r="B82" s="76"/>
      <c r="C82" s="82"/>
      <c r="D82" s="206"/>
      <c r="E82" s="359"/>
      <c r="F82" s="79"/>
      <c r="G82" s="141"/>
      <c r="H82" s="140"/>
      <c r="I82" s="162"/>
      <c r="J82" s="140"/>
      <c r="K82" s="140"/>
      <c r="L82" s="225"/>
      <c r="M82" s="83"/>
      <c r="N82" s="81"/>
      <c r="O82" s="362"/>
    </row>
    <row r="83" spans="1:15" s="15" customFormat="1" ht="3.95" customHeight="1" outlineLevel="1" x14ac:dyDescent="0.2">
      <c r="A83" s="84"/>
      <c r="B83" s="85"/>
      <c r="C83" s="86"/>
      <c r="D83" s="207"/>
      <c r="E83" s="199"/>
      <c r="F83" s="160"/>
      <c r="G83" s="219"/>
      <c r="H83" s="219"/>
      <c r="I83" s="163"/>
      <c r="J83" s="219"/>
      <c r="K83" s="143"/>
      <c r="L83" s="227"/>
      <c r="M83" s="120"/>
      <c r="N83" s="88"/>
      <c r="O83" s="363"/>
    </row>
    <row r="84" spans="1:15" s="15" customFormat="1" ht="3.95" customHeight="1" outlineLevel="1" x14ac:dyDescent="0.2">
      <c r="A84" s="71"/>
      <c r="B84" s="72"/>
      <c r="C84" s="73"/>
      <c r="D84" s="208"/>
      <c r="E84" s="209"/>
      <c r="F84" s="204"/>
      <c r="G84" s="221"/>
      <c r="H84" s="220"/>
      <c r="I84" s="205"/>
      <c r="J84" s="220"/>
      <c r="K84" s="138"/>
      <c r="L84" s="221"/>
      <c r="M84" s="154"/>
      <c r="N84" s="75"/>
      <c r="O84" s="394" t="s">
        <v>500</v>
      </c>
    </row>
    <row r="85" spans="1:15" s="15" customFormat="1" ht="11.1" customHeight="1" outlineLevel="1" x14ac:dyDescent="0.2">
      <c r="A85" s="369" t="s">
        <v>83</v>
      </c>
      <c r="B85" s="76" t="s">
        <v>9</v>
      </c>
      <c r="C85" s="77" t="s">
        <v>56</v>
      </c>
      <c r="D85" s="360" t="s">
        <v>52</v>
      </c>
      <c r="E85" s="360" t="s">
        <v>191</v>
      </c>
      <c r="F85" s="78" t="s">
        <v>183</v>
      </c>
      <c r="G85" s="139">
        <f>SUM(G86:G91)</f>
        <v>372379</v>
      </c>
      <c r="H85" s="260">
        <f>SUM(H86:H91)</f>
        <v>160916</v>
      </c>
      <c r="I85" s="39">
        <f t="shared" ref="I85:I91" si="25">IF(G85&gt;0,H85/G85*100,"-")</f>
        <v>43.212963137019003</v>
      </c>
      <c r="J85" s="139">
        <f>SUM(J86:J89)</f>
        <v>226900</v>
      </c>
      <c r="K85" s="139">
        <f>SUM(K86:K89)</f>
        <v>10997</v>
      </c>
      <c r="L85" s="226">
        <f>SUM(L86:L89)</f>
        <v>237897</v>
      </c>
      <c r="M85" s="38">
        <f>SUM(M86:M89)</f>
        <v>157432.95000000001</v>
      </c>
      <c r="N85" s="39">
        <f t="shared" ref="N85:N91" si="26">IF(L85&gt;0,M85/L85*100,"-")</f>
        <v>66.176937918510959</v>
      </c>
      <c r="O85" s="362"/>
    </row>
    <row r="86" spans="1:15" s="15" customFormat="1" ht="11.1" customHeight="1" outlineLevel="1" x14ac:dyDescent="0.2">
      <c r="A86" s="369"/>
      <c r="B86" s="76" t="s">
        <v>10</v>
      </c>
      <c r="C86" s="77" t="s">
        <v>184</v>
      </c>
      <c r="D86" s="360"/>
      <c r="E86" s="360"/>
      <c r="F86" s="79" t="s">
        <v>15</v>
      </c>
      <c r="G86" s="182">
        <v>0</v>
      </c>
      <c r="H86" s="140">
        <f>ROUNDUP(0+M86,0)</f>
        <v>0</v>
      </c>
      <c r="I86" s="81" t="str">
        <f t="shared" si="25"/>
        <v>-</v>
      </c>
      <c r="J86" s="140">
        <v>0</v>
      </c>
      <c r="K86" s="140">
        <f t="shared" ref="K86:K91" si="27">L86-J86</f>
        <v>0</v>
      </c>
      <c r="L86" s="225">
        <v>0</v>
      </c>
      <c r="M86" s="80">
        <v>0</v>
      </c>
      <c r="N86" s="81" t="str">
        <f t="shared" si="26"/>
        <v>-</v>
      </c>
      <c r="O86" s="362"/>
    </row>
    <row r="87" spans="1:15" s="15" customFormat="1" ht="11.1" customHeight="1" outlineLevel="1" x14ac:dyDescent="0.2">
      <c r="A87" s="369"/>
      <c r="B87" s="76" t="s">
        <v>11</v>
      </c>
      <c r="C87" s="82" t="s">
        <v>185</v>
      </c>
      <c r="D87" s="360"/>
      <c r="E87" s="360"/>
      <c r="F87" s="79" t="s">
        <v>7</v>
      </c>
      <c r="G87" s="182">
        <v>316521</v>
      </c>
      <c r="H87" s="140">
        <f>ROUNDUP(2959+M87,0)</f>
        <v>136777</v>
      </c>
      <c r="I87" s="81">
        <f t="shared" si="25"/>
        <v>43.212614644841892</v>
      </c>
      <c r="J87" s="140">
        <v>192865</v>
      </c>
      <c r="K87" s="140">
        <f t="shared" si="27"/>
        <v>9347</v>
      </c>
      <c r="L87" s="225">
        <v>202212</v>
      </c>
      <c r="M87" s="80">
        <v>133817.69</v>
      </c>
      <c r="N87" s="81">
        <f t="shared" si="26"/>
        <v>66.176928174391236</v>
      </c>
      <c r="O87" s="362"/>
    </row>
    <row r="88" spans="1:15" s="15" customFormat="1" ht="11.1" customHeight="1" outlineLevel="1" x14ac:dyDescent="0.2">
      <c r="A88" s="119"/>
      <c r="B88" s="76" t="s">
        <v>12</v>
      </c>
      <c r="C88" s="150" t="s">
        <v>333</v>
      </c>
      <c r="D88" s="206"/>
      <c r="E88" s="110"/>
      <c r="F88" s="79" t="s">
        <v>8</v>
      </c>
      <c r="G88" s="182">
        <v>0</v>
      </c>
      <c r="H88" s="140">
        <f>ROUNDUP(0+M88,0)</f>
        <v>0</v>
      </c>
      <c r="I88" s="81" t="str">
        <f t="shared" si="25"/>
        <v>-</v>
      </c>
      <c r="J88" s="140">
        <v>0</v>
      </c>
      <c r="K88" s="140">
        <f t="shared" si="27"/>
        <v>0</v>
      </c>
      <c r="L88" s="225">
        <v>0</v>
      </c>
      <c r="M88" s="80">
        <v>0</v>
      </c>
      <c r="N88" s="81" t="str">
        <f t="shared" si="26"/>
        <v>-</v>
      </c>
      <c r="O88" s="362"/>
    </row>
    <row r="89" spans="1:15" s="15" customFormat="1" ht="11.1" customHeight="1" outlineLevel="1" x14ac:dyDescent="0.2">
      <c r="A89" s="119"/>
      <c r="B89" s="76"/>
      <c r="C89" s="82" t="s">
        <v>208</v>
      </c>
      <c r="D89" s="206"/>
      <c r="E89" s="110"/>
      <c r="F89" s="79" t="s">
        <v>22</v>
      </c>
      <c r="G89" s="182">
        <v>55858</v>
      </c>
      <c r="H89" s="141">
        <f>ROUNDUP(523+M89,0)</f>
        <v>24139</v>
      </c>
      <c r="I89" s="81">
        <f t="shared" si="25"/>
        <v>43.21493787819113</v>
      </c>
      <c r="J89" s="140">
        <v>34035</v>
      </c>
      <c r="K89" s="140">
        <f t="shared" si="27"/>
        <v>1650</v>
      </c>
      <c r="L89" s="225">
        <v>35685</v>
      </c>
      <c r="M89" s="108">
        <v>23615.26</v>
      </c>
      <c r="N89" s="81">
        <f t="shared" si="26"/>
        <v>66.176993134370178</v>
      </c>
      <c r="O89" s="362"/>
    </row>
    <row r="90" spans="1:15" s="15" customFormat="1" ht="11.1" customHeight="1" outlineLevel="1" x14ac:dyDescent="0.2">
      <c r="A90" s="119"/>
      <c r="B90" s="76" t="s">
        <v>23</v>
      </c>
      <c r="C90" s="82" t="s">
        <v>209</v>
      </c>
      <c r="D90" s="153"/>
      <c r="E90" s="153"/>
      <c r="F90" s="152" t="s">
        <v>45</v>
      </c>
      <c r="G90" s="141">
        <v>0</v>
      </c>
      <c r="H90" s="140">
        <f>ROUNDUP(0+M90,0)</f>
        <v>0</v>
      </c>
      <c r="I90" s="81" t="str">
        <f t="shared" si="25"/>
        <v>-</v>
      </c>
      <c r="J90" s="140">
        <v>0</v>
      </c>
      <c r="K90" s="140">
        <f t="shared" si="27"/>
        <v>0</v>
      </c>
      <c r="L90" s="225">
        <v>0</v>
      </c>
      <c r="M90" s="83">
        <v>0</v>
      </c>
      <c r="N90" s="81" t="str">
        <f t="shared" si="26"/>
        <v>-</v>
      </c>
      <c r="O90" s="362"/>
    </row>
    <row r="91" spans="1:15" s="15" customFormat="1" ht="11.1" customHeight="1" outlineLevel="1" x14ac:dyDescent="0.2">
      <c r="A91" s="119"/>
      <c r="B91" s="76"/>
      <c r="C91" s="82" t="s">
        <v>210</v>
      </c>
      <c r="D91" s="119"/>
      <c r="E91" s="119"/>
      <c r="F91" s="79" t="s">
        <v>46</v>
      </c>
      <c r="G91" s="141">
        <v>0</v>
      </c>
      <c r="H91" s="140">
        <f>ROUNDUP(0+M91,0)</f>
        <v>0</v>
      </c>
      <c r="I91" s="81" t="str">
        <f t="shared" si="25"/>
        <v>-</v>
      </c>
      <c r="J91" s="140">
        <v>0</v>
      </c>
      <c r="K91" s="140">
        <f t="shared" si="27"/>
        <v>0</v>
      </c>
      <c r="L91" s="225">
        <v>0</v>
      </c>
      <c r="M91" s="83">
        <v>0</v>
      </c>
      <c r="N91" s="81" t="str">
        <f t="shared" si="26"/>
        <v>-</v>
      </c>
      <c r="O91" s="362"/>
    </row>
    <row r="92" spans="1:15" s="15" customFormat="1" ht="20.25" customHeight="1" outlineLevel="1" x14ac:dyDescent="0.2">
      <c r="A92" s="119"/>
      <c r="B92" s="76"/>
      <c r="C92" s="82"/>
      <c r="D92" s="119"/>
      <c r="E92" s="119"/>
      <c r="F92" s="107"/>
      <c r="G92" s="141"/>
      <c r="H92" s="141"/>
      <c r="I92" s="81"/>
      <c r="J92" s="140"/>
      <c r="K92" s="140"/>
      <c r="L92" s="225"/>
      <c r="M92" s="89"/>
      <c r="N92" s="81"/>
      <c r="O92" s="362"/>
    </row>
    <row r="93" spans="1:15" s="15" customFormat="1" ht="3.95" customHeight="1" outlineLevel="1" x14ac:dyDescent="0.2">
      <c r="A93" s="120"/>
      <c r="B93" s="85"/>
      <c r="C93" s="215"/>
      <c r="D93" s="120"/>
      <c r="E93" s="120"/>
      <c r="F93" s="216"/>
      <c r="G93" s="142"/>
      <c r="H93" s="142"/>
      <c r="I93" s="88"/>
      <c r="J93" s="143"/>
      <c r="K93" s="143"/>
      <c r="L93" s="228"/>
      <c r="M93" s="85"/>
      <c r="N93" s="88"/>
      <c r="O93" s="363"/>
    </row>
    <row r="94" spans="1:15" ht="3.95" customHeight="1" outlineLevel="1" x14ac:dyDescent="0.2">
      <c r="A94" s="59"/>
      <c r="B94" s="60"/>
      <c r="C94" s="61"/>
      <c r="D94" s="62"/>
      <c r="E94" s="62"/>
      <c r="F94" s="59"/>
      <c r="G94" s="133"/>
      <c r="H94" s="133"/>
      <c r="I94" s="59"/>
      <c r="J94" s="133"/>
      <c r="K94" s="133"/>
      <c r="L94" s="133"/>
      <c r="M94" s="63"/>
      <c r="N94" s="64"/>
      <c r="O94" s="346"/>
    </row>
    <row r="95" spans="1:15" ht="11.45" customHeight="1" outlineLevel="1" x14ac:dyDescent="0.2">
      <c r="A95" s="28" t="s">
        <v>51</v>
      </c>
      <c r="B95" s="376" t="s">
        <v>181</v>
      </c>
      <c r="C95" s="377"/>
      <c r="D95" s="29"/>
      <c r="E95" s="29"/>
      <c r="F95" s="30"/>
      <c r="G95" s="134">
        <f>SUM(G96:G101)</f>
        <v>15294154</v>
      </c>
      <c r="H95" s="134">
        <f>SUM(H96:H101)</f>
        <v>14281095</v>
      </c>
      <c r="I95" s="32">
        <f>IF(G95&gt;0,H95/G95*100,"-")</f>
        <v>93.376168436645784</v>
      </c>
      <c r="J95" s="134">
        <f>SUM(J96:J101)</f>
        <v>2787269</v>
      </c>
      <c r="K95" s="134">
        <f>SUM(K96:K101)</f>
        <v>1619806</v>
      </c>
      <c r="L95" s="134">
        <f>SUM(L96:L101)</f>
        <v>4407075</v>
      </c>
      <c r="M95" s="31">
        <f>SUM(M96:M101)</f>
        <v>3836804</v>
      </c>
      <c r="N95" s="32">
        <f t="shared" ref="N95:N101" si="28">IF(L95&gt;0,M95/L95*100,"-")</f>
        <v>87.060102221995322</v>
      </c>
      <c r="O95" s="347"/>
    </row>
    <row r="96" spans="1:15" ht="11.45" customHeight="1" outlineLevel="1" x14ac:dyDescent="0.2">
      <c r="A96" s="30"/>
      <c r="B96" s="33"/>
      <c r="C96" s="34"/>
      <c r="D96" s="29"/>
      <c r="E96" s="29"/>
      <c r="F96" s="35" t="s">
        <v>15</v>
      </c>
      <c r="G96" s="135">
        <f t="shared" ref="G96:H101" si="29">G105+G129+G175</f>
        <v>1717067</v>
      </c>
      <c r="H96" s="135">
        <f t="shared" si="29"/>
        <v>1584644</v>
      </c>
      <c r="I96" s="37">
        <f t="shared" ref="I96:I101" si="30">IF(G96&gt;0,H96/G96*100,"-")</f>
        <v>92.287837341233626</v>
      </c>
      <c r="J96" s="135">
        <f t="shared" ref="J96:M101" si="31">J105+J129+J175</f>
        <v>478565</v>
      </c>
      <c r="K96" s="135">
        <f t="shared" si="31"/>
        <v>2540</v>
      </c>
      <c r="L96" s="135">
        <f t="shared" si="31"/>
        <v>481105</v>
      </c>
      <c r="M96" s="36">
        <f t="shared" si="31"/>
        <v>406099.4</v>
      </c>
      <c r="N96" s="37">
        <f t="shared" si="28"/>
        <v>84.409723449143129</v>
      </c>
      <c r="O96" s="347"/>
    </row>
    <row r="97" spans="1:15" ht="11.45" customHeight="1" outlineLevel="1" x14ac:dyDescent="0.2">
      <c r="A97" s="30"/>
      <c r="B97" s="33"/>
      <c r="C97" s="34"/>
      <c r="D97" s="29"/>
      <c r="E97" s="29"/>
      <c r="F97" s="35" t="s">
        <v>7</v>
      </c>
      <c r="G97" s="135">
        <f t="shared" si="29"/>
        <v>12516167</v>
      </c>
      <c r="H97" s="135">
        <f t="shared" si="29"/>
        <v>11740165</v>
      </c>
      <c r="I97" s="37">
        <f t="shared" si="30"/>
        <v>93.800002828341931</v>
      </c>
      <c r="J97" s="135">
        <f t="shared" si="31"/>
        <v>2082061</v>
      </c>
      <c r="K97" s="135">
        <f t="shared" si="31"/>
        <v>1497645</v>
      </c>
      <c r="L97" s="135">
        <f t="shared" si="31"/>
        <v>3579706</v>
      </c>
      <c r="M97" s="36">
        <f t="shared" si="31"/>
        <v>3149120.49</v>
      </c>
      <c r="N97" s="37">
        <f t="shared" si="28"/>
        <v>87.971483971030025</v>
      </c>
      <c r="O97" s="347"/>
    </row>
    <row r="98" spans="1:15" ht="11.45" customHeight="1" outlineLevel="1" x14ac:dyDescent="0.2">
      <c r="A98" s="30"/>
      <c r="B98" s="33"/>
      <c r="C98" s="34"/>
      <c r="D98" s="29"/>
      <c r="E98" s="29"/>
      <c r="F98" s="35" t="s">
        <v>8</v>
      </c>
      <c r="G98" s="135">
        <f t="shared" si="29"/>
        <v>0</v>
      </c>
      <c r="H98" s="135">
        <f t="shared" si="29"/>
        <v>0</v>
      </c>
      <c r="I98" s="37" t="str">
        <f t="shared" si="30"/>
        <v>-</v>
      </c>
      <c r="J98" s="135">
        <f t="shared" si="31"/>
        <v>0</v>
      </c>
      <c r="K98" s="135">
        <f t="shared" si="31"/>
        <v>0</v>
      </c>
      <c r="L98" s="135">
        <f t="shared" si="31"/>
        <v>0</v>
      </c>
      <c r="M98" s="36">
        <f t="shared" si="31"/>
        <v>0</v>
      </c>
      <c r="N98" s="37" t="str">
        <f t="shared" si="28"/>
        <v>-</v>
      </c>
      <c r="O98" s="347"/>
    </row>
    <row r="99" spans="1:15" ht="11.45" customHeight="1" outlineLevel="1" x14ac:dyDescent="0.2">
      <c r="A99" s="30"/>
      <c r="B99" s="33"/>
      <c r="C99" s="34"/>
      <c r="D99" s="29"/>
      <c r="E99" s="29"/>
      <c r="F99" s="35" t="s">
        <v>22</v>
      </c>
      <c r="G99" s="135">
        <f t="shared" si="29"/>
        <v>1060920</v>
      </c>
      <c r="H99" s="135">
        <f t="shared" si="29"/>
        <v>956286</v>
      </c>
      <c r="I99" s="37">
        <f t="shared" si="30"/>
        <v>90.137427892772308</v>
      </c>
      <c r="J99" s="135">
        <f t="shared" si="31"/>
        <v>226643</v>
      </c>
      <c r="K99" s="135">
        <f t="shared" si="31"/>
        <v>119621</v>
      </c>
      <c r="L99" s="135">
        <f t="shared" si="31"/>
        <v>346264</v>
      </c>
      <c r="M99" s="36">
        <f t="shared" si="31"/>
        <v>281584.11</v>
      </c>
      <c r="N99" s="37">
        <f t="shared" si="28"/>
        <v>81.320642631056074</v>
      </c>
      <c r="O99" s="347"/>
    </row>
    <row r="100" spans="1:15" ht="11.45" customHeight="1" outlineLevel="1" x14ac:dyDescent="0.2">
      <c r="A100" s="30"/>
      <c r="B100" s="33"/>
      <c r="C100" s="34"/>
      <c r="D100" s="29"/>
      <c r="E100" s="29"/>
      <c r="F100" s="35" t="s">
        <v>45</v>
      </c>
      <c r="G100" s="135">
        <f t="shared" si="29"/>
        <v>0</v>
      </c>
      <c r="H100" s="135">
        <f t="shared" si="29"/>
        <v>0</v>
      </c>
      <c r="I100" s="37" t="str">
        <f t="shared" si="30"/>
        <v>-</v>
      </c>
      <c r="J100" s="135">
        <f t="shared" si="31"/>
        <v>0</v>
      </c>
      <c r="K100" s="135">
        <f t="shared" si="31"/>
        <v>0</v>
      </c>
      <c r="L100" s="135">
        <f t="shared" si="31"/>
        <v>0</v>
      </c>
      <c r="M100" s="36">
        <f t="shared" si="31"/>
        <v>0</v>
      </c>
      <c r="N100" s="37" t="str">
        <f t="shared" si="28"/>
        <v>-</v>
      </c>
      <c r="O100" s="347"/>
    </row>
    <row r="101" spans="1:15" ht="11.45" customHeight="1" outlineLevel="1" x14ac:dyDescent="0.2">
      <c r="A101" s="30"/>
      <c r="B101" s="33"/>
      <c r="C101" s="34"/>
      <c r="D101" s="29"/>
      <c r="E101" s="29"/>
      <c r="F101" s="35" t="s">
        <v>46</v>
      </c>
      <c r="G101" s="135">
        <f t="shared" si="29"/>
        <v>0</v>
      </c>
      <c r="H101" s="135">
        <f t="shared" si="29"/>
        <v>0</v>
      </c>
      <c r="I101" s="37" t="str">
        <f t="shared" si="30"/>
        <v>-</v>
      </c>
      <c r="J101" s="135">
        <f t="shared" si="31"/>
        <v>0</v>
      </c>
      <c r="K101" s="135">
        <f t="shared" si="31"/>
        <v>0</v>
      </c>
      <c r="L101" s="135">
        <f t="shared" si="31"/>
        <v>0</v>
      </c>
      <c r="M101" s="36">
        <f t="shared" si="31"/>
        <v>0</v>
      </c>
      <c r="N101" s="37" t="str">
        <f t="shared" si="28"/>
        <v>-</v>
      </c>
      <c r="O101" s="347"/>
    </row>
    <row r="102" spans="1:15" ht="3.95" customHeight="1" outlineLevel="1" x14ac:dyDescent="0.2">
      <c r="A102" s="65"/>
      <c r="B102" s="66"/>
      <c r="C102" s="67"/>
      <c r="D102" s="68"/>
      <c r="E102" s="68"/>
      <c r="F102" s="65"/>
      <c r="G102" s="136"/>
      <c r="H102" s="136"/>
      <c r="I102" s="70"/>
      <c r="J102" s="136"/>
      <c r="K102" s="136"/>
      <c r="L102" s="136"/>
      <c r="M102" s="69"/>
      <c r="N102" s="70"/>
      <c r="O102" s="348"/>
    </row>
    <row r="103" spans="1:15" s="95" customFormat="1" ht="3.95" customHeight="1" outlineLevel="1" x14ac:dyDescent="0.2">
      <c r="A103" s="154"/>
      <c r="B103" s="72"/>
      <c r="C103" s="73"/>
      <c r="D103" s="71"/>
      <c r="E103" s="71"/>
      <c r="F103" s="72"/>
      <c r="G103" s="137"/>
      <c r="H103" s="137"/>
      <c r="I103" s="75"/>
      <c r="J103" s="137"/>
      <c r="K103" s="137"/>
      <c r="L103" s="138"/>
      <c r="M103" s="74"/>
      <c r="N103" s="75"/>
      <c r="O103" s="349"/>
    </row>
    <row r="104" spans="1:15" s="95" customFormat="1" ht="11.1" customHeight="1" outlineLevel="1" x14ac:dyDescent="0.2">
      <c r="A104" s="369" t="s">
        <v>84</v>
      </c>
      <c r="B104" s="76" t="s">
        <v>9</v>
      </c>
      <c r="C104" s="77" t="s">
        <v>50</v>
      </c>
      <c r="D104" s="360" t="s">
        <v>410</v>
      </c>
      <c r="E104" s="360"/>
      <c r="F104" s="78" t="s">
        <v>28</v>
      </c>
      <c r="G104" s="260">
        <f>SUM(G105:G110)</f>
        <v>2636136</v>
      </c>
      <c r="H104" s="139">
        <f>SUM(H105:H110)</f>
        <v>1924064</v>
      </c>
      <c r="I104" s="39">
        <f t="shared" ref="I104:I110" si="32">IF(G104&gt;0,H104/G104*100,"-")</f>
        <v>72.988040070770239</v>
      </c>
      <c r="J104" s="139">
        <f>SUM(J105:J110)</f>
        <v>1304359</v>
      </c>
      <c r="K104" s="139">
        <f>SUM(K105:K110)</f>
        <v>0</v>
      </c>
      <c r="L104" s="139">
        <f>SUM(L105:L110)</f>
        <v>1304359</v>
      </c>
      <c r="M104" s="38">
        <f>SUM(M105:M110)</f>
        <v>835077.52</v>
      </c>
      <c r="N104" s="39">
        <f t="shared" ref="N104:N110" si="33">IF(L104&gt;0,M104/L104*100,"-")</f>
        <v>64.022061411007243</v>
      </c>
      <c r="O104" s="361" t="s">
        <v>501</v>
      </c>
    </row>
    <row r="105" spans="1:15" s="95" customFormat="1" ht="11.1" customHeight="1" outlineLevel="1" x14ac:dyDescent="0.2">
      <c r="A105" s="369"/>
      <c r="B105" s="76" t="s">
        <v>10</v>
      </c>
      <c r="C105" s="77" t="s">
        <v>69</v>
      </c>
      <c r="D105" s="360"/>
      <c r="E105" s="360"/>
      <c r="F105" s="79" t="s">
        <v>15</v>
      </c>
      <c r="G105" s="140">
        <f t="shared" ref="G105:J110" si="34">G113+G120</f>
        <v>395313</v>
      </c>
      <c r="H105" s="140">
        <f t="shared" si="34"/>
        <v>288502</v>
      </c>
      <c r="I105" s="81">
        <f t="shared" si="32"/>
        <v>72.98065077546147</v>
      </c>
      <c r="J105" s="140">
        <f t="shared" si="34"/>
        <v>195655</v>
      </c>
      <c r="K105" s="140">
        <f t="shared" ref="J105:M110" si="35">K113+K120</f>
        <v>0</v>
      </c>
      <c r="L105" s="140">
        <f t="shared" si="35"/>
        <v>195655</v>
      </c>
      <c r="M105" s="80">
        <f t="shared" si="35"/>
        <v>125262.13</v>
      </c>
      <c r="N105" s="81">
        <f t="shared" si="33"/>
        <v>64.021941683064583</v>
      </c>
      <c r="O105" s="361"/>
    </row>
    <row r="106" spans="1:15" s="95" customFormat="1" ht="11.1" customHeight="1" outlineLevel="1" x14ac:dyDescent="0.2">
      <c r="A106" s="369"/>
      <c r="B106" s="76"/>
      <c r="C106" s="82" t="s">
        <v>68</v>
      </c>
      <c r="D106" s="360"/>
      <c r="E106" s="360"/>
      <c r="F106" s="79" t="s">
        <v>7</v>
      </c>
      <c r="G106" s="140">
        <f t="shared" si="34"/>
        <v>1904700</v>
      </c>
      <c r="H106" s="140">
        <f t="shared" si="34"/>
        <v>1390228</v>
      </c>
      <c r="I106" s="81">
        <f t="shared" si="32"/>
        <v>72.989342153620001</v>
      </c>
      <c r="J106" s="140">
        <f t="shared" si="34"/>
        <v>942398</v>
      </c>
      <c r="K106" s="140">
        <f t="shared" si="35"/>
        <v>0</v>
      </c>
      <c r="L106" s="140">
        <f t="shared" si="35"/>
        <v>942398</v>
      </c>
      <c r="M106" s="80">
        <f t="shared" si="35"/>
        <v>603343.27</v>
      </c>
      <c r="N106" s="81">
        <f t="shared" si="33"/>
        <v>64.022129715894977</v>
      </c>
      <c r="O106" s="361"/>
    </row>
    <row r="107" spans="1:15" s="95" customFormat="1" ht="11.1" customHeight="1" outlineLevel="1" x14ac:dyDescent="0.2">
      <c r="A107" s="119"/>
      <c r="B107" s="76" t="s">
        <v>11</v>
      </c>
      <c r="C107" s="82" t="s">
        <v>70</v>
      </c>
      <c r="D107" s="110"/>
      <c r="E107" s="360"/>
      <c r="F107" s="79" t="s">
        <v>8</v>
      </c>
      <c r="G107" s="140">
        <f t="shared" si="34"/>
        <v>0</v>
      </c>
      <c r="H107" s="140">
        <f t="shared" si="34"/>
        <v>0</v>
      </c>
      <c r="I107" s="81" t="str">
        <f t="shared" si="32"/>
        <v>-</v>
      </c>
      <c r="J107" s="140">
        <f t="shared" si="34"/>
        <v>0</v>
      </c>
      <c r="K107" s="140">
        <f t="shared" si="35"/>
        <v>0</v>
      </c>
      <c r="L107" s="140">
        <f t="shared" si="35"/>
        <v>0</v>
      </c>
      <c r="M107" s="80">
        <f t="shared" si="35"/>
        <v>0</v>
      </c>
      <c r="N107" s="81" t="str">
        <f t="shared" si="33"/>
        <v>-</v>
      </c>
      <c r="O107" s="361"/>
    </row>
    <row r="108" spans="1:15" s="95" customFormat="1" ht="11.1" customHeight="1" outlineLevel="1" x14ac:dyDescent="0.2">
      <c r="A108" s="119"/>
      <c r="B108" s="76" t="s">
        <v>12</v>
      </c>
      <c r="C108" s="82" t="s">
        <v>224</v>
      </c>
      <c r="D108" s="110"/>
      <c r="E108" s="360"/>
      <c r="F108" s="79" t="s">
        <v>22</v>
      </c>
      <c r="G108" s="140">
        <f t="shared" si="34"/>
        <v>336123</v>
      </c>
      <c r="H108" s="140">
        <f t="shared" si="34"/>
        <v>245334</v>
      </c>
      <c r="I108" s="81">
        <f t="shared" si="32"/>
        <v>72.989352112173222</v>
      </c>
      <c r="J108" s="140">
        <f t="shared" si="34"/>
        <v>166306</v>
      </c>
      <c r="K108" s="140">
        <f t="shared" si="35"/>
        <v>0</v>
      </c>
      <c r="L108" s="140">
        <f t="shared" si="35"/>
        <v>166306</v>
      </c>
      <c r="M108" s="80">
        <f t="shared" si="35"/>
        <v>106472.12</v>
      </c>
      <c r="N108" s="81">
        <f t="shared" si="33"/>
        <v>64.02181520811034</v>
      </c>
      <c r="O108" s="361"/>
    </row>
    <row r="109" spans="1:15" s="95" customFormat="1" ht="11.1" customHeight="1" outlineLevel="1" x14ac:dyDescent="0.2">
      <c r="A109" s="119"/>
      <c r="B109" s="76" t="s">
        <v>23</v>
      </c>
      <c r="C109" s="82" t="s">
        <v>71</v>
      </c>
      <c r="D109" s="110"/>
      <c r="E109" s="90"/>
      <c r="F109" s="107" t="s">
        <v>45</v>
      </c>
      <c r="G109" s="140">
        <f t="shared" si="34"/>
        <v>0</v>
      </c>
      <c r="H109" s="140">
        <f t="shared" si="34"/>
        <v>0</v>
      </c>
      <c r="I109" s="81" t="str">
        <f t="shared" si="32"/>
        <v>-</v>
      </c>
      <c r="J109" s="140">
        <f t="shared" si="35"/>
        <v>0</v>
      </c>
      <c r="K109" s="140">
        <f t="shared" si="35"/>
        <v>0</v>
      </c>
      <c r="L109" s="140">
        <f t="shared" si="35"/>
        <v>0</v>
      </c>
      <c r="M109" s="80">
        <f t="shared" si="35"/>
        <v>0</v>
      </c>
      <c r="N109" s="81" t="str">
        <f t="shared" si="33"/>
        <v>-</v>
      </c>
      <c r="O109" s="361"/>
    </row>
    <row r="110" spans="1:15" s="95" customFormat="1" ht="11.1" customHeight="1" outlineLevel="1" x14ac:dyDescent="0.2">
      <c r="A110" s="119"/>
      <c r="B110" s="76"/>
      <c r="C110" s="82"/>
      <c r="D110" s="110"/>
      <c r="E110" s="90"/>
      <c r="F110" s="107" t="s">
        <v>46</v>
      </c>
      <c r="G110" s="140">
        <f t="shared" si="34"/>
        <v>0</v>
      </c>
      <c r="H110" s="140">
        <f t="shared" si="34"/>
        <v>0</v>
      </c>
      <c r="I110" s="81" t="str">
        <f t="shared" si="32"/>
        <v>-</v>
      </c>
      <c r="J110" s="140">
        <f t="shared" si="35"/>
        <v>0</v>
      </c>
      <c r="K110" s="140">
        <f t="shared" si="35"/>
        <v>0</v>
      </c>
      <c r="L110" s="140">
        <f t="shared" si="35"/>
        <v>0</v>
      </c>
      <c r="M110" s="80">
        <f t="shared" si="35"/>
        <v>0</v>
      </c>
      <c r="N110" s="81" t="str">
        <f t="shared" si="33"/>
        <v>-</v>
      </c>
      <c r="O110" s="361"/>
    </row>
    <row r="111" spans="1:15" s="95" customFormat="1" ht="10.5" customHeight="1" outlineLevel="1" x14ac:dyDescent="0.2">
      <c r="A111" s="119"/>
      <c r="B111" s="76"/>
      <c r="C111" s="82"/>
      <c r="D111" s="110"/>
      <c r="E111" s="90"/>
      <c r="F111" s="107"/>
      <c r="G111" s="141"/>
      <c r="H111" s="141"/>
      <c r="I111" s="81"/>
      <c r="J111" s="141"/>
      <c r="K111" s="141"/>
      <c r="L111" s="140"/>
      <c r="M111" s="89"/>
      <c r="N111" s="81"/>
      <c r="O111" s="362"/>
    </row>
    <row r="112" spans="1:15" s="95" customFormat="1" ht="10.5" customHeight="1" outlineLevel="1" x14ac:dyDescent="0.2">
      <c r="A112" s="119"/>
      <c r="B112" s="76"/>
      <c r="C112" s="82"/>
      <c r="D112" s="90"/>
      <c r="E112" s="90"/>
      <c r="F112" s="107"/>
      <c r="G112" s="141"/>
      <c r="H112" s="141"/>
      <c r="I112" s="81"/>
      <c r="J112" s="141"/>
      <c r="K112" s="141"/>
      <c r="L112" s="140"/>
      <c r="M112" s="89"/>
      <c r="N112" s="81"/>
      <c r="O112" s="362"/>
    </row>
    <row r="113" spans="1:15" s="117" customFormat="1" ht="11.1" customHeight="1" outlineLevel="1" x14ac:dyDescent="0.2">
      <c r="A113" s="119"/>
      <c r="B113" s="111"/>
      <c r="C113" s="112"/>
      <c r="D113" s="113"/>
      <c r="E113" s="381" t="s">
        <v>54</v>
      </c>
      <c r="F113" s="114" t="s">
        <v>15</v>
      </c>
      <c r="G113" s="144">
        <v>395313</v>
      </c>
      <c r="H113" s="144">
        <f>ROUNDUP(163239+M113,0)</f>
        <v>288502</v>
      </c>
      <c r="I113" s="81">
        <f t="shared" ref="I113:I118" si="36">IF(G113&gt;0,H113/G113*100,"-")</f>
        <v>72.98065077546147</v>
      </c>
      <c r="J113" s="144">
        <v>195655</v>
      </c>
      <c r="K113" s="144">
        <f t="shared" ref="K113:K118" si="37">L113-J113</f>
        <v>0</v>
      </c>
      <c r="L113" s="145">
        <v>195655</v>
      </c>
      <c r="M113" s="116">
        <v>125262.13</v>
      </c>
      <c r="N113" s="81">
        <f t="shared" ref="N113:N118" si="38">IF(L113&gt;0,M113/L113*100,"-")</f>
        <v>64.021941683064583</v>
      </c>
      <c r="O113" s="362"/>
    </row>
    <row r="114" spans="1:15" s="117" customFormat="1" ht="11.1" customHeight="1" outlineLevel="1" x14ac:dyDescent="0.2">
      <c r="A114" s="119"/>
      <c r="B114" s="111"/>
      <c r="C114" s="112"/>
      <c r="D114" s="113"/>
      <c r="E114" s="381"/>
      <c r="F114" s="114" t="s">
        <v>7</v>
      </c>
      <c r="G114" s="144">
        <v>0</v>
      </c>
      <c r="H114" s="144">
        <f>ROUNDUP(0+M114,0)</f>
        <v>0</v>
      </c>
      <c r="I114" s="81" t="str">
        <f t="shared" si="36"/>
        <v>-</v>
      </c>
      <c r="J114" s="144">
        <v>0</v>
      </c>
      <c r="K114" s="144">
        <f t="shared" si="37"/>
        <v>0</v>
      </c>
      <c r="L114" s="145">
        <v>0</v>
      </c>
      <c r="M114" s="116">
        <v>0</v>
      </c>
      <c r="N114" s="81" t="str">
        <f t="shared" si="38"/>
        <v>-</v>
      </c>
      <c r="O114" s="362"/>
    </row>
    <row r="115" spans="1:15" s="117" customFormat="1" ht="11.1" customHeight="1" outlineLevel="1" x14ac:dyDescent="0.2">
      <c r="A115" s="119"/>
      <c r="B115" s="111"/>
      <c r="C115" s="112"/>
      <c r="D115" s="113"/>
      <c r="E115" s="381"/>
      <c r="F115" s="114" t="s">
        <v>8</v>
      </c>
      <c r="G115" s="144">
        <v>0</v>
      </c>
      <c r="H115" s="144">
        <f t="shared" ref="H115:H125" si="39">ROUNDUP(0+M115,0)</f>
        <v>0</v>
      </c>
      <c r="I115" s="81" t="str">
        <f t="shared" si="36"/>
        <v>-</v>
      </c>
      <c r="J115" s="144">
        <v>0</v>
      </c>
      <c r="K115" s="144">
        <f t="shared" si="37"/>
        <v>0</v>
      </c>
      <c r="L115" s="145">
        <v>0</v>
      </c>
      <c r="M115" s="116">
        <v>0</v>
      </c>
      <c r="N115" s="81" t="str">
        <f t="shared" si="38"/>
        <v>-</v>
      </c>
      <c r="O115" s="362"/>
    </row>
    <row r="116" spans="1:15" s="117" customFormat="1" ht="11.1" customHeight="1" outlineLevel="1" x14ac:dyDescent="0.2">
      <c r="A116" s="119"/>
      <c r="B116" s="111"/>
      <c r="C116" s="112"/>
      <c r="D116" s="113"/>
      <c r="E116" s="201"/>
      <c r="F116" s="114" t="s">
        <v>22</v>
      </c>
      <c r="G116" s="144">
        <v>0</v>
      </c>
      <c r="H116" s="144">
        <f t="shared" si="39"/>
        <v>0</v>
      </c>
      <c r="I116" s="81" t="str">
        <f t="shared" si="36"/>
        <v>-</v>
      </c>
      <c r="J116" s="144">
        <v>0</v>
      </c>
      <c r="K116" s="144">
        <f t="shared" si="37"/>
        <v>0</v>
      </c>
      <c r="L116" s="145">
        <v>0</v>
      </c>
      <c r="M116" s="116">
        <v>0</v>
      </c>
      <c r="N116" s="81" t="str">
        <f t="shared" si="38"/>
        <v>-</v>
      </c>
      <c r="O116" s="362"/>
    </row>
    <row r="117" spans="1:15" s="117" customFormat="1" ht="11.1" customHeight="1" outlineLevel="1" x14ac:dyDescent="0.2">
      <c r="A117" s="119"/>
      <c r="B117" s="111"/>
      <c r="C117" s="112"/>
      <c r="D117" s="113"/>
      <c r="E117" s="201"/>
      <c r="F117" s="118" t="s">
        <v>45</v>
      </c>
      <c r="G117" s="144">
        <v>0</v>
      </c>
      <c r="H117" s="144">
        <f t="shared" si="39"/>
        <v>0</v>
      </c>
      <c r="I117" s="81" t="str">
        <f t="shared" si="36"/>
        <v>-</v>
      </c>
      <c r="J117" s="144">
        <v>0</v>
      </c>
      <c r="K117" s="144">
        <f t="shared" si="37"/>
        <v>0</v>
      </c>
      <c r="L117" s="145">
        <v>0</v>
      </c>
      <c r="M117" s="116">
        <v>0</v>
      </c>
      <c r="N117" s="81" t="str">
        <f t="shared" si="38"/>
        <v>-</v>
      </c>
      <c r="O117" s="362"/>
    </row>
    <row r="118" spans="1:15" s="117" customFormat="1" ht="11.1" customHeight="1" outlineLevel="1" x14ac:dyDescent="0.2">
      <c r="A118" s="119"/>
      <c r="B118" s="111"/>
      <c r="C118" s="112"/>
      <c r="D118" s="113"/>
      <c r="E118" s="201"/>
      <c r="F118" s="118" t="s">
        <v>46</v>
      </c>
      <c r="G118" s="144">
        <v>0</v>
      </c>
      <c r="H118" s="144">
        <f t="shared" si="39"/>
        <v>0</v>
      </c>
      <c r="I118" s="81" t="str">
        <f t="shared" si="36"/>
        <v>-</v>
      </c>
      <c r="J118" s="144">
        <v>0</v>
      </c>
      <c r="K118" s="144">
        <f t="shared" si="37"/>
        <v>0</v>
      </c>
      <c r="L118" s="145">
        <v>0</v>
      </c>
      <c r="M118" s="116">
        <v>0</v>
      </c>
      <c r="N118" s="81" t="str">
        <f t="shared" si="38"/>
        <v>-</v>
      </c>
      <c r="O118" s="362"/>
    </row>
    <row r="119" spans="1:15" s="117" customFormat="1" ht="10.5" customHeight="1" outlineLevel="1" x14ac:dyDescent="0.2">
      <c r="A119" s="119"/>
      <c r="B119" s="111"/>
      <c r="C119" s="112"/>
      <c r="D119" s="113"/>
      <c r="E119" s="113"/>
      <c r="F119" s="118"/>
      <c r="G119" s="144"/>
      <c r="H119" s="144"/>
      <c r="I119" s="81"/>
      <c r="J119" s="144"/>
      <c r="K119" s="144"/>
      <c r="L119" s="145"/>
      <c r="M119" s="116"/>
      <c r="N119" s="81"/>
      <c r="O119" s="362"/>
    </row>
    <row r="120" spans="1:15" s="117" customFormat="1" ht="11.1" customHeight="1" outlineLevel="1" x14ac:dyDescent="0.2">
      <c r="A120" s="119"/>
      <c r="B120" s="111"/>
      <c r="C120" s="112"/>
      <c r="D120" s="113"/>
      <c r="E120" s="381" t="s">
        <v>55</v>
      </c>
      <c r="F120" s="114" t="s">
        <v>15</v>
      </c>
      <c r="G120" s="144">
        <v>0</v>
      </c>
      <c r="H120" s="144">
        <f t="shared" si="39"/>
        <v>0</v>
      </c>
      <c r="I120" s="81" t="str">
        <f t="shared" ref="I120:I125" si="40">IF(G120&gt;0,H120/G120*100,"-")</f>
        <v>-</v>
      </c>
      <c r="J120" s="144">
        <v>0</v>
      </c>
      <c r="K120" s="144">
        <f t="shared" ref="K120:K125" si="41">L120-J120</f>
        <v>0</v>
      </c>
      <c r="L120" s="145">
        <v>0</v>
      </c>
      <c r="M120" s="116">
        <v>0</v>
      </c>
      <c r="N120" s="81" t="str">
        <f t="shared" ref="N120:N125" si="42">IF(L120&gt;0,M120/L120*100,"-")</f>
        <v>-</v>
      </c>
      <c r="O120" s="362"/>
    </row>
    <row r="121" spans="1:15" s="117" customFormat="1" ht="11.1" customHeight="1" outlineLevel="1" x14ac:dyDescent="0.2">
      <c r="A121" s="119"/>
      <c r="B121" s="111"/>
      <c r="C121" s="112"/>
      <c r="D121" s="113"/>
      <c r="E121" s="381"/>
      <c r="F121" s="114" t="s">
        <v>7</v>
      </c>
      <c r="G121" s="144">
        <v>1904700</v>
      </c>
      <c r="H121" s="144">
        <f>ROUNDUP(786884+M121,0)</f>
        <v>1390228</v>
      </c>
      <c r="I121" s="81">
        <f t="shared" si="40"/>
        <v>72.989342153620001</v>
      </c>
      <c r="J121" s="144">
        <v>942398</v>
      </c>
      <c r="K121" s="144">
        <f t="shared" si="41"/>
        <v>0</v>
      </c>
      <c r="L121" s="145">
        <v>942398</v>
      </c>
      <c r="M121" s="116">
        <v>603343.27</v>
      </c>
      <c r="N121" s="81">
        <f t="shared" si="42"/>
        <v>64.022129715894977</v>
      </c>
      <c r="O121" s="362"/>
    </row>
    <row r="122" spans="1:15" s="117" customFormat="1" ht="11.1" customHeight="1" outlineLevel="1" x14ac:dyDescent="0.2">
      <c r="A122" s="119"/>
      <c r="B122" s="111"/>
      <c r="C122" s="112"/>
      <c r="D122" s="113"/>
      <c r="E122" s="381"/>
      <c r="F122" s="114" t="s">
        <v>8</v>
      </c>
      <c r="G122" s="144">
        <v>0</v>
      </c>
      <c r="H122" s="144">
        <f t="shared" si="39"/>
        <v>0</v>
      </c>
      <c r="I122" s="81" t="str">
        <f t="shared" si="40"/>
        <v>-</v>
      </c>
      <c r="J122" s="144">
        <v>0</v>
      </c>
      <c r="K122" s="144">
        <f t="shared" si="41"/>
        <v>0</v>
      </c>
      <c r="L122" s="145">
        <v>0</v>
      </c>
      <c r="M122" s="116">
        <v>0</v>
      </c>
      <c r="N122" s="81" t="str">
        <f t="shared" si="42"/>
        <v>-</v>
      </c>
      <c r="O122" s="362"/>
    </row>
    <row r="123" spans="1:15" s="117" customFormat="1" ht="11.1" customHeight="1" outlineLevel="1" x14ac:dyDescent="0.2">
      <c r="A123" s="119"/>
      <c r="B123" s="111"/>
      <c r="C123" s="112"/>
      <c r="D123" s="113"/>
      <c r="E123" s="201"/>
      <c r="F123" s="114" t="s">
        <v>22</v>
      </c>
      <c r="G123" s="144">
        <v>336123</v>
      </c>
      <c r="H123" s="144">
        <f>ROUNDUP(138861+M123,0)</f>
        <v>245334</v>
      </c>
      <c r="I123" s="81">
        <f t="shared" si="40"/>
        <v>72.989352112173222</v>
      </c>
      <c r="J123" s="144">
        <v>166306</v>
      </c>
      <c r="K123" s="144">
        <f t="shared" si="41"/>
        <v>0</v>
      </c>
      <c r="L123" s="145">
        <v>166306</v>
      </c>
      <c r="M123" s="116">
        <v>106472.12</v>
      </c>
      <c r="N123" s="81">
        <f t="shared" si="42"/>
        <v>64.02181520811034</v>
      </c>
      <c r="O123" s="362"/>
    </row>
    <row r="124" spans="1:15" s="117" customFormat="1" ht="11.1" customHeight="1" outlineLevel="1" x14ac:dyDescent="0.2">
      <c r="A124" s="119"/>
      <c r="B124" s="111"/>
      <c r="C124" s="112"/>
      <c r="D124" s="113"/>
      <c r="E124" s="201"/>
      <c r="F124" s="118" t="s">
        <v>45</v>
      </c>
      <c r="G124" s="144">
        <v>0</v>
      </c>
      <c r="H124" s="144">
        <f t="shared" si="39"/>
        <v>0</v>
      </c>
      <c r="I124" s="81" t="str">
        <f t="shared" si="40"/>
        <v>-</v>
      </c>
      <c r="J124" s="144">
        <v>0</v>
      </c>
      <c r="K124" s="144">
        <f t="shared" si="41"/>
        <v>0</v>
      </c>
      <c r="L124" s="145">
        <v>0</v>
      </c>
      <c r="M124" s="116">
        <v>0</v>
      </c>
      <c r="N124" s="81" t="str">
        <f t="shared" si="42"/>
        <v>-</v>
      </c>
      <c r="O124" s="362"/>
    </row>
    <row r="125" spans="1:15" s="117" customFormat="1" ht="11.1" customHeight="1" outlineLevel="1" x14ac:dyDescent="0.2">
      <c r="A125" s="119"/>
      <c r="B125" s="111"/>
      <c r="C125" s="112"/>
      <c r="D125" s="113"/>
      <c r="E125" s="201"/>
      <c r="F125" s="118" t="s">
        <v>46</v>
      </c>
      <c r="G125" s="144">
        <v>0</v>
      </c>
      <c r="H125" s="144">
        <f t="shared" si="39"/>
        <v>0</v>
      </c>
      <c r="I125" s="81" t="str">
        <f t="shared" si="40"/>
        <v>-</v>
      </c>
      <c r="J125" s="144">
        <v>0</v>
      </c>
      <c r="K125" s="144">
        <f t="shared" si="41"/>
        <v>0</v>
      </c>
      <c r="L125" s="145">
        <v>0</v>
      </c>
      <c r="M125" s="116">
        <v>0</v>
      </c>
      <c r="N125" s="81" t="str">
        <f t="shared" si="42"/>
        <v>-</v>
      </c>
      <c r="O125" s="362"/>
    </row>
    <row r="126" spans="1:15" s="95" customFormat="1" ht="3.95" customHeight="1" outlineLevel="1" x14ac:dyDescent="0.2">
      <c r="A126" s="120"/>
      <c r="B126" s="85"/>
      <c r="C126" s="86"/>
      <c r="D126" s="84"/>
      <c r="E126" s="84"/>
      <c r="F126" s="85"/>
      <c r="G126" s="142"/>
      <c r="H126" s="142"/>
      <c r="I126" s="88"/>
      <c r="J126" s="142"/>
      <c r="K126" s="142"/>
      <c r="L126" s="143"/>
      <c r="M126" s="87"/>
      <c r="N126" s="88"/>
      <c r="O126" s="363"/>
    </row>
    <row r="127" spans="1:15" s="95" customFormat="1" ht="3.95" customHeight="1" outlineLevel="1" x14ac:dyDescent="0.2">
      <c r="A127" s="154"/>
      <c r="B127" s="72"/>
      <c r="C127" s="73"/>
      <c r="D127" s="71"/>
      <c r="E127" s="71"/>
      <c r="F127" s="72"/>
      <c r="G127" s="137"/>
      <c r="H127" s="137"/>
      <c r="I127" s="75"/>
      <c r="J127" s="137"/>
      <c r="K127" s="137"/>
      <c r="L127" s="138"/>
      <c r="M127" s="74"/>
      <c r="N127" s="75"/>
      <c r="O127" s="349"/>
    </row>
    <row r="128" spans="1:15" s="95" customFormat="1" ht="11.1" customHeight="1" outlineLevel="1" x14ac:dyDescent="0.2">
      <c r="A128" s="369" t="s">
        <v>86</v>
      </c>
      <c r="B128" s="76" t="s">
        <v>9</v>
      </c>
      <c r="C128" s="77" t="s">
        <v>56</v>
      </c>
      <c r="D128" s="360" t="s">
        <v>170</v>
      </c>
      <c r="E128" s="360"/>
      <c r="F128" s="78" t="s">
        <v>28</v>
      </c>
      <c r="G128" s="139">
        <f>SUM(G129:G134)</f>
        <v>12273871</v>
      </c>
      <c r="H128" s="139">
        <f>SUM(H129:H134)</f>
        <v>11972884</v>
      </c>
      <c r="I128" s="39">
        <f t="shared" ref="I128:I134" si="43">IF(G128&gt;0,H128/G128*100,"-")</f>
        <v>97.547741865626577</v>
      </c>
      <c r="J128" s="260">
        <f>SUM(J129:J134)</f>
        <v>1482910</v>
      </c>
      <c r="K128" s="260">
        <f>SUM(K129:K134)</f>
        <v>1235659</v>
      </c>
      <c r="L128" s="260">
        <f>SUM(L129:L134)</f>
        <v>2718569</v>
      </c>
      <c r="M128" s="38">
        <f>SUM(M129:M134)</f>
        <v>2617580.4300000002</v>
      </c>
      <c r="N128" s="39">
        <f t="shared" ref="N128:N134" si="44">IF(L128&gt;0,M128/L128*100,"-")</f>
        <v>96.285230575350482</v>
      </c>
      <c r="O128" s="397" t="s">
        <v>502</v>
      </c>
    </row>
    <row r="129" spans="1:15" s="95" customFormat="1" ht="11.1" customHeight="1" outlineLevel="1" x14ac:dyDescent="0.2">
      <c r="A129" s="369"/>
      <c r="B129" s="76" t="s">
        <v>10</v>
      </c>
      <c r="C129" s="77" t="s">
        <v>67</v>
      </c>
      <c r="D129" s="360"/>
      <c r="E129" s="360"/>
      <c r="F129" s="79" t="s">
        <v>15</v>
      </c>
      <c r="G129" s="140">
        <f t="shared" ref="G129:H134" si="45">G137+G145+G152+G159+G166</f>
        <v>1321754</v>
      </c>
      <c r="H129" s="140">
        <f t="shared" si="45"/>
        <v>1296142</v>
      </c>
      <c r="I129" s="81">
        <f t="shared" si="43"/>
        <v>98.062271799442257</v>
      </c>
      <c r="J129" s="140">
        <f t="shared" ref="J129:M134" si="46">J137+J145+J152+J159+J166</f>
        <v>282910</v>
      </c>
      <c r="K129" s="140">
        <f t="shared" si="46"/>
        <v>2540</v>
      </c>
      <c r="L129" s="140">
        <f t="shared" si="46"/>
        <v>285450</v>
      </c>
      <c r="M129" s="80">
        <f t="shared" si="46"/>
        <v>280837.27</v>
      </c>
      <c r="N129" s="81">
        <f t="shared" si="44"/>
        <v>98.384049746015066</v>
      </c>
      <c r="O129" s="397"/>
    </row>
    <row r="130" spans="1:15" s="95" customFormat="1" ht="11.1" customHeight="1" outlineLevel="1" x14ac:dyDescent="0.2">
      <c r="A130" s="369"/>
      <c r="B130" s="76" t="s">
        <v>11</v>
      </c>
      <c r="C130" s="82" t="s">
        <v>72</v>
      </c>
      <c r="D130" s="360"/>
      <c r="E130" s="360"/>
      <c r="F130" s="79" t="s">
        <v>7</v>
      </c>
      <c r="G130" s="140">
        <f t="shared" si="45"/>
        <v>10284943</v>
      </c>
      <c r="H130" s="140">
        <f t="shared" si="45"/>
        <v>10023413</v>
      </c>
      <c r="I130" s="81">
        <f t="shared" si="43"/>
        <v>97.457156544280309</v>
      </c>
      <c r="J130" s="140">
        <f t="shared" si="46"/>
        <v>1139663</v>
      </c>
      <c r="K130" s="140">
        <f t="shared" si="46"/>
        <v>1171121</v>
      </c>
      <c r="L130" s="140">
        <f t="shared" si="46"/>
        <v>2310784</v>
      </c>
      <c r="M130" s="80">
        <f t="shared" si="46"/>
        <v>2219253.2200000002</v>
      </c>
      <c r="N130" s="81">
        <f t="shared" si="44"/>
        <v>96.038972920013293</v>
      </c>
      <c r="O130" s="397"/>
    </row>
    <row r="131" spans="1:15" s="95" customFormat="1" ht="11.1" customHeight="1" outlineLevel="1" x14ac:dyDescent="0.2">
      <c r="A131" s="119"/>
      <c r="B131" s="76" t="s">
        <v>12</v>
      </c>
      <c r="C131" s="82" t="s">
        <v>225</v>
      </c>
      <c r="D131" s="110"/>
      <c r="E131" s="360"/>
      <c r="F131" s="79" t="s">
        <v>8</v>
      </c>
      <c r="G131" s="140">
        <f t="shared" si="45"/>
        <v>0</v>
      </c>
      <c r="H131" s="140">
        <f t="shared" si="45"/>
        <v>0</v>
      </c>
      <c r="I131" s="81" t="str">
        <f t="shared" si="43"/>
        <v>-</v>
      </c>
      <c r="J131" s="140">
        <f t="shared" si="46"/>
        <v>0</v>
      </c>
      <c r="K131" s="140">
        <f t="shared" si="46"/>
        <v>0</v>
      </c>
      <c r="L131" s="140">
        <f t="shared" si="46"/>
        <v>0</v>
      </c>
      <c r="M131" s="80">
        <f t="shared" si="46"/>
        <v>0</v>
      </c>
      <c r="N131" s="81" t="str">
        <f t="shared" si="44"/>
        <v>-</v>
      </c>
      <c r="O131" s="397"/>
    </row>
    <row r="132" spans="1:15" s="95" customFormat="1" ht="11.1" customHeight="1" outlineLevel="1" x14ac:dyDescent="0.2">
      <c r="A132" s="119"/>
      <c r="B132" s="76" t="s">
        <v>23</v>
      </c>
      <c r="C132" s="82" t="s">
        <v>73</v>
      </c>
      <c r="D132" s="110"/>
      <c r="E132" s="360"/>
      <c r="F132" s="79" t="s">
        <v>22</v>
      </c>
      <c r="G132" s="140">
        <f t="shared" si="45"/>
        <v>667174</v>
      </c>
      <c r="H132" s="140">
        <f t="shared" si="45"/>
        <v>653329</v>
      </c>
      <c r="I132" s="81">
        <f t="shared" si="43"/>
        <v>97.924829204975012</v>
      </c>
      <c r="J132" s="140">
        <f t="shared" si="46"/>
        <v>60337</v>
      </c>
      <c r="K132" s="140">
        <f t="shared" si="46"/>
        <v>61998</v>
      </c>
      <c r="L132" s="140">
        <f t="shared" si="46"/>
        <v>122335</v>
      </c>
      <c r="M132" s="80">
        <f t="shared" si="46"/>
        <v>117489.94</v>
      </c>
      <c r="N132" s="81">
        <f t="shared" si="44"/>
        <v>96.039514448032051</v>
      </c>
      <c r="O132" s="397"/>
    </row>
    <row r="133" spans="1:15" s="95" customFormat="1" ht="11.1" customHeight="1" outlineLevel="1" x14ac:dyDescent="0.2">
      <c r="A133" s="119"/>
      <c r="B133" s="76"/>
      <c r="C133" s="82" t="s">
        <v>74</v>
      </c>
      <c r="D133" s="110"/>
      <c r="E133" s="90"/>
      <c r="F133" s="107" t="s">
        <v>45</v>
      </c>
      <c r="G133" s="140">
        <f t="shared" si="45"/>
        <v>0</v>
      </c>
      <c r="H133" s="140">
        <f t="shared" si="45"/>
        <v>0</v>
      </c>
      <c r="I133" s="81" t="str">
        <f t="shared" si="43"/>
        <v>-</v>
      </c>
      <c r="J133" s="140">
        <f t="shared" si="46"/>
        <v>0</v>
      </c>
      <c r="K133" s="140">
        <f t="shared" si="46"/>
        <v>0</v>
      </c>
      <c r="L133" s="140">
        <f t="shared" si="46"/>
        <v>0</v>
      </c>
      <c r="M133" s="80">
        <f t="shared" si="46"/>
        <v>0</v>
      </c>
      <c r="N133" s="81" t="str">
        <f t="shared" si="44"/>
        <v>-</v>
      </c>
      <c r="O133" s="397"/>
    </row>
    <row r="134" spans="1:15" s="95" customFormat="1" ht="11.1" customHeight="1" outlineLevel="1" x14ac:dyDescent="0.2">
      <c r="A134" s="119"/>
      <c r="B134" s="76"/>
      <c r="C134" s="82" t="s">
        <v>75</v>
      </c>
      <c r="D134" s="110"/>
      <c r="E134" s="90"/>
      <c r="F134" s="107" t="s">
        <v>46</v>
      </c>
      <c r="G134" s="140">
        <f t="shared" si="45"/>
        <v>0</v>
      </c>
      <c r="H134" s="140">
        <f t="shared" si="45"/>
        <v>0</v>
      </c>
      <c r="I134" s="81" t="str">
        <f t="shared" si="43"/>
        <v>-</v>
      </c>
      <c r="J134" s="140">
        <f t="shared" si="46"/>
        <v>0</v>
      </c>
      <c r="K134" s="140">
        <f t="shared" si="46"/>
        <v>0</v>
      </c>
      <c r="L134" s="140">
        <f t="shared" si="46"/>
        <v>0</v>
      </c>
      <c r="M134" s="80">
        <f t="shared" si="46"/>
        <v>0</v>
      </c>
      <c r="N134" s="81" t="str">
        <f t="shared" si="44"/>
        <v>-</v>
      </c>
      <c r="O134" s="397"/>
    </row>
    <row r="135" spans="1:15" s="95" customFormat="1" ht="11.1" customHeight="1" outlineLevel="1" x14ac:dyDescent="0.2">
      <c r="A135" s="119"/>
      <c r="B135" s="76"/>
      <c r="C135" s="82" t="s">
        <v>76</v>
      </c>
      <c r="D135" s="110"/>
      <c r="E135" s="90"/>
      <c r="F135" s="107"/>
      <c r="G135" s="141"/>
      <c r="H135" s="141"/>
      <c r="I135" s="81"/>
      <c r="J135" s="141"/>
      <c r="K135" s="141"/>
      <c r="L135" s="140"/>
      <c r="M135" s="89"/>
      <c r="N135" s="81"/>
      <c r="O135" s="397"/>
    </row>
    <row r="136" spans="1:15" s="95" customFormat="1" ht="10.5" customHeight="1" outlineLevel="1" x14ac:dyDescent="0.2">
      <c r="A136" s="119"/>
      <c r="B136" s="76"/>
      <c r="C136" s="82"/>
      <c r="D136" s="90"/>
      <c r="E136" s="90"/>
      <c r="F136" s="107"/>
      <c r="G136" s="141"/>
      <c r="H136" s="141"/>
      <c r="I136" s="81"/>
      <c r="J136" s="141"/>
      <c r="K136" s="141"/>
      <c r="L136" s="140"/>
      <c r="M136" s="89"/>
      <c r="N136" s="81"/>
      <c r="O136" s="397"/>
    </row>
    <row r="137" spans="1:15" s="117" customFormat="1" ht="11.1" customHeight="1" outlineLevel="1" x14ac:dyDescent="0.2">
      <c r="A137" s="119"/>
      <c r="B137" s="111"/>
      <c r="C137" s="112"/>
      <c r="D137" s="113"/>
      <c r="E137" s="381" t="s">
        <v>57</v>
      </c>
      <c r="F137" s="114" t="s">
        <v>15</v>
      </c>
      <c r="G137" s="261">
        <v>263096</v>
      </c>
      <c r="H137" s="144">
        <f>ROUNDUP(237155+M137,0)</f>
        <v>242096</v>
      </c>
      <c r="I137" s="81">
        <f t="shared" ref="I137:I142" si="47">IF(G137&gt;0,H137/G137*100,"-")</f>
        <v>92.01812266245021</v>
      </c>
      <c r="J137" s="144">
        <v>18844</v>
      </c>
      <c r="K137" s="144">
        <f t="shared" ref="K137:K142" si="48">L137-J137</f>
        <v>-13903</v>
      </c>
      <c r="L137" s="145">
        <v>4941</v>
      </c>
      <c r="M137" s="116">
        <v>4941</v>
      </c>
      <c r="N137" s="81">
        <f t="shared" ref="N137:N142" si="49">IF(L137&gt;0,M137/L137*100,"-")</f>
        <v>100</v>
      </c>
      <c r="O137" s="397"/>
    </row>
    <row r="138" spans="1:15" s="117" customFormat="1" ht="11.1" customHeight="1" outlineLevel="1" x14ac:dyDescent="0.2">
      <c r="A138" s="119"/>
      <c r="B138" s="111"/>
      <c r="C138" s="112"/>
      <c r="D138" s="113"/>
      <c r="E138" s="381"/>
      <c r="F138" s="114" t="s">
        <v>7</v>
      </c>
      <c r="G138" s="144">
        <v>0</v>
      </c>
      <c r="H138" s="144">
        <f t="shared" ref="H138:H142" si="50">ROUNDUP(0+M138,0)</f>
        <v>0</v>
      </c>
      <c r="I138" s="81" t="str">
        <f t="shared" si="47"/>
        <v>-</v>
      </c>
      <c r="J138" s="144">
        <v>0</v>
      </c>
      <c r="K138" s="144">
        <f t="shared" si="48"/>
        <v>0</v>
      </c>
      <c r="L138" s="145">
        <v>0</v>
      </c>
      <c r="M138" s="116">
        <v>0</v>
      </c>
      <c r="N138" s="81" t="str">
        <f t="shared" si="49"/>
        <v>-</v>
      </c>
      <c r="O138" s="397"/>
    </row>
    <row r="139" spans="1:15" s="117" customFormat="1" ht="11.1" customHeight="1" outlineLevel="1" x14ac:dyDescent="0.2">
      <c r="A139" s="119"/>
      <c r="B139" s="111"/>
      <c r="C139" s="112"/>
      <c r="D139" s="113"/>
      <c r="E139" s="381"/>
      <c r="F139" s="114" t="s">
        <v>8</v>
      </c>
      <c r="G139" s="144">
        <v>0</v>
      </c>
      <c r="H139" s="144">
        <f t="shared" si="50"/>
        <v>0</v>
      </c>
      <c r="I139" s="81" t="str">
        <f t="shared" si="47"/>
        <v>-</v>
      </c>
      <c r="J139" s="144">
        <v>0</v>
      </c>
      <c r="K139" s="144">
        <f t="shared" si="48"/>
        <v>0</v>
      </c>
      <c r="L139" s="145">
        <v>0</v>
      </c>
      <c r="M139" s="116">
        <v>0</v>
      </c>
      <c r="N139" s="81" t="str">
        <f t="shared" si="49"/>
        <v>-</v>
      </c>
      <c r="O139" s="397"/>
    </row>
    <row r="140" spans="1:15" s="117" customFormat="1" ht="11.1" customHeight="1" outlineLevel="1" x14ac:dyDescent="0.2">
      <c r="A140" s="119"/>
      <c r="B140" s="111"/>
      <c r="C140" s="112"/>
      <c r="D140" s="113"/>
      <c r="E140" s="201"/>
      <c r="F140" s="114" t="s">
        <v>22</v>
      </c>
      <c r="G140" s="144">
        <v>0</v>
      </c>
      <c r="H140" s="144">
        <f t="shared" si="50"/>
        <v>0</v>
      </c>
      <c r="I140" s="81" t="str">
        <f t="shared" si="47"/>
        <v>-</v>
      </c>
      <c r="J140" s="144">
        <v>0</v>
      </c>
      <c r="K140" s="144">
        <f t="shared" si="48"/>
        <v>0</v>
      </c>
      <c r="L140" s="145">
        <v>0</v>
      </c>
      <c r="M140" s="116">
        <v>0</v>
      </c>
      <c r="N140" s="81" t="str">
        <f t="shared" si="49"/>
        <v>-</v>
      </c>
      <c r="O140" s="397"/>
    </row>
    <row r="141" spans="1:15" s="117" customFormat="1" ht="11.1" customHeight="1" outlineLevel="1" x14ac:dyDescent="0.2">
      <c r="A141" s="119"/>
      <c r="B141" s="111"/>
      <c r="C141" s="112"/>
      <c r="D141" s="113"/>
      <c r="E141" s="201"/>
      <c r="F141" s="118" t="s">
        <v>45</v>
      </c>
      <c r="G141" s="144">
        <v>0</v>
      </c>
      <c r="H141" s="144">
        <f t="shared" si="50"/>
        <v>0</v>
      </c>
      <c r="I141" s="81" t="str">
        <f t="shared" si="47"/>
        <v>-</v>
      </c>
      <c r="J141" s="144">
        <v>0</v>
      </c>
      <c r="K141" s="144">
        <f t="shared" si="48"/>
        <v>0</v>
      </c>
      <c r="L141" s="145">
        <v>0</v>
      </c>
      <c r="M141" s="116">
        <v>0</v>
      </c>
      <c r="N141" s="81" t="str">
        <f t="shared" si="49"/>
        <v>-</v>
      </c>
      <c r="O141" s="397"/>
    </row>
    <row r="142" spans="1:15" s="117" customFormat="1" ht="11.1" customHeight="1" outlineLevel="1" x14ac:dyDescent="0.2">
      <c r="A142" s="119"/>
      <c r="B142" s="111"/>
      <c r="C142" s="112"/>
      <c r="D142" s="312"/>
      <c r="E142" s="201"/>
      <c r="F142" s="118" t="s">
        <v>46</v>
      </c>
      <c r="G142" s="144">
        <v>0</v>
      </c>
      <c r="H142" s="144">
        <f t="shared" si="50"/>
        <v>0</v>
      </c>
      <c r="I142" s="81" t="str">
        <f t="shared" si="47"/>
        <v>-</v>
      </c>
      <c r="J142" s="144">
        <v>0</v>
      </c>
      <c r="K142" s="144">
        <f t="shared" si="48"/>
        <v>0</v>
      </c>
      <c r="L142" s="145">
        <v>0</v>
      </c>
      <c r="M142" s="116">
        <v>0</v>
      </c>
      <c r="N142" s="81" t="str">
        <f t="shared" si="49"/>
        <v>-</v>
      </c>
      <c r="O142" s="397"/>
    </row>
    <row r="143" spans="1:15" s="117" customFormat="1" ht="3.95" customHeight="1" outlineLevel="1" x14ac:dyDescent="0.2">
      <c r="A143" s="120"/>
      <c r="B143" s="121"/>
      <c r="C143" s="122"/>
      <c r="D143" s="123"/>
      <c r="E143" s="259"/>
      <c r="F143" s="124"/>
      <c r="G143" s="146"/>
      <c r="H143" s="146"/>
      <c r="I143" s="88"/>
      <c r="J143" s="146"/>
      <c r="K143" s="146"/>
      <c r="L143" s="147"/>
      <c r="M143" s="125"/>
      <c r="N143" s="88"/>
      <c r="O143" s="195"/>
    </row>
    <row r="144" spans="1:15" s="117" customFormat="1" ht="3" customHeight="1" outlineLevel="1" x14ac:dyDescent="0.2">
      <c r="A144" s="119"/>
      <c r="B144" s="111"/>
      <c r="C144" s="112"/>
      <c r="D144" s="301"/>
      <c r="E144" s="301"/>
      <c r="F144" s="118"/>
      <c r="G144" s="144"/>
      <c r="H144" s="144"/>
      <c r="I144" s="302"/>
      <c r="J144" s="144"/>
      <c r="K144" s="144"/>
      <c r="L144" s="145"/>
      <c r="M144" s="116"/>
      <c r="N144" s="302"/>
      <c r="O144" s="194"/>
    </row>
    <row r="145" spans="1:15" s="117" customFormat="1" ht="11.1" customHeight="1" outlineLevel="1" x14ac:dyDescent="0.2">
      <c r="A145" s="119"/>
      <c r="B145" s="111"/>
      <c r="C145" s="112"/>
      <c r="D145" s="113"/>
      <c r="E145" s="381" t="s">
        <v>58</v>
      </c>
      <c r="F145" s="114" t="s">
        <v>15</v>
      </c>
      <c r="G145" s="261">
        <v>364776</v>
      </c>
      <c r="H145" s="144">
        <f>ROUNDUP(306700+M145,0)</f>
        <v>361795</v>
      </c>
      <c r="I145" s="81">
        <f t="shared" ref="I145:I150" si="51">IF(G145&gt;0,H145/G145*100,"-")</f>
        <v>99.182786148211505</v>
      </c>
      <c r="J145" s="144">
        <v>61156</v>
      </c>
      <c r="K145" s="144">
        <f t="shared" ref="K145:K150" si="52">L145-J145</f>
        <v>-3080</v>
      </c>
      <c r="L145" s="145">
        <v>58076</v>
      </c>
      <c r="M145" s="116">
        <v>55094.8</v>
      </c>
      <c r="N145" s="81">
        <f t="shared" ref="N145:N150" si="53">IF(L145&gt;0,M145/L145*100,"-")</f>
        <v>94.866726358564648</v>
      </c>
      <c r="O145" s="194"/>
    </row>
    <row r="146" spans="1:15" s="117" customFormat="1" ht="11.1" customHeight="1" outlineLevel="1" x14ac:dyDescent="0.2">
      <c r="A146" s="119"/>
      <c r="B146" s="111"/>
      <c r="C146" s="112"/>
      <c r="D146" s="113"/>
      <c r="E146" s="381"/>
      <c r="F146" s="114" t="s">
        <v>7</v>
      </c>
      <c r="G146" s="144">
        <v>0</v>
      </c>
      <c r="H146" s="144">
        <f t="shared" ref="H146:H150" si="54">ROUNDUP(0+M146,0)</f>
        <v>0</v>
      </c>
      <c r="I146" s="81" t="str">
        <f t="shared" si="51"/>
        <v>-</v>
      </c>
      <c r="J146" s="144">
        <v>0</v>
      </c>
      <c r="K146" s="144">
        <f t="shared" si="52"/>
        <v>0</v>
      </c>
      <c r="L146" s="145">
        <v>0</v>
      </c>
      <c r="M146" s="116">
        <v>0</v>
      </c>
      <c r="N146" s="81" t="str">
        <f t="shared" si="53"/>
        <v>-</v>
      </c>
      <c r="O146" s="194"/>
    </row>
    <row r="147" spans="1:15" s="117" customFormat="1" ht="11.1" customHeight="1" outlineLevel="1" x14ac:dyDescent="0.2">
      <c r="A147" s="119"/>
      <c r="B147" s="111"/>
      <c r="C147" s="112"/>
      <c r="D147" s="113"/>
      <c r="E147" s="381"/>
      <c r="F147" s="114" t="s">
        <v>8</v>
      </c>
      <c r="G147" s="144">
        <v>0</v>
      </c>
      <c r="H147" s="144">
        <f t="shared" si="54"/>
        <v>0</v>
      </c>
      <c r="I147" s="81" t="str">
        <f t="shared" si="51"/>
        <v>-</v>
      </c>
      <c r="J147" s="144">
        <v>0</v>
      </c>
      <c r="K147" s="144">
        <f t="shared" si="52"/>
        <v>0</v>
      </c>
      <c r="L147" s="145">
        <v>0</v>
      </c>
      <c r="M147" s="116">
        <v>0</v>
      </c>
      <c r="N147" s="81" t="str">
        <f t="shared" si="53"/>
        <v>-</v>
      </c>
      <c r="O147" s="194"/>
    </row>
    <row r="148" spans="1:15" s="117" customFormat="1" ht="11.1" customHeight="1" outlineLevel="1" x14ac:dyDescent="0.2">
      <c r="A148" s="119"/>
      <c r="B148" s="111"/>
      <c r="C148" s="112"/>
      <c r="D148" s="113"/>
      <c r="E148" s="201"/>
      <c r="F148" s="114" t="s">
        <v>22</v>
      </c>
      <c r="G148" s="144">
        <v>0</v>
      </c>
      <c r="H148" s="144">
        <f t="shared" si="54"/>
        <v>0</v>
      </c>
      <c r="I148" s="81" t="str">
        <f t="shared" si="51"/>
        <v>-</v>
      </c>
      <c r="J148" s="144">
        <v>0</v>
      </c>
      <c r="K148" s="144">
        <f t="shared" si="52"/>
        <v>0</v>
      </c>
      <c r="L148" s="145">
        <v>0</v>
      </c>
      <c r="M148" s="116">
        <v>0</v>
      </c>
      <c r="N148" s="81" t="str">
        <f t="shared" si="53"/>
        <v>-</v>
      </c>
      <c r="O148" s="194"/>
    </row>
    <row r="149" spans="1:15" s="117" customFormat="1" ht="11.1" customHeight="1" outlineLevel="1" x14ac:dyDescent="0.2">
      <c r="A149" s="119"/>
      <c r="B149" s="111"/>
      <c r="C149" s="112"/>
      <c r="D149" s="113"/>
      <c r="E149" s="201"/>
      <c r="F149" s="118" t="s">
        <v>45</v>
      </c>
      <c r="G149" s="144">
        <v>0</v>
      </c>
      <c r="H149" s="144">
        <f t="shared" si="54"/>
        <v>0</v>
      </c>
      <c r="I149" s="81" t="str">
        <f t="shared" si="51"/>
        <v>-</v>
      </c>
      <c r="J149" s="144">
        <v>0</v>
      </c>
      <c r="K149" s="144">
        <f t="shared" si="52"/>
        <v>0</v>
      </c>
      <c r="L149" s="145">
        <v>0</v>
      </c>
      <c r="M149" s="116">
        <v>0</v>
      </c>
      <c r="N149" s="81" t="str">
        <f t="shared" si="53"/>
        <v>-</v>
      </c>
      <c r="O149" s="194"/>
    </row>
    <row r="150" spans="1:15" s="117" customFormat="1" ht="11.1" customHeight="1" outlineLevel="1" x14ac:dyDescent="0.2">
      <c r="A150" s="119"/>
      <c r="B150" s="111"/>
      <c r="C150" s="112"/>
      <c r="D150" s="113"/>
      <c r="E150" s="201"/>
      <c r="F150" s="118" t="s">
        <v>46</v>
      </c>
      <c r="G150" s="144">
        <v>0</v>
      </c>
      <c r="H150" s="144">
        <f t="shared" si="54"/>
        <v>0</v>
      </c>
      <c r="I150" s="81" t="str">
        <f t="shared" si="51"/>
        <v>-</v>
      </c>
      <c r="J150" s="144">
        <v>0</v>
      </c>
      <c r="K150" s="144">
        <f t="shared" si="52"/>
        <v>0</v>
      </c>
      <c r="L150" s="145">
        <v>0</v>
      </c>
      <c r="M150" s="116">
        <v>0</v>
      </c>
      <c r="N150" s="81" t="str">
        <f t="shared" si="53"/>
        <v>-</v>
      </c>
      <c r="O150" s="194"/>
    </row>
    <row r="151" spans="1:15" s="117" customFormat="1" ht="3" customHeight="1" outlineLevel="1" x14ac:dyDescent="0.2">
      <c r="A151" s="119"/>
      <c r="B151" s="111"/>
      <c r="C151" s="112"/>
      <c r="D151" s="312"/>
      <c r="E151" s="201"/>
      <c r="F151" s="118"/>
      <c r="G151" s="144"/>
      <c r="H151" s="144"/>
      <c r="I151" s="81"/>
      <c r="J151" s="144"/>
      <c r="K151" s="144"/>
      <c r="L151" s="145"/>
      <c r="M151" s="116"/>
      <c r="N151" s="81"/>
      <c r="O151" s="194"/>
    </row>
    <row r="152" spans="1:15" s="117" customFormat="1" ht="11.1" customHeight="1" outlineLevel="1" x14ac:dyDescent="0.2">
      <c r="A152" s="119"/>
      <c r="B152" s="111"/>
      <c r="C152" s="112"/>
      <c r="D152" s="113"/>
      <c r="E152" s="381" t="s">
        <v>59</v>
      </c>
      <c r="F152" s="114" t="s">
        <v>15</v>
      </c>
      <c r="G152" s="144">
        <v>27384</v>
      </c>
      <c r="H152" s="144">
        <f>ROUNDUP(27384+M152,0)</f>
        <v>27384</v>
      </c>
      <c r="I152" s="81">
        <f t="shared" ref="I152:I157" si="55">IF(G152&gt;0,H152/G152*100,"-")</f>
        <v>100</v>
      </c>
      <c r="J152" s="144">
        <v>0</v>
      </c>
      <c r="K152" s="144">
        <f t="shared" ref="K152:K157" si="56">L152-J152</f>
        <v>0</v>
      </c>
      <c r="L152" s="145">
        <v>0</v>
      </c>
      <c r="M152" s="116">
        <v>0</v>
      </c>
      <c r="N152" s="81" t="str">
        <f t="shared" ref="N152:N157" si="57">IF(L152&gt;0,M152/L152*100,"-")</f>
        <v>-</v>
      </c>
      <c r="O152" s="194"/>
    </row>
    <row r="153" spans="1:15" s="117" customFormat="1" ht="11.1" customHeight="1" outlineLevel="1" x14ac:dyDescent="0.2">
      <c r="A153" s="119"/>
      <c r="B153" s="111"/>
      <c r="C153" s="112"/>
      <c r="D153" s="113"/>
      <c r="E153" s="381"/>
      <c r="F153" s="114" t="s">
        <v>7</v>
      </c>
      <c r="G153" s="144">
        <v>0</v>
      </c>
      <c r="H153" s="144">
        <f t="shared" ref="H153:H157" si="58">ROUNDUP(0+M153,0)</f>
        <v>0</v>
      </c>
      <c r="I153" s="81" t="str">
        <f t="shared" si="55"/>
        <v>-</v>
      </c>
      <c r="J153" s="144">
        <v>0</v>
      </c>
      <c r="K153" s="144">
        <f t="shared" si="56"/>
        <v>0</v>
      </c>
      <c r="L153" s="145">
        <v>0</v>
      </c>
      <c r="M153" s="116">
        <v>0</v>
      </c>
      <c r="N153" s="81" t="str">
        <f t="shared" si="57"/>
        <v>-</v>
      </c>
      <c r="O153" s="194"/>
    </row>
    <row r="154" spans="1:15" s="117" customFormat="1" ht="11.1" customHeight="1" outlineLevel="1" x14ac:dyDescent="0.2">
      <c r="A154" s="119"/>
      <c r="B154" s="111"/>
      <c r="C154" s="112"/>
      <c r="D154" s="113"/>
      <c r="E154" s="381"/>
      <c r="F154" s="114" t="s">
        <v>8</v>
      </c>
      <c r="G154" s="144">
        <v>0</v>
      </c>
      <c r="H154" s="144">
        <f t="shared" si="58"/>
        <v>0</v>
      </c>
      <c r="I154" s="81" t="str">
        <f t="shared" si="55"/>
        <v>-</v>
      </c>
      <c r="J154" s="144">
        <v>0</v>
      </c>
      <c r="K154" s="144">
        <f t="shared" si="56"/>
        <v>0</v>
      </c>
      <c r="L154" s="145">
        <v>0</v>
      </c>
      <c r="M154" s="116">
        <v>0</v>
      </c>
      <c r="N154" s="81" t="str">
        <f t="shared" si="57"/>
        <v>-</v>
      </c>
      <c r="O154" s="194"/>
    </row>
    <row r="155" spans="1:15" s="117" customFormat="1" ht="11.1" customHeight="1" outlineLevel="1" x14ac:dyDescent="0.2">
      <c r="A155" s="119"/>
      <c r="B155" s="111"/>
      <c r="C155" s="112"/>
      <c r="D155" s="113"/>
      <c r="E155" s="201"/>
      <c r="F155" s="114" t="s">
        <v>22</v>
      </c>
      <c r="G155" s="144">
        <v>0</v>
      </c>
      <c r="H155" s="144">
        <f t="shared" si="58"/>
        <v>0</v>
      </c>
      <c r="I155" s="81" t="str">
        <f t="shared" si="55"/>
        <v>-</v>
      </c>
      <c r="J155" s="144">
        <v>0</v>
      </c>
      <c r="K155" s="144">
        <f t="shared" si="56"/>
        <v>0</v>
      </c>
      <c r="L155" s="145">
        <v>0</v>
      </c>
      <c r="M155" s="116">
        <v>0</v>
      </c>
      <c r="N155" s="81" t="str">
        <f t="shared" si="57"/>
        <v>-</v>
      </c>
      <c r="O155" s="194"/>
    </row>
    <row r="156" spans="1:15" s="117" customFormat="1" ht="11.1" customHeight="1" outlineLevel="1" x14ac:dyDescent="0.2">
      <c r="A156" s="119"/>
      <c r="B156" s="111"/>
      <c r="C156" s="112"/>
      <c r="D156" s="113"/>
      <c r="E156" s="201"/>
      <c r="F156" s="118" t="s">
        <v>45</v>
      </c>
      <c r="G156" s="144">
        <v>0</v>
      </c>
      <c r="H156" s="144">
        <f t="shared" si="58"/>
        <v>0</v>
      </c>
      <c r="I156" s="81" t="str">
        <f t="shared" si="55"/>
        <v>-</v>
      </c>
      <c r="J156" s="144">
        <v>0</v>
      </c>
      <c r="K156" s="144">
        <f t="shared" si="56"/>
        <v>0</v>
      </c>
      <c r="L156" s="145">
        <v>0</v>
      </c>
      <c r="M156" s="116">
        <v>0</v>
      </c>
      <c r="N156" s="81" t="str">
        <f t="shared" si="57"/>
        <v>-</v>
      </c>
      <c r="O156" s="194"/>
    </row>
    <row r="157" spans="1:15" s="117" customFormat="1" ht="11.1" customHeight="1" outlineLevel="1" x14ac:dyDescent="0.2">
      <c r="A157" s="119"/>
      <c r="B157" s="111"/>
      <c r="C157" s="112"/>
      <c r="D157" s="113"/>
      <c r="E157" s="201"/>
      <c r="F157" s="118" t="s">
        <v>46</v>
      </c>
      <c r="G157" s="144">
        <v>0</v>
      </c>
      <c r="H157" s="144">
        <f t="shared" si="58"/>
        <v>0</v>
      </c>
      <c r="I157" s="81" t="str">
        <f t="shared" si="55"/>
        <v>-</v>
      </c>
      <c r="J157" s="144">
        <v>0</v>
      </c>
      <c r="K157" s="144">
        <f t="shared" si="56"/>
        <v>0</v>
      </c>
      <c r="L157" s="145">
        <v>0</v>
      </c>
      <c r="M157" s="116">
        <v>0</v>
      </c>
      <c r="N157" s="81" t="str">
        <f t="shared" si="57"/>
        <v>-</v>
      </c>
      <c r="O157" s="194"/>
    </row>
    <row r="158" spans="1:15" s="117" customFormat="1" ht="3" customHeight="1" outlineLevel="1" x14ac:dyDescent="0.2">
      <c r="A158" s="119"/>
      <c r="B158" s="111"/>
      <c r="C158" s="112"/>
      <c r="D158" s="113"/>
      <c r="E158" s="113"/>
      <c r="F158" s="118"/>
      <c r="G158" s="144"/>
      <c r="H158" s="144"/>
      <c r="I158" s="81"/>
      <c r="J158" s="144"/>
      <c r="K158" s="144"/>
      <c r="L158" s="145"/>
      <c r="M158" s="116"/>
      <c r="N158" s="81"/>
      <c r="O158" s="194"/>
    </row>
    <row r="159" spans="1:15" s="117" customFormat="1" ht="11.1" customHeight="1" outlineLevel="1" x14ac:dyDescent="0.2">
      <c r="A159" s="119"/>
      <c r="B159" s="111"/>
      <c r="C159" s="112"/>
      <c r="D159" s="113"/>
      <c r="E159" s="381" t="s">
        <v>54</v>
      </c>
      <c r="F159" s="114" t="s">
        <v>15</v>
      </c>
      <c r="G159" s="261">
        <v>666498</v>
      </c>
      <c r="H159" s="144">
        <f>ROUNDUP(444065+M159,0)</f>
        <v>664867</v>
      </c>
      <c r="I159" s="81">
        <f t="shared" ref="I159:I164" si="59">IF(G159&gt;0,H159/G159*100,"-")</f>
        <v>99.755288087886242</v>
      </c>
      <c r="J159" s="144">
        <v>202910</v>
      </c>
      <c r="K159" s="144">
        <f t="shared" ref="K159:K164" si="60">L159-J159</f>
        <v>19523</v>
      </c>
      <c r="L159" s="145">
        <v>222433</v>
      </c>
      <c r="M159" s="116">
        <v>220801.47</v>
      </c>
      <c r="N159" s="81">
        <f t="shared" ref="N159:N164" si="61">IF(L159&gt;0,M159/L159*100,"-")</f>
        <v>99.266507217903822</v>
      </c>
      <c r="O159" s="194"/>
    </row>
    <row r="160" spans="1:15" s="117" customFormat="1" ht="11.1" customHeight="1" outlineLevel="1" x14ac:dyDescent="0.2">
      <c r="A160" s="119"/>
      <c r="B160" s="111"/>
      <c r="C160" s="112"/>
      <c r="D160" s="113"/>
      <c r="E160" s="381"/>
      <c r="F160" s="114" t="s">
        <v>7</v>
      </c>
      <c r="G160" s="144">
        <v>0</v>
      </c>
      <c r="H160" s="144">
        <f t="shared" ref="H160:H164" si="62">ROUNDUP(0+M160,0)</f>
        <v>0</v>
      </c>
      <c r="I160" s="81" t="str">
        <f t="shared" si="59"/>
        <v>-</v>
      </c>
      <c r="J160" s="144">
        <v>0</v>
      </c>
      <c r="K160" s="144">
        <f t="shared" si="60"/>
        <v>0</v>
      </c>
      <c r="L160" s="145">
        <v>0</v>
      </c>
      <c r="M160" s="116">
        <v>0</v>
      </c>
      <c r="N160" s="81" t="str">
        <f t="shared" si="61"/>
        <v>-</v>
      </c>
      <c r="O160" s="194"/>
    </row>
    <row r="161" spans="1:15" s="117" customFormat="1" ht="11.1" customHeight="1" outlineLevel="1" x14ac:dyDescent="0.2">
      <c r="A161" s="119"/>
      <c r="B161" s="111"/>
      <c r="C161" s="112"/>
      <c r="D161" s="113"/>
      <c r="E161" s="381"/>
      <c r="F161" s="114" t="s">
        <v>8</v>
      </c>
      <c r="G161" s="144">
        <v>0</v>
      </c>
      <c r="H161" s="144">
        <f t="shared" si="62"/>
        <v>0</v>
      </c>
      <c r="I161" s="81" t="str">
        <f t="shared" si="59"/>
        <v>-</v>
      </c>
      <c r="J161" s="144">
        <v>0</v>
      </c>
      <c r="K161" s="144">
        <f t="shared" si="60"/>
        <v>0</v>
      </c>
      <c r="L161" s="145">
        <v>0</v>
      </c>
      <c r="M161" s="116">
        <v>0</v>
      </c>
      <c r="N161" s="81" t="str">
        <f t="shared" si="61"/>
        <v>-</v>
      </c>
      <c r="O161" s="194"/>
    </row>
    <row r="162" spans="1:15" s="117" customFormat="1" ht="11.1" customHeight="1" outlineLevel="1" x14ac:dyDescent="0.2">
      <c r="A162" s="119"/>
      <c r="B162" s="111"/>
      <c r="C162" s="112"/>
      <c r="D162" s="113"/>
      <c r="E162" s="201"/>
      <c r="F162" s="114" t="s">
        <v>22</v>
      </c>
      <c r="G162" s="144">
        <v>0</v>
      </c>
      <c r="H162" s="144">
        <f t="shared" si="62"/>
        <v>0</v>
      </c>
      <c r="I162" s="81" t="str">
        <f t="shared" si="59"/>
        <v>-</v>
      </c>
      <c r="J162" s="144">
        <v>0</v>
      </c>
      <c r="K162" s="144">
        <f t="shared" si="60"/>
        <v>0</v>
      </c>
      <c r="L162" s="145">
        <v>0</v>
      </c>
      <c r="M162" s="116">
        <v>0</v>
      </c>
      <c r="N162" s="81" t="str">
        <f t="shared" si="61"/>
        <v>-</v>
      </c>
      <c r="O162" s="194"/>
    </row>
    <row r="163" spans="1:15" s="117" customFormat="1" ht="11.1" customHeight="1" outlineLevel="1" x14ac:dyDescent="0.2">
      <c r="A163" s="119"/>
      <c r="B163" s="111"/>
      <c r="C163" s="112"/>
      <c r="D163" s="113"/>
      <c r="E163" s="201"/>
      <c r="F163" s="118" t="s">
        <v>45</v>
      </c>
      <c r="G163" s="144">
        <v>0</v>
      </c>
      <c r="H163" s="144">
        <f t="shared" si="62"/>
        <v>0</v>
      </c>
      <c r="I163" s="81" t="str">
        <f t="shared" si="59"/>
        <v>-</v>
      </c>
      <c r="J163" s="144">
        <v>0</v>
      </c>
      <c r="K163" s="144">
        <f t="shared" si="60"/>
        <v>0</v>
      </c>
      <c r="L163" s="145">
        <v>0</v>
      </c>
      <c r="M163" s="116">
        <v>0</v>
      </c>
      <c r="N163" s="81" t="str">
        <f t="shared" si="61"/>
        <v>-</v>
      </c>
      <c r="O163" s="194"/>
    </row>
    <row r="164" spans="1:15" s="117" customFormat="1" ht="11.1" customHeight="1" outlineLevel="1" x14ac:dyDescent="0.2">
      <c r="A164" s="119"/>
      <c r="B164" s="111"/>
      <c r="C164" s="112"/>
      <c r="D164" s="113"/>
      <c r="E164" s="201"/>
      <c r="F164" s="118" t="s">
        <v>46</v>
      </c>
      <c r="G164" s="144">
        <v>0</v>
      </c>
      <c r="H164" s="144">
        <f t="shared" si="62"/>
        <v>0</v>
      </c>
      <c r="I164" s="81" t="str">
        <f t="shared" si="59"/>
        <v>-</v>
      </c>
      <c r="J164" s="144">
        <v>0</v>
      </c>
      <c r="K164" s="144">
        <f t="shared" si="60"/>
        <v>0</v>
      </c>
      <c r="L164" s="145">
        <v>0</v>
      </c>
      <c r="M164" s="116">
        <v>0</v>
      </c>
      <c r="N164" s="81" t="str">
        <f t="shared" si="61"/>
        <v>-</v>
      </c>
      <c r="O164" s="194"/>
    </row>
    <row r="165" spans="1:15" s="117" customFormat="1" ht="3" customHeight="1" outlineLevel="1" x14ac:dyDescent="0.2">
      <c r="A165" s="119"/>
      <c r="B165" s="111"/>
      <c r="C165" s="112"/>
      <c r="D165" s="113"/>
      <c r="E165" s="113"/>
      <c r="F165" s="118"/>
      <c r="G165" s="144"/>
      <c r="H165" s="144"/>
      <c r="I165" s="81"/>
      <c r="J165" s="144"/>
      <c r="K165" s="144"/>
      <c r="L165" s="145"/>
      <c r="M165" s="116"/>
      <c r="N165" s="81"/>
      <c r="O165" s="194"/>
    </row>
    <row r="166" spans="1:15" s="117" customFormat="1" ht="11.1" customHeight="1" outlineLevel="1" x14ac:dyDescent="0.2">
      <c r="A166" s="119"/>
      <c r="B166" s="111"/>
      <c r="C166" s="112"/>
      <c r="D166" s="113"/>
      <c r="E166" s="381" t="s">
        <v>55</v>
      </c>
      <c r="F166" s="114" t="s">
        <v>15</v>
      </c>
      <c r="G166" s="144">
        <v>0</v>
      </c>
      <c r="H166" s="144">
        <f t="shared" ref="H166" si="63">ROUNDUP(0+M166,0)</f>
        <v>0</v>
      </c>
      <c r="I166" s="81" t="str">
        <f t="shared" ref="I166:I171" si="64">IF(G166&gt;0,H166/G166*100,"-")</f>
        <v>-</v>
      </c>
      <c r="J166" s="144">
        <v>0</v>
      </c>
      <c r="K166" s="144">
        <f t="shared" ref="K166:K171" si="65">L166-J166</f>
        <v>0</v>
      </c>
      <c r="L166" s="145">
        <v>0</v>
      </c>
      <c r="M166" s="116">
        <v>0</v>
      </c>
      <c r="N166" s="81" t="str">
        <f t="shared" ref="N166:N171" si="66">IF(L166&gt;0,M166/L166*100,"-")</f>
        <v>-</v>
      </c>
      <c r="O166" s="194"/>
    </row>
    <row r="167" spans="1:15" s="117" customFormat="1" ht="11.1" customHeight="1" outlineLevel="1" x14ac:dyDescent="0.2">
      <c r="A167" s="119"/>
      <c r="B167" s="111"/>
      <c r="C167" s="112"/>
      <c r="D167" s="113"/>
      <c r="E167" s="381"/>
      <c r="F167" s="114" t="s">
        <v>7</v>
      </c>
      <c r="G167" s="261">
        <v>10284943</v>
      </c>
      <c r="H167" s="144">
        <f>ROUNDUP(7804159+M167,0)</f>
        <v>10023413</v>
      </c>
      <c r="I167" s="81">
        <f t="shared" si="64"/>
        <v>97.457156544280309</v>
      </c>
      <c r="J167" s="144">
        <v>1139663</v>
      </c>
      <c r="K167" s="144">
        <f t="shared" si="65"/>
        <v>1171121</v>
      </c>
      <c r="L167" s="145">
        <v>2310784</v>
      </c>
      <c r="M167" s="116">
        <f>2219252.27+0.95</f>
        <v>2219253.2200000002</v>
      </c>
      <c r="N167" s="81">
        <f t="shared" si="66"/>
        <v>96.038972920013293</v>
      </c>
      <c r="O167" s="194"/>
    </row>
    <row r="168" spans="1:15" s="117" customFormat="1" ht="11.1" customHeight="1" outlineLevel="1" x14ac:dyDescent="0.2">
      <c r="A168" s="119"/>
      <c r="B168" s="111"/>
      <c r="C168" s="112"/>
      <c r="D168" s="113"/>
      <c r="E168" s="381"/>
      <c r="F168" s="114" t="s">
        <v>8</v>
      </c>
      <c r="G168" s="144">
        <v>0</v>
      </c>
      <c r="H168" s="144">
        <f t="shared" ref="H168" si="67">ROUNDUP(0+M168,0)</f>
        <v>0</v>
      </c>
      <c r="I168" s="81" t="str">
        <f t="shared" si="64"/>
        <v>-</v>
      </c>
      <c r="J168" s="144">
        <v>0</v>
      </c>
      <c r="K168" s="144">
        <f t="shared" si="65"/>
        <v>0</v>
      </c>
      <c r="L168" s="145">
        <v>0</v>
      </c>
      <c r="M168" s="116">
        <v>0</v>
      </c>
      <c r="N168" s="81" t="str">
        <f t="shared" si="66"/>
        <v>-</v>
      </c>
      <c r="O168" s="194"/>
    </row>
    <row r="169" spans="1:15" s="117" customFormat="1" ht="11.1" customHeight="1" outlineLevel="1" x14ac:dyDescent="0.2">
      <c r="A169" s="119"/>
      <c r="B169" s="111"/>
      <c r="C169" s="112"/>
      <c r="D169" s="113"/>
      <c r="E169" s="201"/>
      <c r="F169" s="114" t="s">
        <v>22</v>
      </c>
      <c r="G169" s="261">
        <f>667174</f>
        <v>667174</v>
      </c>
      <c r="H169" s="144">
        <f>ROUNDUP(535839+M169,0)</f>
        <v>653329</v>
      </c>
      <c r="I169" s="81">
        <f t="shared" si="64"/>
        <v>97.924829204975012</v>
      </c>
      <c r="J169" s="144">
        <v>60337</v>
      </c>
      <c r="K169" s="144">
        <f t="shared" si="65"/>
        <v>61998</v>
      </c>
      <c r="L169" s="145">
        <v>122335</v>
      </c>
      <c r="M169" s="116">
        <v>117489.94</v>
      </c>
      <c r="N169" s="81">
        <f t="shared" si="66"/>
        <v>96.039514448032051</v>
      </c>
      <c r="O169" s="194"/>
    </row>
    <row r="170" spans="1:15" s="117" customFormat="1" ht="11.1" customHeight="1" outlineLevel="1" x14ac:dyDescent="0.2">
      <c r="A170" s="119"/>
      <c r="B170" s="111"/>
      <c r="C170" s="112"/>
      <c r="D170" s="113"/>
      <c r="E170" s="201"/>
      <c r="F170" s="118" t="s">
        <v>45</v>
      </c>
      <c r="G170" s="144">
        <v>0</v>
      </c>
      <c r="H170" s="144">
        <f t="shared" ref="H170:H171" si="68">ROUNDUP(0+M170,0)</f>
        <v>0</v>
      </c>
      <c r="I170" s="81" t="str">
        <f t="shared" si="64"/>
        <v>-</v>
      </c>
      <c r="J170" s="144">
        <v>0</v>
      </c>
      <c r="K170" s="144">
        <f t="shared" si="65"/>
        <v>0</v>
      </c>
      <c r="L170" s="145">
        <v>0</v>
      </c>
      <c r="M170" s="116">
        <v>0</v>
      </c>
      <c r="N170" s="81" t="str">
        <f t="shared" si="66"/>
        <v>-</v>
      </c>
      <c r="O170" s="194"/>
    </row>
    <row r="171" spans="1:15" s="117" customFormat="1" ht="11.1" customHeight="1" outlineLevel="1" x14ac:dyDescent="0.2">
      <c r="A171" s="119"/>
      <c r="B171" s="111"/>
      <c r="C171" s="112"/>
      <c r="D171" s="113"/>
      <c r="E171" s="201"/>
      <c r="F171" s="118" t="s">
        <v>46</v>
      </c>
      <c r="G171" s="144">
        <v>0</v>
      </c>
      <c r="H171" s="144">
        <f t="shared" si="68"/>
        <v>0</v>
      </c>
      <c r="I171" s="81" t="str">
        <f t="shared" si="64"/>
        <v>-</v>
      </c>
      <c r="J171" s="144">
        <v>0</v>
      </c>
      <c r="K171" s="144">
        <f t="shared" si="65"/>
        <v>0</v>
      </c>
      <c r="L171" s="145">
        <v>0</v>
      </c>
      <c r="M171" s="116">
        <v>0</v>
      </c>
      <c r="N171" s="81" t="str">
        <f t="shared" si="66"/>
        <v>-</v>
      </c>
      <c r="O171" s="194"/>
    </row>
    <row r="172" spans="1:15" s="117" customFormat="1" ht="3" customHeight="1" outlineLevel="1" x14ac:dyDescent="0.2">
      <c r="A172" s="119"/>
      <c r="B172" s="111"/>
      <c r="C172" s="112"/>
      <c r="D172" s="316"/>
      <c r="E172" s="201"/>
      <c r="F172" s="118"/>
      <c r="G172" s="144"/>
      <c r="H172" s="144"/>
      <c r="I172" s="81"/>
      <c r="J172" s="144"/>
      <c r="K172" s="144"/>
      <c r="L172" s="145"/>
      <c r="M172" s="116"/>
      <c r="N172" s="81"/>
      <c r="O172" s="195"/>
    </row>
    <row r="173" spans="1:15" s="95" customFormat="1" ht="3" customHeight="1" outlineLevel="1" x14ac:dyDescent="0.2">
      <c r="A173" s="154"/>
      <c r="B173" s="72"/>
      <c r="C173" s="73"/>
      <c r="D173" s="71"/>
      <c r="E173" s="71"/>
      <c r="F173" s="72"/>
      <c r="G173" s="137"/>
      <c r="H173" s="137"/>
      <c r="I173" s="75"/>
      <c r="J173" s="137"/>
      <c r="K173" s="137"/>
      <c r="L173" s="138"/>
      <c r="M173" s="74"/>
      <c r="N173" s="75"/>
      <c r="O173" s="364" t="s">
        <v>503</v>
      </c>
    </row>
    <row r="174" spans="1:15" s="95" customFormat="1" ht="11.1" customHeight="1" outlineLevel="1" x14ac:dyDescent="0.2">
      <c r="A174" s="369" t="s">
        <v>87</v>
      </c>
      <c r="B174" s="76" t="s">
        <v>9</v>
      </c>
      <c r="C174" s="77" t="s">
        <v>56</v>
      </c>
      <c r="D174" s="360" t="s">
        <v>367</v>
      </c>
      <c r="E174" s="360" t="s">
        <v>55</v>
      </c>
      <c r="F174" s="78" t="s">
        <v>28</v>
      </c>
      <c r="G174" s="139">
        <f>SUM(G175:G180)</f>
        <v>384147</v>
      </c>
      <c r="H174" s="139">
        <f>SUM(H175:H180)</f>
        <v>384147</v>
      </c>
      <c r="I174" s="39">
        <f t="shared" ref="I174:I180" si="69">IF(G174&gt;0,H174/G174*100,"-")</f>
        <v>100</v>
      </c>
      <c r="J174" s="139">
        <f>SUM(J175:J180)</f>
        <v>0</v>
      </c>
      <c r="K174" s="139">
        <f>SUM(K175:K180)</f>
        <v>384147</v>
      </c>
      <c r="L174" s="139">
        <f>SUM(L175:L180)</f>
        <v>384147</v>
      </c>
      <c r="M174" s="38">
        <f>SUM(M175:M180)</f>
        <v>384146.05</v>
      </c>
      <c r="N174" s="39">
        <f t="shared" ref="N174:N180" si="70">IF(L174&gt;0,M174/L174*100,"-")</f>
        <v>99.999752698836645</v>
      </c>
      <c r="O174" s="361"/>
    </row>
    <row r="175" spans="1:15" s="95" customFormat="1" ht="11.1" customHeight="1" outlineLevel="1" x14ac:dyDescent="0.2">
      <c r="A175" s="369"/>
      <c r="B175" s="76" t="s">
        <v>10</v>
      </c>
      <c r="C175" s="77" t="s">
        <v>417</v>
      </c>
      <c r="D175" s="360"/>
      <c r="E175" s="360"/>
      <c r="F175" s="79" t="s">
        <v>15</v>
      </c>
      <c r="G175" s="140">
        <v>0</v>
      </c>
      <c r="H175" s="140">
        <f t="shared" ref="H175:H180" si="71">ROUNDUP(0+M175,0)</f>
        <v>0</v>
      </c>
      <c r="I175" s="81" t="str">
        <f t="shared" si="69"/>
        <v>-</v>
      </c>
      <c r="J175" s="140">
        <v>0</v>
      </c>
      <c r="K175" s="140">
        <f t="shared" ref="K175:K180" si="72">L175-J175</f>
        <v>0</v>
      </c>
      <c r="L175" s="140">
        <v>0</v>
      </c>
      <c r="M175" s="80">
        <v>0</v>
      </c>
      <c r="N175" s="81" t="str">
        <f t="shared" si="70"/>
        <v>-</v>
      </c>
      <c r="O175" s="361"/>
    </row>
    <row r="176" spans="1:15" s="95" customFormat="1" ht="11.1" customHeight="1" outlineLevel="1" x14ac:dyDescent="0.2">
      <c r="A176" s="369"/>
      <c r="B176" s="76" t="s">
        <v>11</v>
      </c>
      <c r="C176" s="82" t="s">
        <v>418</v>
      </c>
      <c r="D176" s="360"/>
      <c r="E176" s="360"/>
      <c r="F176" s="79" t="s">
        <v>7</v>
      </c>
      <c r="G176" s="140">
        <v>326524</v>
      </c>
      <c r="H176" s="140">
        <f t="shared" si="71"/>
        <v>326524</v>
      </c>
      <c r="I176" s="81">
        <f t="shared" si="69"/>
        <v>100</v>
      </c>
      <c r="J176" s="140">
        <v>0</v>
      </c>
      <c r="K176" s="140">
        <f t="shared" si="72"/>
        <v>326524</v>
      </c>
      <c r="L176" s="140">
        <v>326524</v>
      </c>
      <c r="M176" s="83">
        <f>326524.95-0.95</f>
        <v>326524</v>
      </c>
      <c r="N176" s="81">
        <f t="shared" si="70"/>
        <v>100</v>
      </c>
      <c r="O176" s="361"/>
    </row>
    <row r="177" spans="1:15" s="95" customFormat="1" ht="11.1" customHeight="1" outlineLevel="1" x14ac:dyDescent="0.2">
      <c r="A177" s="119"/>
      <c r="B177" s="76" t="s">
        <v>12</v>
      </c>
      <c r="C177" s="82" t="s">
        <v>419</v>
      </c>
      <c r="D177" s="110"/>
      <c r="E177" s="110"/>
      <c r="F177" s="79" t="s">
        <v>8</v>
      </c>
      <c r="G177" s="140">
        <v>0</v>
      </c>
      <c r="H177" s="140">
        <f t="shared" si="71"/>
        <v>0</v>
      </c>
      <c r="I177" s="81" t="str">
        <f t="shared" si="69"/>
        <v>-</v>
      </c>
      <c r="J177" s="140">
        <v>0</v>
      </c>
      <c r="K177" s="140">
        <f t="shared" si="72"/>
        <v>0</v>
      </c>
      <c r="L177" s="140">
        <v>0</v>
      </c>
      <c r="M177" s="80">
        <v>0</v>
      </c>
      <c r="N177" s="81" t="str">
        <f t="shared" si="70"/>
        <v>-</v>
      </c>
      <c r="O177" s="361"/>
    </row>
    <row r="178" spans="1:15" s="95" customFormat="1" ht="11.1" customHeight="1" outlineLevel="1" x14ac:dyDescent="0.2">
      <c r="A178" s="119"/>
      <c r="B178" s="76"/>
      <c r="C178" s="82" t="s">
        <v>420</v>
      </c>
      <c r="D178" s="110"/>
      <c r="E178" s="110"/>
      <c r="F178" s="79" t="s">
        <v>22</v>
      </c>
      <c r="G178" s="140">
        <v>57623</v>
      </c>
      <c r="H178" s="140">
        <f t="shared" si="71"/>
        <v>57623</v>
      </c>
      <c r="I178" s="81">
        <f t="shared" si="69"/>
        <v>100</v>
      </c>
      <c r="J178" s="140">
        <v>0</v>
      </c>
      <c r="K178" s="140">
        <f t="shared" si="72"/>
        <v>57623</v>
      </c>
      <c r="L178" s="140">
        <v>57623</v>
      </c>
      <c r="M178" s="80">
        <v>57622.05</v>
      </c>
      <c r="N178" s="81">
        <f t="shared" si="70"/>
        <v>99.998351352758448</v>
      </c>
      <c r="O178" s="361"/>
    </row>
    <row r="179" spans="1:15" s="95" customFormat="1" ht="11.1" customHeight="1" outlineLevel="1" x14ac:dyDescent="0.2">
      <c r="A179" s="119"/>
      <c r="B179" s="76"/>
      <c r="C179" s="82" t="s">
        <v>421</v>
      </c>
      <c r="D179" s="110"/>
      <c r="E179" s="110"/>
      <c r="F179" s="107" t="s">
        <v>45</v>
      </c>
      <c r="G179" s="140">
        <v>0</v>
      </c>
      <c r="H179" s="140">
        <f t="shared" si="71"/>
        <v>0</v>
      </c>
      <c r="I179" s="81" t="str">
        <f t="shared" si="69"/>
        <v>-</v>
      </c>
      <c r="J179" s="140">
        <v>0</v>
      </c>
      <c r="K179" s="140">
        <f t="shared" si="72"/>
        <v>0</v>
      </c>
      <c r="L179" s="140">
        <v>0</v>
      </c>
      <c r="M179" s="80">
        <v>0</v>
      </c>
      <c r="N179" s="81" t="str">
        <f t="shared" si="70"/>
        <v>-</v>
      </c>
      <c r="O179" s="361"/>
    </row>
    <row r="180" spans="1:15" s="95" customFormat="1" ht="11.1" customHeight="1" outlineLevel="1" x14ac:dyDescent="0.2">
      <c r="A180" s="119"/>
      <c r="B180" s="76" t="s">
        <v>23</v>
      </c>
      <c r="C180" s="82" t="s">
        <v>422</v>
      </c>
      <c r="D180" s="110"/>
      <c r="E180" s="110"/>
      <c r="F180" s="107" t="s">
        <v>46</v>
      </c>
      <c r="G180" s="140">
        <v>0</v>
      </c>
      <c r="H180" s="140">
        <f t="shared" si="71"/>
        <v>0</v>
      </c>
      <c r="I180" s="81" t="str">
        <f t="shared" si="69"/>
        <v>-</v>
      </c>
      <c r="J180" s="140">
        <v>0</v>
      </c>
      <c r="K180" s="140">
        <f t="shared" si="72"/>
        <v>0</v>
      </c>
      <c r="L180" s="140">
        <v>0</v>
      </c>
      <c r="M180" s="80">
        <v>0</v>
      </c>
      <c r="N180" s="81" t="str">
        <f t="shared" si="70"/>
        <v>-</v>
      </c>
      <c r="O180" s="361"/>
    </row>
    <row r="181" spans="1:15" s="95" customFormat="1" ht="11.1" customHeight="1" outlineLevel="1" x14ac:dyDescent="0.2">
      <c r="A181" s="119"/>
      <c r="B181" s="76"/>
      <c r="C181" s="82" t="s">
        <v>423</v>
      </c>
      <c r="D181" s="110"/>
      <c r="E181" s="110"/>
      <c r="F181" s="107"/>
      <c r="G181" s="141"/>
      <c r="H181" s="141"/>
      <c r="I181" s="81"/>
      <c r="J181" s="141"/>
      <c r="K181" s="141"/>
      <c r="L181" s="140"/>
      <c r="M181" s="108"/>
      <c r="N181" s="81"/>
      <c r="O181" s="361"/>
    </row>
    <row r="182" spans="1:15" s="95" customFormat="1" ht="11.1" customHeight="1" outlineLevel="1" x14ac:dyDescent="0.2">
      <c r="A182" s="119"/>
      <c r="B182" s="76"/>
      <c r="C182" s="82" t="s">
        <v>424</v>
      </c>
      <c r="D182" s="110"/>
      <c r="E182" s="110"/>
      <c r="F182" s="107"/>
      <c r="G182" s="141"/>
      <c r="H182" s="141"/>
      <c r="I182" s="81"/>
      <c r="J182" s="141"/>
      <c r="K182" s="141"/>
      <c r="L182" s="140"/>
      <c r="M182" s="108"/>
      <c r="N182" s="81"/>
      <c r="O182" s="361"/>
    </row>
    <row r="183" spans="1:15" s="95" customFormat="1" ht="3" customHeight="1" outlineLevel="1" x14ac:dyDescent="0.2">
      <c r="A183" s="120"/>
      <c r="B183" s="85"/>
      <c r="C183" s="86"/>
      <c r="D183" s="84"/>
      <c r="E183" s="84"/>
      <c r="F183" s="85"/>
      <c r="G183" s="142"/>
      <c r="H183" s="142"/>
      <c r="I183" s="88"/>
      <c r="J183" s="142"/>
      <c r="K183" s="142"/>
      <c r="L183" s="143"/>
      <c r="M183" s="87"/>
      <c r="N183" s="88"/>
      <c r="O183" s="365"/>
    </row>
    <row r="184" spans="1:15" ht="3" customHeight="1" outlineLevel="1" x14ac:dyDescent="0.2">
      <c r="A184" s="59"/>
      <c r="B184" s="60"/>
      <c r="C184" s="61"/>
      <c r="D184" s="62"/>
      <c r="E184" s="62"/>
      <c r="F184" s="59"/>
      <c r="G184" s="133"/>
      <c r="H184" s="133"/>
      <c r="I184" s="59"/>
      <c r="J184" s="133"/>
      <c r="K184" s="133"/>
      <c r="L184" s="133"/>
      <c r="M184" s="63"/>
      <c r="N184" s="64"/>
      <c r="O184" s="346"/>
    </row>
    <row r="185" spans="1:15" ht="11.45" customHeight="1" outlineLevel="1" x14ac:dyDescent="0.2">
      <c r="A185" s="28" t="s">
        <v>61</v>
      </c>
      <c r="B185" s="376" t="s">
        <v>62</v>
      </c>
      <c r="C185" s="377"/>
      <c r="D185" s="29"/>
      <c r="E185" s="29"/>
      <c r="F185" s="30"/>
      <c r="G185" s="134">
        <f>SUM(G186:G191)</f>
        <v>7907042</v>
      </c>
      <c r="H185" s="134">
        <f>SUM(H186:H191)</f>
        <v>1605585</v>
      </c>
      <c r="I185" s="32">
        <f>IF(G185&gt;0,H185/G185*100,"-")</f>
        <v>20.305760358930687</v>
      </c>
      <c r="J185" s="134">
        <f>SUM(J186:J191)</f>
        <v>554896</v>
      </c>
      <c r="K185" s="134">
        <f>SUM(K186:K191)</f>
        <v>744150</v>
      </c>
      <c r="L185" s="134">
        <f>SUM(L186:L191)</f>
        <v>1299046</v>
      </c>
      <c r="M185" s="31">
        <f>SUM(M186:M191)</f>
        <v>916591.50000000012</v>
      </c>
      <c r="N185" s="32">
        <f t="shared" ref="N185:N191" si="73">IF(L185&gt;0,M185/L185*100,"-")</f>
        <v>70.558817778585208</v>
      </c>
      <c r="O185" s="347"/>
    </row>
    <row r="186" spans="1:15" ht="11.45" customHeight="1" outlineLevel="1" x14ac:dyDescent="0.2">
      <c r="A186" s="30"/>
      <c r="B186" s="33"/>
      <c r="C186" s="34"/>
      <c r="D186" s="29"/>
      <c r="E186" s="29"/>
      <c r="F186" s="35" t="s">
        <v>15</v>
      </c>
      <c r="G186" s="135">
        <f>G195+G204+G213+G222+G232+G242+G251+G260</f>
        <v>0</v>
      </c>
      <c r="H186" s="135">
        <f>H195+H204+H213+H222+H232+H242+H251+H260</f>
        <v>0</v>
      </c>
      <c r="I186" s="37" t="str">
        <f t="shared" ref="I186:I191" si="74">IF(G186&gt;0,H186/G186*100,"-")</f>
        <v>-</v>
      </c>
      <c r="J186" s="135">
        <f>J195+J204+J213+J222+J232+J242+J251+J260</f>
        <v>0</v>
      </c>
      <c r="K186" s="135">
        <f>K195+K204+K213+K222+K232+K242+K251+K260</f>
        <v>0</v>
      </c>
      <c r="L186" s="135">
        <f>L195+L204+L213+L222+L232+L242+L251+L260</f>
        <v>0</v>
      </c>
      <c r="M186" s="36">
        <f>M195+M204+M213+M222+M232+M242+M251+M260</f>
        <v>0</v>
      </c>
      <c r="N186" s="37" t="str">
        <f t="shared" si="73"/>
        <v>-</v>
      </c>
      <c r="O186" s="347"/>
    </row>
    <row r="187" spans="1:15" ht="11.45" customHeight="1" outlineLevel="1" x14ac:dyDescent="0.2">
      <c r="A187" s="30"/>
      <c r="B187" s="33"/>
      <c r="C187" s="34"/>
      <c r="D187" s="29"/>
      <c r="E187" s="29"/>
      <c r="F187" s="35" t="s">
        <v>7</v>
      </c>
      <c r="G187" s="135">
        <f t="shared" ref="G187:H191" si="75">G196+G205+G214+G223+G233+G243+G252+G261</f>
        <v>7027964</v>
      </c>
      <c r="H187" s="135">
        <f t="shared" si="75"/>
        <v>1567773</v>
      </c>
      <c r="I187" s="37">
        <f t="shared" si="74"/>
        <v>22.307641302658922</v>
      </c>
      <c r="J187" s="135">
        <f t="shared" ref="J187:M187" si="76">J196+J205+J214+J223+J233+J243+J252+J261</f>
        <v>554896</v>
      </c>
      <c r="K187" s="135">
        <f t="shared" si="76"/>
        <v>655539</v>
      </c>
      <c r="L187" s="135">
        <f t="shared" si="76"/>
        <v>1210435</v>
      </c>
      <c r="M187" s="36">
        <f t="shared" si="76"/>
        <v>878782.45000000007</v>
      </c>
      <c r="N187" s="37">
        <f t="shared" si="73"/>
        <v>72.600548563119872</v>
      </c>
      <c r="O187" s="347"/>
    </row>
    <row r="188" spans="1:15" ht="11.45" customHeight="1" outlineLevel="1" x14ac:dyDescent="0.2">
      <c r="A188" s="30"/>
      <c r="B188" s="33"/>
      <c r="C188" s="34"/>
      <c r="D188" s="29"/>
      <c r="E188" s="29"/>
      <c r="F188" s="35" t="s">
        <v>8</v>
      </c>
      <c r="G188" s="135">
        <f t="shared" si="75"/>
        <v>0</v>
      </c>
      <c r="H188" s="135">
        <f t="shared" si="75"/>
        <v>0</v>
      </c>
      <c r="I188" s="37" t="str">
        <f t="shared" si="74"/>
        <v>-</v>
      </c>
      <c r="J188" s="135">
        <f t="shared" ref="J188:M188" si="77">J197+J206+J215+J224+J234+J244+J253+J262</f>
        <v>0</v>
      </c>
      <c r="K188" s="135">
        <f t="shared" si="77"/>
        <v>0</v>
      </c>
      <c r="L188" s="135">
        <f t="shared" si="77"/>
        <v>0</v>
      </c>
      <c r="M188" s="36">
        <f t="shared" si="77"/>
        <v>0</v>
      </c>
      <c r="N188" s="37" t="str">
        <f t="shared" si="73"/>
        <v>-</v>
      </c>
      <c r="O188" s="347"/>
    </row>
    <row r="189" spans="1:15" ht="11.45" customHeight="1" outlineLevel="1" x14ac:dyDescent="0.2">
      <c r="A189" s="30"/>
      <c r="B189" s="33"/>
      <c r="C189" s="34"/>
      <c r="D189" s="29"/>
      <c r="E189" s="29"/>
      <c r="F189" s="35" t="s">
        <v>22</v>
      </c>
      <c r="G189" s="135">
        <f t="shared" si="75"/>
        <v>879078</v>
      </c>
      <c r="H189" s="135">
        <f t="shared" si="75"/>
        <v>37812</v>
      </c>
      <c r="I189" s="37">
        <f t="shared" si="74"/>
        <v>4.3013247971169797</v>
      </c>
      <c r="J189" s="135">
        <f t="shared" ref="J189:M189" si="78">J198+J207+J216+J225+J235+J245+J254+J263</f>
        <v>0</v>
      </c>
      <c r="K189" s="135">
        <f t="shared" si="78"/>
        <v>88611</v>
      </c>
      <c r="L189" s="135">
        <f t="shared" si="78"/>
        <v>88611</v>
      </c>
      <c r="M189" s="36">
        <f t="shared" si="78"/>
        <v>37809.049999999996</v>
      </c>
      <c r="N189" s="37">
        <f t="shared" si="73"/>
        <v>42.6685738790895</v>
      </c>
      <c r="O189" s="347"/>
    </row>
    <row r="190" spans="1:15" ht="11.45" customHeight="1" outlineLevel="1" x14ac:dyDescent="0.2">
      <c r="A190" s="30"/>
      <c r="B190" s="33"/>
      <c r="C190" s="34"/>
      <c r="D190" s="29"/>
      <c r="E190" s="29"/>
      <c r="F190" s="35" t="s">
        <v>45</v>
      </c>
      <c r="G190" s="135">
        <f t="shared" si="75"/>
        <v>0</v>
      </c>
      <c r="H190" s="135">
        <f t="shared" si="75"/>
        <v>0</v>
      </c>
      <c r="I190" s="37" t="str">
        <f t="shared" si="74"/>
        <v>-</v>
      </c>
      <c r="J190" s="135">
        <f t="shared" ref="J190:M190" si="79">J199+J208+J217+J226+J236+J246+J255+J264</f>
        <v>0</v>
      </c>
      <c r="K190" s="135">
        <f t="shared" si="79"/>
        <v>0</v>
      </c>
      <c r="L190" s="135">
        <f t="shared" si="79"/>
        <v>0</v>
      </c>
      <c r="M190" s="36">
        <f t="shared" si="79"/>
        <v>0</v>
      </c>
      <c r="N190" s="37" t="str">
        <f t="shared" si="73"/>
        <v>-</v>
      </c>
      <c r="O190" s="347"/>
    </row>
    <row r="191" spans="1:15" ht="11.45" customHeight="1" outlineLevel="1" x14ac:dyDescent="0.2">
      <c r="A191" s="30"/>
      <c r="B191" s="33"/>
      <c r="C191" s="34"/>
      <c r="D191" s="29"/>
      <c r="E191" s="29"/>
      <c r="F191" s="35" t="s">
        <v>46</v>
      </c>
      <c r="G191" s="135">
        <f t="shared" si="75"/>
        <v>0</v>
      </c>
      <c r="H191" s="135">
        <f t="shared" si="75"/>
        <v>0</v>
      </c>
      <c r="I191" s="37" t="str">
        <f t="shared" si="74"/>
        <v>-</v>
      </c>
      <c r="J191" s="135">
        <f t="shared" ref="J191:M191" si="80">J200+J209+J218+J227+J237+J247+J256+J265</f>
        <v>0</v>
      </c>
      <c r="K191" s="135">
        <f t="shared" si="80"/>
        <v>0</v>
      </c>
      <c r="L191" s="135">
        <f t="shared" si="80"/>
        <v>0</v>
      </c>
      <c r="M191" s="36">
        <f t="shared" si="80"/>
        <v>0</v>
      </c>
      <c r="N191" s="37" t="str">
        <f t="shared" si="73"/>
        <v>-</v>
      </c>
      <c r="O191" s="347"/>
    </row>
    <row r="192" spans="1:15" ht="3" customHeight="1" outlineLevel="1" x14ac:dyDescent="0.2">
      <c r="A192" s="65"/>
      <c r="B192" s="66"/>
      <c r="C192" s="67"/>
      <c r="D192" s="68"/>
      <c r="E192" s="68"/>
      <c r="F192" s="65"/>
      <c r="G192" s="136"/>
      <c r="H192" s="136"/>
      <c r="I192" s="70"/>
      <c r="J192" s="136"/>
      <c r="K192" s="136"/>
      <c r="L192" s="136"/>
      <c r="M192" s="69"/>
      <c r="N192" s="70"/>
      <c r="O192" s="348"/>
    </row>
    <row r="193" spans="1:15" s="95" customFormat="1" ht="3" customHeight="1" outlineLevel="1" x14ac:dyDescent="0.2">
      <c r="A193" s="154"/>
      <c r="B193" s="72"/>
      <c r="C193" s="73"/>
      <c r="D193" s="71"/>
      <c r="E193" s="71"/>
      <c r="F193" s="72"/>
      <c r="G193" s="137"/>
      <c r="H193" s="137"/>
      <c r="I193" s="75"/>
      <c r="J193" s="137"/>
      <c r="K193" s="137"/>
      <c r="L193" s="138"/>
      <c r="M193" s="74"/>
      <c r="N193" s="75"/>
      <c r="O193" s="349"/>
    </row>
    <row r="194" spans="1:15" s="95" customFormat="1" ht="11.1" customHeight="1" outlineLevel="1" x14ac:dyDescent="0.2">
      <c r="A194" s="369" t="s">
        <v>88</v>
      </c>
      <c r="B194" s="76" t="s">
        <v>9</v>
      </c>
      <c r="C194" s="77" t="s">
        <v>56</v>
      </c>
      <c r="D194" s="360" t="s">
        <v>355</v>
      </c>
      <c r="E194" s="360" t="s">
        <v>55</v>
      </c>
      <c r="F194" s="78" t="s">
        <v>28</v>
      </c>
      <c r="G194" s="139">
        <f>SUM(G195:G200)</f>
        <v>476522</v>
      </c>
      <c r="H194" s="139">
        <f>SUM(H195:H200)</f>
        <v>34622</v>
      </c>
      <c r="I194" s="39">
        <f t="shared" ref="I194:I200" si="81">IF(G194&gt;0,H194/G194*100,"-")</f>
        <v>7.2655617159333676</v>
      </c>
      <c r="J194" s="139">
        <f>SUM(J195:J200)</f>
        <v>0</v>
      </c>
      <c r="K194" s="139">
        <f>SUM(K195:K200)</f>
        <v>57642</v>
      </c>
      <c r="L194" s="139">
        <f>SUM(L195:L200)</f>
        <v>57642</v>
      </c>
      <c r="M194" s="38">
        <f>SUM(M195:M200)</f>
        <v>34620.949999999997</v>
      </c>
      <c r="N194" s="39">
        <f t="shared" ref="N194:N200" si="82">IF(L194&gt;0,M194/L194*100,"-")</f>
        <v>60.062020748759579</v>
      </c>
      <c r="O194" s="361" t="s">
        <v>504</v>
      </c>
    </row>
    <row r="195" spans="1:15" s="95" customFormat="1" ht="11.1" customHeight="1" outlineLevel="1" x14ac:dyDescent="0.2">
      <c r="A195" s="369"/>
      <c r="B195" s="76" t="s">
        <v>10</v>
      </c>
      <c r="C195" s="77" t="s">
        <v>67</v>
      </c>
      <c r="D195" s="360"/>
      <c r="E195" s="360"/>
      <c r="F195" s="79" t="s">
        <v>15</v>
      </c>
      <c r="G195" s="140">
        <v>0</v>
      </c>
      <c r="H195" s="140">
        <f t="shared" ref="H195:H200" si="83">ROUNDUP(0+M195,0)</f>
        <v>0</v>
      </c>
      <c r="I195" s="81" t="str">
        <f t="shared" si="81"/>
        <v>-</v>
      </c>
      <c r="J195" s="140">
        <v>0</v>
      </c>
      <c r="K195" s="140">
        <f t="shared" ref="K195:K200" si="84">L195-J195</f>
        <v>0</v>
      </c>
      <c r="L195" s="140">
        <v>0</v>
      </c>
      <c r="M195" s="80">
        <v>0</v>
      </c>
      <c r="N195" s="81" t="str">
        <f t="shared" si="82"/>
        <v>-</v>
      </c>
      <c r="O195" s="361"/>
    </row>
    <row r="196" spans="1:15" s="95" customFormat="1" ht="11.1" customHeight="1" outlineLevel="1" x14ac:dyDescent="0.2">
      <c r="A196" s="369"/>
      <c r="B196" s="76" t="s">
        <v>11</v>
      </c>
      <c r="C196" s="82" t="s">
        <v>350</v>
      </c>
      <c r="D196" s="360"/>
      <c r="E196" s="360"/>
      <c r="F196" s="79" t="s">
        <v>7</v>
      </c>
      <c r="G196" s="140">
        <v>405043</v>
      </c>
      <c r="H196" s="140">
        <f t="shared" si="83"/>
        <v>29428</v>
      </c>
      <c r="I196" s="81">
        <f t="shared" si="81"/>
        <v>7.2654014512039469</v>
      </c>
      <c r="J196" s="140">
        <v>0</v>
      </c>
      <c r="K196" s="140">
        <f t="shared" si="84"/>
        <v>48995</v>
      </c>
      <c r="L196" s="140">
        <v>48995</v>
      </c>
      <c r="M196" s="83">
        <v>29427.82</v>
      </c>
      <c r="N196" s="81">
        <f t="shared" si="82"/>
        <v>60.062904377997754</v>
      </c>
      <c r="O196" s="361"/>
    </row>
    <row r="197" spans="1:15" s="95" customFormat="1" ht="11.1" customHeight="1" outlineLevel="1" x14ac:dyDescent="0.2">
      <c r="A197" s="119"/>
      <c r="B197" s="76"/>
      <c r="C197" s="82" t="s">
        <v>351</v>
      </c>
      <c r="D197" s="110"/>
      <c r="E197" s="110"/>
      <c r="F197" s="79" t="s">
        <v>8</v>
      </c>
      <c r="G197" s="140">
        <v>0</v>
      </c>
      <c r="H197" s="140">
        <f t="shared" si="83"/>
        <v>0</v>
      </c>
      <c r="I197" s="81" t="str">
        <f t="shared" si="81"/>
        <v>-</v>
      </c>
      <c r="J197" s="140">
        <v>0</v>
      </c>
      <c r="K197" s="140">
        <f t="shared" si="84"/>
        <v>0</v>
      </c>
      <c r="L197" s="140">
        <v>0</v>
      </c>
      <c r="M197" s="80">
        <v>0</v>
      </c>
      <c r="N197" s="81" t="str">
        <f t="shared" si="82"/>
        <v>-</v>
      </c>
      <c r="O197" s="361"/>
    </row>
    <row r="198" spans="1:15" s="95" customFormat="1" ht="11.1" customHeight="1" outlineLevel="1" x14ac:dyDescent="0.2">
      <c r="A198" s="119"/>
      <c r="B198" s="76" t="s">
        <v>12</v>
      </c>
      <c r="C198" s="82" t="s">
        <v>352</v>
      </c>
      <c r="D198" s="110"/>
      <c r="E198" s="110"/>
      <c r="F198" s="79" t="s">
        <v>22</v>
      </c>
      <c r="G198" s="140">
        <v>71479</v>
      </c>
      <c r="H198" s="140">
        <f t="shared" si="83"/>
        <v>5194</v>
      </c>
      <c r="I198" s="81">
        <f t="shared" si="81"/>
        <v>7.2664698722701777</v>
      </c>
      <c r="J198" s="140">
        <v>0</v>
      </c>
      <c r="K198" s="140">
        <f t="shared" si="84"/>
        <v>8647</v>
      </c>
      <c r="L198" s="140">
        <v>8647</v>
      </c>
      <c r="M198" s="80">
        <v>5193.13</v>
      </c>
      <c r="N198" s="81">
        <f t="shared" si="82"/>
        <v>60.057013993292472</v>
      </c>
      <c r="O198" s="361"/>
    </row>
    <row r="199" spans="1:15" s="95" customFormat="1" ht="11.1" customHeight="1" outlineLevel="1" x14ac:dyDescent="0.2">
      <c r="A199" s="119"/>
      <c r="B199" s="76" t="s">
        <v>23</v>
      </c>
      <c r="C199" s="82" t="s">
        <v>353</v>
      </c>
      <c r="D199" s="110"/>
      <c r="E199" s="110"/>
      <c r="F199" s="107" t="s">
        <v>45</v>
      </c>
      <c r="G199" s="140">
        <v>0</v>
      </c>
      <c r="H199" s="140">
        <f t="shared" si="83"/>
        <v>0</v>
      </c>
      <c r="I199" s="81" t="str">
        <f t="shared" si="81"/>
        <v>-</v>
      </c>
      <c r="J199" s="140">
        <v>0</v>
      </c>
      <c r="K199" s="140">
        <f t="shared" si="84"/>
        <v>0</v>
      </c>
      <c r="L199" s="140">
        <v>0</v>
      </c>
      <c r="M199" s="80">
        <v>0</v>
      </c>
      <c r="N199" s="81" t="str">
        <f t="shared" si="82"/>
        <v>-</v>
      </c>
      <c r="O199" s="361"/>
    </row>
    <row r="200" spans="1:15" s="95" customFormat="1" ht="11.1" customHeight="1" outlineLevel="1" x14ac:dyDescent="0.2">
      <c r="A200" s="119"/>
      <c r="B200" s="76"/>
      <c r="C200" s="82" t="s">
        <v>354</v>
      </c>
      <c r="D200" s="110"/>
      <c r="E200" s="110"/>
      <c r="F200" s="107" t="s">
        <v>46</v>
      </c>
      <c r="G200" s="140">
        <v>0</v>
      </c>
      <c r="H200" s="140">
        <f t="shared" si="83"/>
        <v>0</v>
      </c>
      <c r="I200" s="81" t="str">
        <f t="shared" si="81"/>
        <v>-</v>
      </c>
      <c r="J200" s="140">
        <v>0</v>
      </c>
      <c r="K200" s="140">
        <f t="shared" si="84"/>
        <v>0</v>
      </c>
      <c r="L200" s="140">
        <v>0</v>
      </c>
      <c r="M200" s="80">
        <v>0</v>
      </c>
      <c r="N200" s="81" t="str">
        <f t="shared" si="82"/>
        <v>-</v>
      </c>
      <c r="O200" s="361"/>
    </row>
    <row r="201" spans="1:15" s="95" customFormat="1" ht="3" customHeight="1" outlineLevel="1" x14ac:dyDescent="0.2">
      <c r="A201" s="120"/>
      <c r="B201" s="85"/>
      <c r="C201" s="86"/>
      <c r="D201" s="84"/>
      <c r="E201" s="84"/>
      <c r="F201" s="85"/>
      <c r="G201" s="142"/>
      <c r="H201" s="142"/>
      <c r="I201" s="88"/>
      <c r="J201" s="142"/>
      <c r="K201" s="142"/>
      <c r="L201" s="143"/>
      <c r="M201" s="87"/>
      <c r="N201" s="88"/>
      <c r="O201" s="350"/>
    </row>
    <row r="202" spans="1:15" s="95" customFormat="1" ht="3" customHeight="1" outlineLevel="1" x14ac:dyDescent="0.2">
      <c r="A202" s="154"/>
      <c r="B202" s="72"/>
      <c r="C202" s="73"/>
      <c r="D202" s="71"/>
      <c r="E202" s="71"/>
      <c r="F202" s="72"/>
      <c r="G202" s="137"/>
      <c r="H202" s="137"/>
      <c r="I202" s="75"/>
      <c r="J202" s="137"/>
      <c r="K202" s="137"/>
      <c r="L202" s="138"/>
      <c r="M202" s="74"/>
      <c r="N202" s="75"/>
      <c r="O202" s="349"/>
    </row>
    <row r="203" spans="1:15" s="95" customFormat="1" ht="11.1" customHeight="1" outlineLevel="1" x14ac:dyDescent="0.2">
      <c r="A203" s="369" t="s">
        <v>89</v>
      </c>
      <c r="B203" s="76" t="s">
        <v>9</v>
      </c>
      <c r="C203" s="77" t="s">
        <v>56</v>
      </c>
      <c r="D203" s="360" t="s">
        <v>355</v>
      </c>
      <c r="E203" s="360" t="s">
        <v>55</v>
      </c>
      <c r="F203" s="78" t="s">
        <v>28</v>
      </c>
      <c r="G203" s="139">
        <f>SUM(G204:G209)</f>
        <v>1128300</v>
      </c>
      <c r="H203" s="139">
        <f>SUM(H204:H209)</f>
        <v>30152</v>
      </c>
      <c r="I203" s="39">
        <f t="shared" ref="I203:I209" si="85">IF(G203&gt;0,H203/G203*100,"-")</f>
        <v>2.6723389169547107</v>
      </c>
      <c r="J203" s="139">
        <f>SUM(J204:J209)</f>
        <v>0</v>
      </c>
      <c r="K203" s="139">
        <f>SUM(K204:K209)</f>
        <v>151890</v>
      </c>
      <c r="L203" s="139">
        <f>SUM(L204:L209)</f>
        <v>151890</v>
      </c>
      <c r="M203" s="38">
        <f>SUM(M204:M209)</f>
        <v>30150.71</v>
      </c>
      <c r="N203" s="39">
        <f t="shared" ref="N203:N209" si="86">IF(L203&gt;0,M203/L203*100,"-")</f>
        <v>19.850358812298374</v>
      </c>
      <c r="O203" s="361" t="s">
        <v>504</v>
      </c>
    </row>
    <row r="204" spans="1:15" s="95" customFormat="1" ht="11.1" customHeight="1" outlineLevel="1" x14ac:dyDescent="0.2">
      <c r="A204" s="369"/>
      <c r="B204" s="76" t="s">
        <v>10</v>
      </c>
      <c r="C204" s="77" t="s">
        <v>429</v>
      </c>
      <c r="D204" s="360"/>
      <c r="E204" s="360"/>
      <c r="F204" s="79" t="s">
        <v>15</v>
      </c>
      <c r="G204" s="140">
        <v>0</v>
      </c>
      <c r="H204" s="140">
        <f t="shared" ref="H204:H209" si="87">ROUNDUP(0+M204,0)</f>
        <v>0</v>
      </c>
      <c r="I204" s="81" t="str">
        <f t="shared" si="85"/>
        <v>-</v>
      </c>
      <c r="J204" s="140">
        <v>0</v>
      </c>
      <c r="K204" s="140">
        <f t="shared" ref="K204:K209" si="88">L204-J204</f>
        <v>0</v>
      </c>
      <c r="L204" s="140">
        <v>0</v>
      </c>
      <c r="M204" s="80">
        <v>0</v>
      </c>
      <c r="N204" s="81" t="str">
        <f t="shared" si="86"/>
        <v>-</v>
      </c>
      <c r="O204" s="361"/>
    </row>
    <row r="205" spans="1:15" s="95" customFormat="1" ht="11.1" customHeight="1" outlineLevel="1" x14ac:dyDescent="0.2">
      <c r="A205" s="369"/>
      <c r="B205" s="76" t="s">
        <v>11</v>
      </c>
      <c r="C205" s="82" t="s">
        <v>77</v>
      </c>
      <c r="D205" s="360"/>
      <c r="E205" s="360"/>
      <c r="F205" s="79" t="s">
        <v>7</v>
      </c>
      <c r="G205" s="140">
        <v>959056</v>
      </c>
      <c r="H205" s="140">
        <f t="shared" si="87"/>
        <v>25629</v>
      </c>
      <c r="I205" s="81">
        <f t="shared" si="85"/>
        <v>2.6723152766887437</v>
      </c>
      <c r="J205" s="140">
        <v>0</v>
      </c>
      <c r="K205" s="140">
        <f t="shared" si="88"/>
        <v>129107</v>
      </c>
      <c r="L205" s="140">
        <v>129107</v>
      </c>
      <c r="M205" s="83">
        <v>25628.1</v>
      </c>
      <c r="N205" s="81">
        <f t="shared" si="86"/>
        <v>19.850279225758477</v>
      </c>
      <c r="O205" s="361"/>
    </row>
    <row r="206" spans="1:15" s="95" customFormat="1" ht="11.1" customHeight="1" outlineLevel="1" x14ac:dyDescent="0.2">
      <c r="A206" s="119"/>
      <c r="B206" s="76"/>
      <c r="C206" s="82" t="s">
        <v>78</v>
      </c>
      <c r="D206" s="110"/>
      <c r="E206" s="110"/>
      <c r="F206" s="79" t="s">
        <v>8</v>
      </c>
      <c r="G206" s="140">
        <v>0</v>
      </c>
      <c r="H206" s="140">
        <f t="shared" si="87"/>
        <v>0</v>
      </c>
      <c r="I206" s="81" t="str">
        <f t="shared" si="85"/>
        <v>-</v>
      </c>
      <c r="J206" s="140">
        <v>0</v>
      </c>
      <c r="K206" s="140">
        <f t="shared" si="88"/>
        <v>0</v>
      </c>
      <c r="L206" s="140">
        <v>0</v>
      </c>
      <c r="M206" s="80">
        <v>0</v>
      </c>
      <c r="N206" s="81" t="str">
        <f t="shared" si="86"/>
        <v>-</v>
      </c>
      <c r="O206" s="361"/>
    </row>
    <row r="207" spans="1:15" s="95" customFormat="1" ht="11.1" customHeight="1" outlineLevel="1" x14ac:dyDescent="0.2">
      <c r="A207" s="119"/>
      <c r="B207" s="76" t="s">
        <v>12</v>
      </c>
      <c r="C207" s="82" t="s">
        <v>425</v>
      </c>
      <c r="D207" s="110"/>
      <c r="E207" s="110"/>
      <c r="F207" s="79" t="s">
        <v>22</v>
      </c>
      <c r="G207" s="140">
        <v>169244</v>
      </c>
      <c r="H207" s="140">
        <f t="shared" si="87"/>
        <v>4523</v>
      </c>
      <c r="I207" s="81">
        <f t="shared" si="85"/>
        <v>2.6724728793930659</v>
      </c>
      <c r="J207" s="140">
        <v>0</v>
      </c>
      <c r="K207" s="140">
        <f t="shared" si="88"/>
        <v>22783</v>
      </c>
      <c r="L207" s="140">
        <v>22783</v>
      </c>
      <c r="M207" s="80">
        <v>4522.6099999999997</v>
      </c>
      <c r="N207" s="81">
        <f t="shared" si="86"/>
        <v>19.85080981433525</v>
      </c>
      <c r="O207" s="361"/>
    </row>
    <row r="208" spans="1:15" s="95" customFormat="1" ht="11.1" customHeight="1" outlineLevel="1" x14ac:dyDescent="0.2">
      <c r="A208" s="119"/>
      <c r="B208" s="76" t="s">
        <v>23</v>
      </c>
      <c r="C208" s="82" t="s">
        <v>426</v>
      </c>
      <c r="D208" s="110"/>
      <c r="E208" s="110"/>
      <c r="F208" s="107" t="s">
        <v>45</v>
      </c>
      <c r="G208" s="140">
        <v>0</v>
      </c>
      <c r="H208" s="140">
        <f t="shared" si="87"/>
        <v>0</v>
      </c>
      <c r="I208" s="81" t="str">
        <f t="shared" si="85"/>
        <v>-</v>
      </c>
      <c r="J208" s="140">
        <v>0</v>
      </c>
      <c r="K208" s="140">
        <f t="shared" si="88"/>
        <v>0</v>
      </c>
      <c r="L208" s="140">
        <v>0</v>
      </c>
      <c r="M208" s="80">
        <v>0</v>
      </c>
      <c r="N208" s="81" t="str">
        <f t="shared" si="86"/>
        <v>-</v>
      </c>
      <c r="O208" s="361"/>
    </row>
    <row r="209" spans="1:15" s="95" customFormat="1" ht="11.1" customHeight="1" outlineLevel="1" x14ac:dyDescent="0.2">
      <c r="A209" s="119"/>
      <c r="B209" s="76"/>
      <c r="C209" s="82" t="s">
        <v>427</v>
      </c>
      <c r="D209" s="110"/>
      <c r="E209" s="110"/>
      <c r="F209" s="107" t="s">
        <v>46</v>
      </c>
      <c r="G209" s="140">
        <v>0</v>
      </c>
      <c r="H209" s="140">
        <f t="shared" si="87"/>
        <v>0</v>
      </c>
      <c r="I209" s="81" t="str">
        <f t="shared" si="85"/>
        <v>-</v>
      </c>
      <c r="J209" s="140">
        <v>0</v>
      </c>
      <c r="K209" s="140">
        <f t="shared" si="88"/>
        <v>0</v>
      </c>
      <c r="L209" s="140">
        <v>0</v>
      </c>
      <c r="M209" s="80">
        <v>0</v>
      </c>
      <c r="N209" s="81" t="str">
        <f t="shared" si="86"/>
        <v>-</v>
      </c>
      <c r="O209" s="361"/>
    </row>
    <row r="210" spans="1:15" s="95" customFormat="1" ht="3" customHeight="1" outlineLevel="1" x14ac:dyDescent="0.2">
      <c r="A210" s="120"/>
      <c r="B210" s="85"/>
      <c r="C210" s="86"/>
      <c r="D210" s="84"/>
      <c r="E210" s="84"/>
      <c r="F210" s="85"/>
      <c r="G210" s="142"/>
      <c r="H210" s="142"/>
      <c r="I210" s="88"/>
      <c r="J210" s="142"/>
      <c r="K210" s="142"/>
      <c r="L210" s="143"/>
      <c r="M210" s="87"/>
      <c r="N210" s="88"/>
      <c r="O210" s="350"/>
    </row>
    <row r="211" spans="1:15" s="95" customFormat="1" ht="3" customHeight="1" outlineLevel="1" x14ac:dyDescent="0.2">
      <c r="A211" s="154"/>
      <c r="B211" s="72"/>
      <c r="C211" s="73"/>
      <c r="D211" s="71"/>
      <c r="E211" s="71"/>
      <c r="F211" s="72"/>
      <c r="G211" s="137"/>
      <c r="H211" s="137"/>
      <c r="I211" s="75"/>
      <c r="J211" s="137"/>
      <c r="K211" s="137"/>
      <c r="L211" s="138"/>
      <c r="M211" s="74"/>
      <c r="N211" s="75"/>
      <c r="O211" s="349"/>
    </row>
    <row r="212" spans="1:15" s="95" customFormat="1" ht="11.1" customHeight="1" outlineLevel="1" x14ac:dyDescent="0.2">
      <c r="A212" s="369" t="s">
        <v>90</v>
      </c>
      <c r="B212" s="76" t="s">
        <v>9</v>
      </c>
      <c r="C212" s="77" t="s">
        <v>56</v>
      </c>
      <c r="D212" s="360" t="s">
        <v>357</v>
      </c>
      <c r="E212" s="360" t="s">
        <v>55</v>
      </c>
      <c r="F212" s="78" t="s">
        <v>28</v>
      </c>
      <c r="G212" s="139">
        <f>SUM(G213:G218)</f>
        <v>1403936</v>
      </c>
      <c r="H212" s="139">
        <f>SUM(H213:H218)</f>
        <v>58232</v>
      </c>
      <c r="I212" s="39">
        <f t="shared" ref="I212:I218" si="89">IF(G212&gt;0,H212/G212*100,"-")</f>
        <v>4.1477674195974741</v>
      </c>
      <c r="J212" s="139">
        <f>SUM(J213:J218)</f>
        <v>0</v>
      </c>
      <c r="K212" s="139">
        <f>SUM(K213:K218)</f>
        <v>63378</v>
      </c>
      <c r="L212" s="139">
        <f>SUM(L213:L218)</f>
        <v>63378</v>
      </c>
      <c r="M212" s="38">
        <f>SUM(M213:M218)</f>
        <v>58231.43</v>
      </c>
      <c r="N212" s="39">
        <f t="shared" ref="N212:N218" si="90">IF(L212&gt;0,M212/L212*100,"-")</f>
        <v>91.879563886522135</v>
      </c>
      <c r="O212" s="361" t="s">
        <v>505</v>
      </c>
    </row>
    <row r="213" spans="1:15" s="95" customFormat="1" ht="11.1" customHeight="1" outlineLevel="1" x14ac:dyDescent="0.2">
      <c r="A213" s="369"/>
      <c r="B213" s="76" t="s">
        <v>10</v>
      </c>
      <c r="C213" s="77" t="s">
        <v>429</v>
      </c>
      <c r="D213" s="360"/>
      <c r="E213" s="360"/>
      <c r="F213" s="79" t="s">
        <v>15</v>
      </c>
      <c r="G213" s="140">
        <v>0</v>
      </c>
      <c r="H213" s="140">
        <f t="shared" ref="H213:H218" si="91">ROUNDUP(0+M213,0)</f>
        <v>0</v>
      </c>
      <c r="I213" s="81" t="str">
        <f t="shared" si="89"/>
        <v>-</v>
      </c>
      <c r="J213" s="140">
        <v>0</v>
      </c>
      <c r="K213" s="140">
        <f t="shared" ref="K213:K218" si="92">L213-J213</f>
        <v>0</v>
      </c>
      <c r="L213" s="140">
        <v>0</v>
      </c>
      <c r="M213" s="80">
        <v>0</v>
      </c>
      <c r="N213" s="81" t="str">
        <f t="shared" si="90"/>
        <v>-</v>
      </c>
      <c r="O213" s="361"/>
    </row>
    <row r="214" spans="1:15" s="95" customFormat="1" ht="11.1" customHeight="1" outlineLevel="1" x14ac:dyDescent="0.2">
      <c r="A214" s="369"/>
      <c r="B214" s="76" t="s">
        <v>11</v>
      </c>
      <c r="C214" s="82" t="s">
        <v>77</v>
      </c>
      <c r="D214" s="360"/>
      <c r="E214" s="360"/>
      <c r="F214" s="79" t="s">
        <v>7</v>
      </c>
      <c r="G214" s="140">
        <v>1193346</v>
      </c>
      <c r="H214" s="140">
        <f t="shared" si="91"/>
        <v>49497</v>
      </c>
      <c r="I214" s="81">
        <f t="shared" si="89"/>
        <v>4.1477492697004887</v>
      </c>
      <c r="J214" s="140">
        <v>0</v>
      </c>
      <c r="K214" s="140">
        <f t="shared" si="92"/>
        <v>53872</v>
      </c>
      <c r="L214" s="140">
        <v>53872</v>
      </c>
      <c r="M214" s="83">
        <v>49496.61</v>
      </c>
      <c r="N214" s="81">
        <f t="shared" si="90"/>
        <v>91.878174190674187</v>
      </c>
      <c r="O214" s="361"/>
    </row>
    <row r="215" spans="1:15" s="95" customFormat="1" ht="11.1" customHeight="1" outlineLevel="1" x14ac:dyDescent="0.2">
      <c r="A215" s="119"/>
      <c r="B215" s="76"/>
      <c r="C215" s="82" t="s">
        <v>78</v>
      </c>
      <c r="D215" s="110"/>
      <c r="E215" s="110"/>
      <c r="F215" s="79" t="s">
        <v>8</v>
      </c>
      <c r="G215" s="140">
        <v>0</v>
      </c>
      <c r="H215" s="140">
        <f t="shared" si="91"/>
        <v>0</v>
      </c>
      <c r="I215" s="81" t="str">
        <f t="shared" si="89"/>
        <v>-</v>
      </c>
      <c r="J215" s="140">
        <v>0</v>
      </c>
      <c r="K215" s="140">
        <f t="shared" si="92"/>
        <v>0</v>
      </c>
      <c r="L215" s="140">
        <v>0</v>
      </c>
      <c r="M215" s="80">
        <v>0</v>
      </c>
      <c r="N215" s="81" t="str">
        <f t="shared" si="90"/>
        <v>-</v>
      </c>
      <c r="O215" s="361"/>
    </row>
    <row r="216" spans="1:15" s="95" customFormat="1" ht="11.1" customHeight="1" outlineLevel="1" x14ac:dyDescent="0.2">
      <c r="A216" s="119"/>
      <c r="B216" s="76" t="s">
        <v>12</v>
      </c>
      <c r="C216" s="82" t="s">
        <v>356</v>
      </c>
      <c r="D216" s="110"/>
      <c r="E216" s="110"/>
      <c r="F216" s="79" t="s">
        <v>22</v>
      </c>
      <c r="G216" s="140">
        <v>210590</v>
      </c>
      <c r="H216" s="140">
        <f t="shared" si="91"/>
        <v>8735</v>
      </c>
      <c r="I216" s="81">
        <f t="shared" si="89"/>
        <v>4.1478702692435538</v>
      </c>
      <c r="J216" s="140">
        <v>0</v>
      </c>
      <c r="K216" s="140">
        <f t="shared" si="92"/>
        <v>9506</v>
      </c>
      <c r="L216" s="140">
        <v>9506</v>
      </c>
      <c r="M216" s="80">
        <v>8734.82</v>
      </c>
      <c r="N216" s="81">
        <f t="shared" si="90"/>
        <v>91.887439511887223</v>
      </c>
      <c r="O216" s="361"/>
    </row>
    <row r="217" spans="1:15" s="95" customFormat="1" ht="11.1" customHeight="1" outlineLevel="1" x14ac:dyDescent="0.2">
      <c r="A217" s="119"/>
      <c r="B217" s="76" t="s">
        <v>23</v>
      </c>
      <c r="C217" s="82" t="s">
        <v>392</v>
      </c>
      <c r="D217" s="110"/>
      <c r="E217" s="110"/>
      <c r="F217" s="107" t="s">
        <v>45</v>
      </c>
      <c r="G217" s="140">
        <v>0</v>
      </c>
      <c r="H217" s="140">
        <f t="shared" si="91"/>
        <v>0</v>
      </c>
      <c r="I217" s="81" t="str">
        <f t="shared" si="89"/>
        <v>-</v>
      </c>
      <c r="J217" s="140">
        <v>0</v>
      </c>
      <c r="K217" s="140">
        <f t="shared" si="92"/>
        <v>0</v>
      </c>
      <c r="L217" s="140">
        <v>0</v>
      </c>
      <c r="M217" s="80">
        <v>0</v>
      </c>
      <c r="N217" s="81" t="str">
        <f t="shared" si="90"/>
        <v>-</v>
      </c>
      <c r="O217" s="361"/>
    </row>
    <row r="218" spans="1:15" s="95" customFormat="1" ht="11.1" customHeight="1" outlineLevel="1" x14ac:dyDescent="0.2">
      <c r="A218" s="119"/>
      <c r="B218" s="76"/>
      <c r="C218" s="82" t="s">
        <v>393</v>
      </c>
      <c r="D218" s="110"/>
      <c r="E218" s="110"/>
      <c r="F218" s="107" t="s">
        <v>46</v>
      </c>
      <c r="G218" s="140">
        <v>0</v>
      </c>
      <c r="H218" s="140">
        <f t="shared" si="91"/>
        <v>0</v>
      </c>
      <c r="I218" s="81" t="str">
        <f t="shared" si="89"/>
        <v>-</v>
      </c>
      <c r="J218" s="140">
        <v>0</v>
      </c>
      <c r="K218" s="140">
        <f t="shared" si="92"/>
        <v>0</v>
      </c>
      <c r="L218" s="140">
        <v>0</v>
      </c>
      <c r="M218" s="80">
        <v>0</v>
      </c>
      <c r="N218" s="81" t="str">
        <f t="shared" si="90"/>
        <v>-</v>
      </c>
      <c r="O218" s="361"/>
    </row>
    <row r="219" spans="1:15" s="95" customFormat="1" ht="3" customHeight="1" outlineLevel="1" x14ac:dyDescent="0.2">
      <c r="A219" s="120"/>
      <c r="B219" s="85"/>
      <c r="C219" s="86"/>
      <c r="D219" s="84"/>
      <c r="E219" s="84"/>
      <c r="F219" s="85"/>
      <c r="G219" s="142"/>
      <c r="H219" s="142"/>
      <c r="I219" s="88"/>
      <c r="J219" s="142"/>
      <c r="K219" s="142"/>
      <c r="L219" s="143"/>
      <c r="M219" s="87"/>
      <c r="N219" s="88"/>
      <c r="O219" s="350"/>
    </row>
    <row r="220" spans="1:15" s="95" customFormat="1" ht="3.95" customHeight="1" outlineLevel="1" x14ac:dyDescent="0.2">
      <c r="A220" s="154"/>
      <c r="B220" s="72"/>
      <c r="C220" s="73"/>
      <c r="D220" s="71"/>
      <c r="E220" s="71"/>
      <c r="F220" s="72"/>
      <c r="G220" s="137"/>
      <c r="H220" s="137"/>
      <c r="I220" s="75"/>
      <c r="J220" s="137"/>
      <c r="K220" s="137"/>
      <c r="L220" s="138"/>
      <c r="M220" s="74"/>
      <c r="N220" s="75"/>
      <c r="O220" s="349"/>
    </row>
    <row r="221" spans="1:15" s="95" customFormat="1" ht="11.1" customHeight="1" outlineLevel="1" x14ac:dyDescent="0.2">
      <c r="A221" s="369" t="s">
        <v>92</v>
      </c>
      <c r="B221" s="76" t="s">
        <v>9</v>
      </c>
      <c r="C221" s="77" t="s">
        <v>56</v>
      </c>
      <c r="D221" s="360" t="s">
        <v>63</v>
      </c>
      <c r="E221" s="360" t="s">
        <v>55</v>
      </c>
      <c r="F221" s="78" t="s">
        <v>28</v>
      </c>
      <c r="G221" s="139">
        <f>SUM(G222:G227)</f>
        <v>697598</v>
      </c>
      <c r="H221" s="139">
        <f>SUM(H222:H227)</f>
        <v>696945</v>
      </c>
      <c r="I221" s="39">
        <f t="shared" ref="I221:I227" si="93">IF(G221&gt;0,H221/G221*100,"-")</f>
        <v>99.906393080255398</v>
      </c>
      <c r="J221" s="139">
        <f>SUM(J222:J227)</f>
        <v>202360</v>
      </c>
      <c r="K221" s="139">
        <f>SUM(K222:K227)</f>
        <v>84181</v>
      </c>
      <c r="L221" s="139">
        <f>SUM(L222:L227)</f>
        <v>286541</v>
      </c>
      <c r="M221" s="38">
        <f>SUM(M222:M227)</f>
        <v>285887.93</v>
      </c>
      <c r="N221" s="39">
        <f t="shared" ref="N221:N227" si="94">IF(L221&gt;0,M221/L221*100,"-")</f>
        <v>99.772084972133129</v>
      </c>
      <c r="O221" s="361" t="s">
        <v>506</v>
      </c>
    </row>
    <row r="222" spans="1:15" s="95" customFormat="1" ht="11.1" customHeight="1" outlineLevel="1" x14ac:dyDescent="0.2">
      <c r="A222" s="369"/>
      <c r="B222" s="76" t="s">
        <v>10</v>
      </c>
      <c r="C222" s="77" t="s">
        <v>429</v>
      </c>
      <c r="D222" s="360"/>
      <c r="E222" s="360"/>
      <c r="F222" s="79" t="s">
        <v>15</v>
      </c>
      <c r="G222" s="140">
        <v>0</v>
      </c>
      <c r="H222" s="140">
        <f>ROUNDUP(0+M222,0)</f>
        <v>0</v>
      </c>
      <c r="I222" s="81" t="str">
        <f t="shared" si="93"/>
        <v>-</v>
      </c>
      <c r="J222" s="140">
        <v>0</v>
      </c>
      <c r="K222" s="140">
        <f t="shared" ref="K222:K227" si="95">L222-J222</f>
        <v>0</v>
      </c>
      <c r="L222" s="140">
        <v>0</v>
      </c>
      <c r="M222" s="80">
        <v>0</v>
      </c>
      <c r="N222" s="81" t="str">
        <f t="shared" si="94"/>
        <v>-</v>
      </c>
      <c r="O222" s="361"/>
    </row>
    <row r="223" spans="1:15" s="95" customFormat="1" ht="11.1" customHeight="1" outlineLevel="1" x14ac:dyDescent="0.2">
      <c r="A223" s="369"/>
      <c r="B223" s="76" t="s">
        <v>11</v>
      </c>
      <c r="C223" s="82" t="s">
        <v>77</v>
      </c>
      <c r="D223" s="360"/>
      <c r="E223" s="360"/>
      <c r="F223" s="79" t="s">
        <v>7</v>
      </c>
      <c r="G223" s="140">
        <v>697598</v>
      </c>
      <c r="H223" s="140">
        <f>ROUNDUP(411057+M223,0)</f>
        <v>696945</v>
      </c>
      <c r="I223" s="81">
        <f t="shared" si="93"/>
        <v>99.906393080255398</v>
      </c>
      <c r="J223" s="140">
        <v>202360</v>
      </c>
      <c r="K223" s="140">
        <f t="shared" si="95"/>
        <v>84181</v>
      </c>
      <c r="L223" s="140">
        <v>286541</v>
      </c>
      <c r="M223" s="83">
        <v>285887.93</v>
      </c>
      <c r="N223" s="81">
        <f t="shared" si="94"/>
        <v>99.772084972133129</v>
      </c>
      <c r="O223" s="361"/>
    </row>
    <row r="224" spans="1:15" s="95" customFormat="1" ht="11.1" customHeight="1" outlineLevel="1" x14ac:dyDescent="0.2">
      <c r="A224" s="119"/>
      <c r="B224" s="76"/>
      <c r="C224" s="82" t="s">
        <v>78</v>
      </c>
      <c r="D224" s="110"/>
      <c r="E224" s="110"/>
      <c r="F224" s="79" t="s">
        <v>8</v>
      </c>
      <c r="G224" s="140">
        <v>0</v>
      </c>
      <c r="H224" s="140">
        <f>ROUNDUP(0+M224,0)</f>
        <v>0</v>
      </c>
      <c r="I224" s="81" t="str">
        <f t="shared" si="93"/>
        <v>-</v>
      </c>
      <c r="J224" s="140">
        <v>0</v>
      </c>
      <c r="K224" s="140">
        <f t="shared" si="95"/>
        <v>0</v>
      </c>
      <c r="L224" s="140">
        <v>0</v>
      </c>
      <c r="M224" s="80">
        <v>0</v>
      </c>
      <c r="N224" s="81" t="str">
        <f t="shared" si="94"/>
        <v>-</v>
      </c>
      <c r="O224" s="361"/>
    </row>
    <row r="225" spans="1:15" s="95" customFormat="1" ht="11.1" customHeight="1" outlineLevel="1" x14ac:dyDescent="0.2">
      <c r="A225" s="119"/>
      <c r="B225" s="76" t="s">
        <v>12</v>
      </c>
      <c r="C225" s="82" t="s">
        <v>226</v>
      </c>
      <c r="D225" s="110"/>
      <c r="E225" s="110"/>
      <c r="F225" s="79" t="s">
        <v>22</v>
      </c>
      <c r="G225" s="140">
        <v>0</v>
      </c>
      <c r="H225" s="140">
        <f>ROUNDUP(0+M225,0)</f>
        <v>0</v>
      </c>
      <c r="I225" s="81" t="str">
        <f t="shared" si="93"/>
        <v>-</v>
      </c>
      <c r="J225" s="140">
        <v>0</v>
      </c>
      <c r="K225" s="140">
        <f t="shared" si="95"/>
        <v>0</v>
      </c>
      <c r="L225" s="140">
        <v>0</v>
      </c>
      <c r="M225" s="80">
        <v>0</v>
      </c>
      <c r="N225" s="81" t="str">
        <f t="shared" si="94"/>
        <v>-</v>
      </c>
      <c r="O225" s="361"/>
    </row>
    <row r="226" spans="1:15" s="95" customFormat="1" ht="11.1" customHeight="1" outlineLevel="1" x14ac:dyDescent="0.2">
      <c r="A226" s="119"/>
      <c r="B226" s="76" t="s">
        <v>23</v>
      </c>
      <c r="C226" s="82" t="s">
        <v>79</v>
      </c>
      <c r="D226" s="110"/>
      <c r="E226" s="110"/>
      <c r="F226" s="107" t="s">
        <v>45</v>
      </c>
      <c r="G226" s="140">
        <v>0</v>
      </c>
      <c r="H226" s="140">
        <f>ROUNDUP(0+M226,0)</f>
        <v>0</v>
      </c>
      <c r="I226" s="81" t="str">
        <f t="shared" si="93"/>
        <v>-</v>
      </c>
      <c r="J226" s="140">
        <v>0</v>
      </c>
      <c r="K226" s="140">
        <f t="shared" si="95"/>
        <v>0</v>
      </c>
      <c r="L226" s="140">
        <v>0</v>
      </c>
      <c r="M226" s="80">
        <v>0</v>
      </c>
      <c r="N226" s="81" t="str">
        <f t="shared" si="94"/>
        <v>-</v>
      </c>
      <c r="O226" s="361"/>
    </row>
    <row r="227" spans="1:15" s="95" customFormat="1" ht="11.1" customHeight="1" outlineLevel="1" x14ac:dyDescent="0.2">
      <c r="A227" s="119"/>
      <c r="B227" s="76"/>
      <c r="C227" s="82" t="s">
        <v>80</v>
      </c>
      <c r="D227" s="110"/>
      <c r="E227" s="110"/>
      <c r="F227" s="107" t="s">
        <v>46</v>
      </c>
      <c r="G227" s="140">
        <v>0</v>
      </c>
      <c r="H227" s="140">
        <f>ROUNDUP(0+M227,0)</f>
        <v>0</v>
      </c>
      <c r="I227" s="81" t="str">
        <f t="shared" si="93"/>
        <v>-</v>
      </c>
      <c r="J227" s="140">
        <v>0</v>
      </c>
      <c r="K227" s="140">
        <f t="shared" si="95"/>
        <v>0</v>
      </c>
      <c r="L227" s="140">
        <v>0</v>
      </c>
      <c r="M227" s="80">
        <v>0</v>
      </c>
      <c r="N227" s="81" t="str">
        <f t="shared" si="94"/>
        <v>-</v>
      </c>
      <c r="O227" s="361"/>
    </row>
    <row r="228" spans="1:15" s="95" customFormat="1" ht="11.1" customHeight="1" outlineLevel="1" x14ac:dyDescent="0.2">
      <c r="A228" s="119"/>
      <c r="B228" s="76"/>
      <c r="C228" s="82" t="s">
        <v>81</v>
      </c>
      <c r="D228" s="110"/>
      <c r="E228" s="110"/>
      <c r="F228" s="107"/>
      <c r="G228" s="141"/>
      <c r="H228" s="141"/>
      <c r="I228" s="81"/>
      <c r="J228" s="141"/>
      <c r="K228" s="140"/>
      <c r="L228" s="140"/>
      <c r="M228" s="89"/>
      <c r="N228" s="81"/>
      <c r="O228" s="361"/>
    </row>
    <row r="229" spans="1:15" s="95" customFormat="1" ht="3.95" customHeight="1" outlineLevel="1" x14ac:dyDescent="0.2">
      <c r="A229" s="120"/>
      <c r="B229" s="85"/>
      <c r="C229" s="86"/>
      <c r="D229" s="84"/>
      <c r="E229" s="84"/>
      <c r="F229" s="85"/>
      <c r="G229" s="142"/>
      <c r="H229" s="142"/>
      <c r="I229" s="88"/>
      <c r="J229" s="142"/>
      <c r="K229" s="142"/>
      <c r="L229" s="143"/>
      <c r="M229" s="87"/>
      <c r="N229" s="88"/>
      <c r="O229" s="350"/>
    </row>
    <row r="230" spans="1:15" s="95" customFormat="1" ht="3.95" customHeight="1" outlineLevel="1" x14ac:dyDescent="0.2">
      <c r="A230" s="154"/>
      <c r="B230" s="72"/>
      <c r="C230" s="73"/>
      <c r="D230" s="71"/>
      <c r="E230" s="71"/>
      <c r="F230" s="72"/>
      <c r="G230" s="137"/>
      <c r="H230" s="137"/>
      <c r="I230" s="75"/>
      <c r="J230" s="137"/>
      <c r="K230" s="137"/>
      <c r="L230" s="138"/>
      <c r="M230" s="74"/>
      <c r="N230" s="75"/>
      <c r="O230" s="349"/>
    </row>
    <row r="231" spans="1:15" s="95" customFormat="1" ht="11.1" customHeight="1" outlineLevel="1" x14ac:dyDescent="0.2">
      <c r="A231" s="369" t="s">
        <v>93</v>
      </c>
      <c r="B231" s="76" t="s">
        <v>9</v>
      </c>
      <c r="C231" s="77" t="s">
        <v>56</v>
      </c>
      <c r="D231" s="360" t="s">
        <v>428</v>
      </c>
      <c r="E231" s="360" t="s">
        <v>55</v>
      </c>
      <c r="F231" s="78" t="s">
        <v>28</v>
      </c>
      <c r="G231" s="139">
        <f>SUM(G232:G237)</f>
        <v>1072884</v>
      </c>
      <c r="H231" s="139">
        <f>SUM(H232:H237)</f>
        <v>607234</v>
      </c>
      <c r="I231" s="39">
        <f t="shared" ref="I231:I237" si="96">IF(G231&gt;0,H231/G231*100,"-")</f>
        <v>56.598290215904044</v>
      </c>
      <c r="J231" s="139">
        <f>SUM(J232:J237)</f>
        <v>352536</v>
      </c>
      <c r="K231" s="139">
        <f>SUM(K232:K237)</f>
        <v>13974</v>
      </c>
      <c r="L231" s="139">
        <f>SUM(L232:L237)</f>
        <v>366510</v>
      </c>
      <c r="M231" s="38">
        <f>SUM(M232:M237)</f>
        <v>329302.56</v>
      </c>
      <c r="N231" s="39">
        <f t="shared" ref="N231:N237" si="97">IF(L231&gt;0,M231/L231*100,"-")</f>
        <v>89.848178767291472</v>
      </c>
      <c r="O231" s="361" t="s">
        <v>507</v>
      </c>
    </row>
    <row r="232" spans="1:15" s="95" customFormat="1" ht="11.1" customHeight="1" outlineLevel="1" x14ac:dyDescent="0.2">
      <c r="A232" s="369"/>
      <c r="B232" s="76" t="s">
        <v>10</v>
      </c>
      <c r="C232" s="77" t="s">
        <v>429</v>
      </c>
      <c r="D232" s="360"/>
      <c r="E232" s="360"/>
      <c r="F232" s="79" t="s">
        <v>15</v>
      </c>
      <c r="G232" s="140">
        <v>0</v>
      </c>
      <c r="H232" s="140">
        <f>ROUNDUP(0+M232,0)</f>
        <v>0</v>
      </c>
      <c r="I232" s="81" t="str">
        <f t="shared" si="96"/>
        <v>-</v>
      </c>
      <c r="J232" s="140">
        <v>0</v>
      </c>
      <c r="K232" s="140">
        <f t="shared" ref="K232:K237" si="98">L232-J232</f>
        <v>0</v>
      </c>
      <c r="L232" s="140">
        <v>0</v>
      </c>
      <c r="M232" s="80">
        <v>0</v>
      </c>
      <c r="N232" s="81" t="str">
        <f t="shared" si="97"/>
        <v>-</v>
      </c>
      <c r="O232" s="361"/>
    </row>
    <row r="233" spans="1:15" s="95" customFormat="1" ht="11.1" customHeight="1" outlineLevel="1" x14ac:dyDescent="0.2">
      <c r="A233" s="369"/>
      <c r="B233" s="76" t="s">
        <v>11</v>
      </c>
      <c r="C233" s="82" t="s">
        <v>77</v>
      </c>
      <c r="D233" s="360"/>
      <c r="E233" s="360"/>
      <c r="F233" s="79" t="s">
        <v>7</v>
      </c>
      <c r="G233" s="140">
        <v>1072884</v>
      </c>
      <c r="H233" s="140">
        <f>ROUNDUP(277931+M233,0)</f>
        <v>607234</v>
      </c>
      <c r="I233" s="81">
        <f t="shared" si="96"/>
        <v>56.598290215904044</v>
      </c>
      <c r="J233" s="140">
        <v>352536</v>
      </c>
      <c r="K233" s="140">
        <f t="shared" si="98"/>
        <v>13974</v>
      </c>
      <c r="L233" s="140">
        <v>366510</v>
      </c>
      <c r="M233" s="83">
        <v>329302.56</v>
      </c>
      <c r="N233" s="81">
        <f t="shared" si="97"/>
        <v>89.848178767291472</v>
      </c>
      <c r="O233" s="361"/>
    </row>
    <row r="234" spans="1:15" s="95" customFormat="1" ht="11.1" customHeight="1" outlineLevel="1" x14ac:dyDescent="0.2">
      <c r="A234" s="119"/>
      <c r="B234" s="76"/>
      <c r="C234" s="82" t="s">
        <v>78</v>
      </c>
      <c r="D234" s="110"/>
      <c r="E234" s="110"/>
      <c r="F234" s="79" t="s">
        <v>8</v>
      </c>
      <c r="G234" s="140">
        <v>0</v>
      </c>
      <c r="H234" s="140">
        <f>ROUNDUP(0+M234,0)</f>
        <v>0</v>
      </c>
      <c r="I234" s="81" t="str">
        <f t="shared" si="96"/>
        <v>-</v>
      </c>
      <c r="J234" s="140">
        <v>0</v>
      </c>
      <c r="K234" s="140">
        <f t="shared" si="98"/>
        <v>0</v>
      </c>
      <c r="L234" s="140">
        <v>0</v>
      </c>
      <c r="M234" s="80">
        <v>0</v>
      </c>
      <c r="N234" s="81" t="str">
        <f t="shared" si="97"/>
        <v>-</v>
      </c>
      <c r="O234" s="361"/>
    </row>
    <row r="235" spans="1:15" s="95" customFormat="1" ht="11.1" customHeight="1" outlineLevel="1" x14ac:dyDescent="0.2">
      <c r="A235" s="119"/>
      <c r="B235" s="76" t="s">
        <v>12</v>
      </c>
      <c r="C235" s="82" t="s">
        <v>227</v>
      </c>
      <c r="D235" s="110"/>
      <c r="E235" s="110"/>
      <c r="F235" s="79" t="s">
        <v>22</v>
      </c>
      <c r="G235" s="140">
        <v>0</v>
      </c>
      <c r="H235" s="140">
        <f>ROUNDUP(0+M235,0)</f>
        <v>0</v>
      </c>
      <c r="I235" s="81" t="str">
        <f t="shared" si="96"/>
        <v>-</v>
      </c>
      <c r="J235" s="140">
        <v>0</v>
      </c>
      <c r="K235" s="140">
        <f t="shared" si="98"/>
        <v>0</v>
      </c>
      <c r="L235" s="140">
        <v>0</v>
      </c>
      <c r="M235" s="80">
        <v>0</v>
      </c>
      <c r="N235" s="81" t="str">
        <f t="shared" si="97"/>
        <v>-</v>
      </c>
      <c r="O235" s="361"/>
    </row>
    <row r="236" spans="1:15" s="95" customFormat="1" ht="11.1" customHeight="1" outlineLevel="1" x14ac:dyDescent="0.2">
      <c r="A236" s="119"/>
      <c r="B236" s="76" t="s">
        <v>23</v>
      </c>
      <c r="C236" s="82" t="s">
        <v>394</v>
      </c>
      <c r="D236" s="110"/>
      <c r="E236" s="110"/>
      <c r="F236" s="107" t="s">
        <v>45</v>
      </c>
      <c r="G236" s="140">
        <v>0</v>
      </c>
      <c r="H236" s="140">
        <f>ROUNDUP(0+M236,0)</f>
        <v>0</v>
      </c>
      <c r="I236" s="81" t="str">
        <f t="shared" si="96"/>
        <v>-</v>
      </c>
      <c r="J236" s="140">
        <v>0</v>
      </c>
      <c r="K236" s="140">
        <f t="shared" si="98"/>
        <v>0</v>
      </c>
      <c r="L236" s="140">
        <v>0</v>
      </c>
      <c r="M236" s="80">
        <v>0</v>
      </c>
      <c r="N236" s="81" t="str">
        <f t="shared" si="97"/>
        <v>-</v>
      </c>
      <c r="O236" s="361"/>
    </row>
    <row r="237" spans="1:15" s="95" customFormat="1" ht="11.1" customHeight="1" outlineLevel="1" x14ac:dyDescent="0.2">
      <c r="A237" s="119"/>
      <c r="B237" s="76"/>
      <c r="C237" s="82" t="s">
        <v>395</v>
      </c>
      <c r="D237" s="110"/>
      <c r="E237" s="110"/>
      <c r="F237" s="107" t="s">
        <v>46</v>
      </c>
      <c r="G237" s="140">
        <v>0</v>
      </c>
      <c r="H237" s="140">
        <f>ROUNDUP(0+M237,0)</f>
        <v>0</v>
      </c>
      <c r="I237" s="81" t="str">
        <f t="shared" si="96"/>
        <v>-</v>
      </c>
      <c r="J237" s="140">
        <v>0</v>
      </c>
      <c r="K237" s="140">
        <f t="shared" si="98"/>
        <v>0</v>
      </c>
      <c r="L237" s="140">
        <v>0</v>
      </c>
      <c r="M237" s="80">
        <v>0</v>
      </c>
      <c r="N237" s="81" t="str">
        <f t="shared" si="97"/>
        <v>-</v>
      </c>
      <c r="O237" s="361"/>
    </row>
    <row r="238" spans="1:15" s="95" customFormat="1" ht="11.1" customHeight="1" outlineLevel="1" x14ac:dyDescent="0.2">
      <c r="A238" s="119"/>
      <c r="B238" s="76"/>
      <c r="C238" s="82" t="s">
        <v>396</v>
      </c>
      <c r="D238" s="110"/>
      <c r="E238" s="110"/>
      <c r="F238" s="107"/>
      <c r="G238" s="141"/>
      <c r="H238" s="141"/>
      <c r="I238" s="81"/>
      <c r="J238" s="141"/>
      <c r="K238" s="141"/>
      <c r="L238" s="140"/>
      <c r="M238" s="89"/>
      <c r="N238" s="81"/>
      <c r="O238" s="361"/>
    </row>
    <row r="239" spans="1:15" s="95" customFormat="1" ht="3.95" customHeight="1" outlineLevel="1" x14ac:dyDescent="0.2">
      <c r="A239" s="120"/>
      <c r="B239" s="85"/>
      <c r="C239" s="86"/>
      <c r="D239" s="84"/>
      <c r="E239" s="84"/>
      <c r="F239" s="85"/>
      <c r="G239" s="142"/>
      <c r="H239" s="142"/>
      <c r="I239" s="88"/>
      <c r="J239" s="142"/>
      <c r="K239" s="142"/>
      <c r="L239" s="143"/>
      <c r="M239" s="87"/>
      <c r="N239" s="88"/>
      <c r="O239" s="350"/>
    </row>
    <row r="240" spans="1:15" s="95" customFormat="1" ht="3.95" customHeight="1" outlineLevel="1" x14ac:dyDescent="0.2">
      <c r="A240" s="154"/>
      <c r="B240" s="72"/>
      <c r="C240" s="73"/>
      <c r="D240" s="71"/>
      <c r="E240" s="71"/>
      <c r="F240" s="72"/>
      <c r="G240" s="137"/>
      <c r="H240" s="137"/>
      <c r="I240" s="75"/>
      <c r="J240" s="137"/>
      <c r="K240" s="137"/>
      <c r="L240" s="138"/>
      <c r="M240" s="74"/>
      <c r="N240" s="75"/>
      <c r="O240" s="349"/>
    </row>
    <row r="241" spans="1:15" s="95" customFormat="1" ht="11.1" customHeight="1" outlineLevel="1" x14ac:dyDescent="0.2">
      <c r="A241" s="369" t="s">
        <v>94</v>
      </c>
      <c r="B241" s="76" t="s">
        <v>9</v>
      </c>
      <c r="C241" s="77" t="s">
        <v>56</v>
      </c>
      <c r="D241" s="360" t="s">
        <v>355</v>
      </c>
      <c r="E241" s="360" t="s">
        <v>55</v>
      </c>
      <c r="F241" s="78" t="s">
        <v>28</v>
      </c>
      <c r="G241" s="139">
        <f>SUM(G242:G247)</f>
        <v>1929964</v>
      </c>
      <c r="H241" s="139">
        <f>SUM(H242:H247)</f>
        <v>105482</v>
      </c>
      <c r="I241" s="39">
        <f t="shared" ref="I241:I247" si="99">IF(G241&gt;0,H241/G241*100,"-")</f>
        <v>5.465490548010222</v>
      </c>
      <c r="J241" s="139">
        <f>SUM(J242:J247)</f>
        <v>0</v>
      </c>
      <c r="K241" s="139">
        <f>SUM(K242:K247)</f>
        <v>221856</v>
      </c>
      <c r="L241" s="139">
        <f>SUM(L242:L247)</f>
        <v>221856</v>
      </c>
      <c r="M241" s="38">
        <f>SUM(M242:M247)</f>
        <v>105480.75</v>
      </c>
      <c r="N241" s="39">
        <f t="shared" ref="N241:N247" si="100">IF(L241&gt;0,M241/L241*100,"-")</f>
        <v>47.544691151016877</v>
      </c>
      <c r="O241" s="361" t="s">
        <v>504</v>
      </c>
    </row>
    <row r="242" spans="1:15" s="95" customFormat="1" ht="11.1" customHeight="1" outlineLevel="1" x14ac:dyDescent="0.2">
      <c r="A242" s="369"/>
      <c r="B242" s="76" t="s">
        <v>10</v>
      </c>
      <c r="C242" s="77" t="s">
        <v>429</v>
      </c>
      <c r="D242" s="360"/>
      <c r="E242" s="360"/>
      <c r="F242" s="79" t="s">
        <v>15</v>
      </c>
      <c r="G242" s="140">
        <v>0</v>
      </c>
      <c r="H242" s="140">
        <f t="shared" ref="H242:H247" si="101">ROUNDUP(0+M242,0)</f>
        <v>0</v>
      </c>
      <c r="I242" s="81" t="str">
        <f t="shared" si="99"/>
        <v>-</v>
      </c>
      <c r="J242" s="140">
        <v>0</v>
      </c>
      <c r="K242" s="140">
        <f t="shared" ref="K242:K247" si="102">L242-J242</f>
        <v>0</v>
      </c>
      <c r="L242" s="140">
        <v>0</v>
      </c>
      <c r="M242" s="80">
        <v>0</v>
      </c>
      <c r="N242" s="81" t="str">
        <f t="shared" si="100"/>
        <v>-</v>
      </c>
      <c r="O242" s="361"/>
    </row>
    <row r="243" spans="1:15" s="95" customFormat="1" ht="11.1" customHeight="1" outlineLevel="1" x14ac:dyDescent="0.2">
      <c r="A243" s="369"/>
      <c r="B243" s="76" t="s">
        <v>11</v>
      </c>
      <c r="C243" s="82" t="s">
        <v>77</v>
      </c>
      <c r="D243" s="360"/>
      <c r="E243" s="360"/>
      <c r="F243" s="79" t="s">
        <v>7</v>
      </c>
      <c r="G243" s="140">
        <v>1640474</v>
      </c>
      <c r="H243" s="140">
        <f t="shared" si="101"/>
        <v>89659</v>
      </c>
      <c r="I243" s="81">
        <f t="shared" si="99"/>
        <v>5.4654325518112445</v>
      </c>
      <c r="J243" s="140">
        <v>0</v>
      </c>
      <c r="K243" s="140">
        <f t="shared" si="102"/>
        <v>188579</v>
      </c>
      <c r="L243" s="140">
        <v>188579</v>
      </c>
      <c r="M243" s="83">
        <v>89658.65</v>
      </c>
      <c r="N243" s="81">
        <f t="shared" si="100"/>
        <v>47.54434481039776</v>
      </c>
      <c r="O243" s="361"/>
    </row>
    <row r="244" spans="1:15" s="95" customFormat="1" ht="11.1" customHeight="1" outlineLevel="1" x14ac:dyDescent="0.2">
      <c r="A244" s="119"/>
      <c r="B244" s="76"/>
      <c r="C244" s="82" t="s">
        <v>78</v>
      </c>
      <c r="D244" s="110"/>
      <c r="E244" s="110"/>
      <c r="F244" s="79" t="s">
        <v>8</v>
      </c>
      <c r="G244" s="140">
        <v>0</v>
      </c>
      <c r="H244" s="140">
        <f t="shared" si="101"/>
        <v>0</v>
      </c>
      <c r="I244" s="81" t="str">
        <f t="shared" si="99"/>
        <v>-</v>
      </c>
      <c r="J244" s="140">
        <v>0</v>
      </c>
      <c r="K244" s="140">
        <f t="shared" si="102"/>
        <v>0</v>
      </c>
      <c r="L244" s="140">
        <v>0</v>
      </c>
      <c r="M244" s="80">
        <v>0</v>
      </c>
      <c r="N244" s="81" t="str">
        <f t="shared" si="100"/>
        <v>-</v>
      </c>
      <c r="O244" s="361"/>
    </row>
    <row r="245" spans="1:15" s="95" customFormat="1" ht="11.1" customHeight="1" outlineLevel="1" x14ac:dyDescent="0.2">
      <c r="A245" s="119"/>
      <c r="B245" s="76" t="s">
        <v>12</v>
      </c>
      <c r="C245" s="82" t="s">
        <v>430</v>
      </c>
      <c r="D245" s="110"/>
      <c r="E245" s="110"/>
      <c r="F245" s="79" t="s">
        <v>22</v>
      </c>
      <c r="G245" s="140">
        <v>289490</v>
      </c>
      <c r="H245" s="140">
        <f t="shared" si="101"/>
        <v>15823</v>
      </c>
      <c r="I245" s="81">
        <f t="shared" si="99"/>
        <v>5.4658191992814951</v>
      </c>
      <c r="J245" s="140">
        <v>0</v>
      </c>
      <c r="K245" s="140">
        <f t="shared" si="102"/>
        <v>33277</v>
      </c>
      <c r="L245" s="140">
        <v>33277</v>
      </c>
      <c r="M245" s="80">
        <v>15822.1</v>
      </c>
      <c r="N245" s="81">
        <f t="shared" si="100"/>
        <v>47.546653844998048</v>
      </c>
      <c r="O245" s="361"/>
    </row>
    <row r="246" spans="1:15" s="95" customFormat="1" ht="11.1" customHeight="1" outlineLevel="1" x14ac:dyDescent="0.2">
      <c r="A246" s="119"/>
      <c r="B246" s="76" t="s">
        <v>23</v>
      </c>
      <c r="C246" s="82" t="s">
        <v>431</v>
      </c>
      <c r="D246" s="110"/>
      <c r="E246" s="110"/>
      <c r="F246" s="107" t="s">
        <v>45</v>
      </c>
      <c r="G246" s="140">
        <v>0</v>
      </c>
      <c r="H246" s="140">
        <f t="shared" si="101"/>
        <v>0</v>
      </c>
      <c r="I246" s="81" t="str">
        <f t="shared" si="99"/>
        <v>-</v>
      </c>
      <c r="J246" s="140">
        <v>0</v>
      </c>
      <c r="K246" s="140">
        <f t="shared" si="102"/>
        <v>0</v>
      </c>
      <c r="L246" s="140">
        <v>0</v>
      </c>
      <c r="M246" s="80">
        <v>0</v>
      </c>
      <c r="N246" s="81" t="str">
        <f t="shared" si="100"/>
        <v>-</v>
      </c>
      <c r="O246" s="361"/>
    </row>
    <row r="247" spans="1:15" s="95" customFormat="1" ht="11.1" customHeight="1" outlineLevel="1" x14ac:dyDescent="0.2">
      <c r="A247" s="119"/>
      <c r="B247" s="76"/>
      <c r="C247" s="82" t="s">
        <v>432</v>
      </c>
      <c r="D247" s="110"/>
      <c r="E247" s="110"/>
      <c r="F247" s="107" t="s">
        <v>46</v>
      </c>
      <c r="G247" s="140">
        <v>0</v>
      </c>
      <c r="H247" s="140">
        <f t="shared" si="101"/>
        <v>0</v>
      </c>
      <c r="I247" s="81" t="str">
        <f t="shared" si="99"/>
        <v>-</v>
      </c>
      <c r="J247" s="140">
        <v>0</v>
      </c>
      <c r="K247" s="140">
        <f t="shared" si="102"/>
        <v>0</v>
      </c>
      <c r="L247" s="140">
        <v>0</v>
      </c>
      <c r="M247" s="80">
        <v>0</v>
      </c>
      <c r="N247" s="81" t="str">
        <f t="shared" si="100"/>
        <v>-</v>
      </c>
      <c r="O247" s="361"/>
    </row>
    <row r="248" spans="1:15" s="95" customFormat="1" ht="3.95" customHeight="1" outlineLevel="1" x14ac:dyDescent="0.2">
      <c r="A248" s="120"/>
      <c r="B248" s="85"/>
      <c r="C248" s="86"/>
      <c r="D248" s="84"/>
      <c r="E248" s="84"/>
      <c r="F248" s="85"/>
      <c r="G248" s="142"/>
      <c r="H248" s="142"/>
      <c r="I248" s="88"/>
      <c r="J248" s="142"/>
      <c r="K248" s="142"/>
      <c r="L248" s="143"/>
      <c r="M248" s="87"/>
      <c r="N248" s="88"/>
      <c r="O248" s="350"/>
    </row>
    <row r="249" spans="1:15" s="95" customFormat="1" ht="3.95" customHeight="1" outlineLevel="1" x14ac:dyDescent="0.2">
      <c r="A249" s="154"/>
      <c r="B249" s="72"/>
      <c r="C249" s="73"/>
      <c r="D249" s="71"/>
      <c r="E249" s="71"/>
      <c r="F249" s="72"/>
      <c r="G249" s="137"/>
      <c r="H249" s="137"/>
      <c r="I249" s="75"/>
      <c r="J249" s="137"/>
      <c r="K249" s="137"/>
      <c r="L249" s="138"/>
      <c r="M249" s="74"/>
      <c r="N249" s="75"/>
      <c r="O249" s="349"/>
    </row>
    <row r="250" spans="1:15" s="95" customFormat="1" ht="11.1" customHeight="1" outlineLevel="1" x14ac:dyDescent="0.2">
      <c r="A250" s="369" t="s">
        <v>98</v>
      </c>
      <c r="B250" s="76" t="s">
        <v>9</v>
      </c>
      <c r="C250" s="77" t="s">
        <v>56</v>
      </c>
      <c r="D250" s="360" t="s">
        <v>355</v>
      </c>
      <c r="E250" s="360" t="s">
        <v>55</v>
      </c>
      <c r="F250" s="78" t="s">
        <v>28</v>
      </c>
      <c r="G250" s="139">
        <f>SUM(G251:G256)</f>
        <v>276014</v>
      </c>
      <c r="H250" s="139">
        <f>SUM(H251:H256)</f>
        <v>49341</v>
      </c>
      <c r="I250" s="39">
        <f t="shared" ref="I250:I256" si="103">IF(G250&gt;0,H250/G250*100,"-")</f>
        <v>17.876267145869413</v>
      </c>
      <c r="J250" s="139">
        <f>SUM(J251:J256)</f>
        <v>0</v>
      </c>
      <c r="K250" s="139">
        <f>SUM(K251:K256)</f>
        <v>55242</v>
      </c>
      <c r="L250" s="139">
        <f>SUM(L251:L256)</f>
        <v>55242</v>
      </c>
      <c r="M250" s="38">
        <f>SUM(M251:M256)</f>
        <v>49340.88</v>
      </c>
      <c r="N250" s="39">
        <f t="shared" ref="N250:N256" si="104">IF(L250&gt;0,M250/L250*100,"-")</f>
        <v>89.317693059628539</v>
      </c>
      <c r="O250" s="361" t="s">
        <v>508</v>
      </c>
    </row>
    <row r="251" spans="1:15" s="95" customFormat="1" ht="11.1" customHeight="1" outlineLevel="1" x14ac:dyDescent="0.2">
      <c r="A251" s="369"/>
      <c r="B251" s="76" t="s">
        <v>10</v>
      </c>
      <c r="C251" s="77" t="s">
        <v>429</v>
      </c>
      <c r="D251" s="360"/>
      <c r="E251" s="360"/>
      <c r="F251" s="79" t="s">
        <v>15</v>
      </c>
      <c r="G251" s="140">
        <v>0</v>
      </c>
      <c r="H251" s="140">
        <f t="shared" ref="H251:H256" si="105">ROUNDUP(0+M251,0)</f>
        <v>0</v>
      </c>
      <c r="I251" s="81" t="str">
        <f t="shared" si="103"/>
        <v>-</v>
      </c>
      <c r="J251" s="140">
        <v>0</v>
      </c>
      <c r="K251" s="140">
        <f t="shared" ref="K251:K256" si="106">L251-J251</f>
        <v>0</v>
      </c>
      <c r="L251" s="140">
        <v>0</v>
      </c>
      <c r="M251" s="80">
        <v>0</v>
      </c>
      <c r="N251" s="81" t="str">
        <f t="shared" si="104"/>
        <v>-</v>
      </c>
      <c r="O251" s="361"/>
    </row>
    <row r="252" spans="1:15" s="95" customFormat="1" ht="11.1" customHeight="1" outlineLevel="1" x14ac:dyDescent="0.2">
      <c r="A252" s="369"/>
      <c r="B252" s="76" t="s">
        <v>11</v>
      </c>
      <c r="C252" s="82" t="s">
        <v>77</v>
      </c>
      <c r="D252" s="360"/>
      <c r="E252" s="360"/>
      <c r="F252" s="79" t="s">
        <v>7</v>
      </c>
      <c r="G252" s="140">
        <v>276014</v>
      </c>
      <c r="H252" s="140">
        <f t="shared" si="105"/>
        <v>49341</v>
      </c>
      <c r="I252" s="81">
        <f t="shared" si="103"/>
        <v>17.876267145869413</v>
      </c>
      <c r="J252" s="140">
        <v>0</v>
      </c>
      <c r="K252" s="140">
        <f t="shared" si="106"/>
        <v>55242</v>
      </c>
      <c r="L252" s="140">
        <v>55242</v>
      </c>
      <c r="M252" s="83">
        <v>49340.88</v>
      </c>
      <c r="N252" s="81">
        <f t="shared" si="104"/>
        <v>89.317693059628539</v>
      </c>
      <c r="O252" s="361"/>
    </row>
    <row r="253" spans="1:15" s="95" customFormat="1" ht="11.1" customHeight="1" outlineLevel="1" x14ac:dyDescent="0.2">
      <c r="A253" s="119"/>
      <c r="B253" s="76"/>
      <c r="C253" s="82" t="s">
        <v>78</v>
      </c>
      <c r="D253" s="110"/>
      <c r="E253" s="110"/>
      <c r="F253" s="79" t="s">
        <v>8</v>
      </c>
      <c r="G253" s="140">
        <v>0</v>
      </c>
      <c r="H253" s="140">
        <f t="shared" si="105"/>
        <v>0</v>
      </c>
      <c r="I253" s="81" t="str">
        <f t="shared" si="103"/>
        <v>-</v>
      </c>
      <c r="J253" s="140">
        <v>0</v>
      </c>
      <c r="K253" s="140">
        <f t="shared" si="106"/>
        <v>0</v>
      </c>
      <c r="L253" s="140">
        <v>0</v>
      </c>
      <c r="M253" s="80">
        <v>0</v>
      </c>
      <c r="N253" s="81" t="str">
        <f t="shared" si="104"/>
        <v>-</v>
      </c>
      <c r="O253" s="361"/>
    </row>
    <row r="254" spans="1:15" s="95" customFormat="1" ht="11.1" customHeight="1" outlineLevel="1" x14ac:dyDescent="0.2">
      <c r="A254" s="119"/>
      <c r="B254" s="76" t="s">
        <v>12</v>
      </c>
      <c r="C254" s="82" t="s">
        <v>433</v>
      </c>
      <c r="D254" s="110"/>
      <c r="E254" s="110"/>
      <c r="F254" s="79" t="s">
        <v>22</v>
      </c>
      <c r="G254" s="140">
        <v>0</v>
      </c>
      <c r="H254" s="140">
        <f t="shared" si="105"/>
        <v>0</v>
      </c>
      <c r="I254" s="81" t="str">
        <f t="shared" si="103"/>
        <v>-</v>
      </c>
      <c r="J254" s="140">
        <v>0</v>
      </c>
      <c r="K254" s="140">
        <f t="shared" si="106"/>
        <v>0</v>
      </c>
      <c r="L254" s="140">
        <v>0</v>
      </c>
      <c r="M254" s="80">
        <v>0</v>
      </c>
      <c r="N254" s="81" t="str">
        <f t="shared" si="104"/>
        <v>-</v>
      </c>
      <c r="O254" s="361"/>
    </row>
    <row r="255" spans="1:15" s="95" customFormat="1" ht="11.1" customHeight="1" outlineLevel="1" x14ac:dyDescent="0.2">
      <c r="A255" s="119"/>
      <c r="B255" s="76" t="s">
        <v>23</v>
      </c>
      <c r="C255" s="82" t="s">
        <v>434</v>
      </c>
      <c r="D255" s="110"/>
      <c r="E255" s="110"/>
      <c r="F255" s="107" t="s">
        <v>45</v>
      </c>
      <c r="G255" s="140">
        <v>0</v>
      </c>
      <c r="H255" s="140">
        <f t="shared" si="105"/>
        <v>0</v>
      </c>
      <c r="I255" s="81" t="str">
        <f t="shared" si="103"/>
        <v>-</v>
      </c>
      <c r="J255" s="140">
        <v>0</v>
      </c>
      <c r="K255" s="140">
        <f t="shared" si="106"/>
        <v>0</v>
      </c>
      <c r="L255" s="140">
        <v>0</v>
      </c>
      <c r="M255" s="80">
        <v>0</v>
      </c>
      <c r="N255" s="81" t="str">
        <f t="shared" si="104"/>
        <v>-</v>
      </c>
      <c r="O255" s="361"/>
    </row>
    <row r="256" spans="1:15" s="95" customFormat="1" ht="11.1" customHeight="1" outlineLevel="1" x14ac:dyDescent="0.2">
      <c r="A256" s="119"/>
      <c r="B256" s="76"/>
      <c r="C256" s="82" t="s">
        <v>435</v>
      </c>
      <c r="D256" s="110"/>
      <c r="E256" s="110"/>
      <c r="F256" s="107" t="s">
        <v>46</v>
      </c>
      <c r="G256" s="140">
        <v>0</v>
      </c>
      <c r="H256" s="140">
        <f t="shared" si="105"/>
        <v>0</v>
      </c>
      <c r="I256" s="81" t="str">
        <f t="shared" si="103"/>
        <v>-</v>
      </c>
      <c r="J256" s="140">
        <v>0</v>
      </c>
      <c r="K256" s="140">
        <f t="shared" si="106"/>
        <v>0</v>
      </c>
      <c r="L256" s="140">
        <v>0</v>
      </c>
      <c r="M256" s="80">
        <v>0</v>
      </c>
      <c r="N256" s="81" t="str">
        <f t="shared" si="104"/>
        <v>-</v>
      </c>
      <c r="O256" s="361"/>
    </row>
    <row r="257" spans="1:15" s="95" customFormat="1" ht="3.95" customHeight="1" outlineLevel="1" x14ac:dyDescent="0.2">
      <c r="A257" s="120"/>
      <c r="B257" s="85"/>
      <c r="C257" s="86"/>
      <c r="D257" s="84"/>
      <c r="E257" s="84"/>
      <c r="F257" s="85"/>
      <c r="G257" s="142"/>
      <c r="H257" s="142"/>
      <c r="I257" s="88"/>
      <c r="J257" s="142"/>
      <c r="K257" s="142"/>
      <c r="L257" s="143"/>
      <c r="M257" s="87"/>
      <c r="N257" s="88"/>
      <c r="O257" s="350"/>
    </row>
    <row r="258" spans="1:15" s="95" customFormat="1" ht="3.95" customHeight="1" outlineLevel="1" x14ac:dyDescent="0.2">
      <c r="A258" s="154"/>
      <c r="B258" s="72"/>
      <c r="C258" s="73"/>
      <c r="D258" s="71"/>
      <c r="E258" s="71"/>
      <c r="F258" s="72"/>
      <c r="G258" s="137"/>
      <c r="H258" s="137"/>
      <c r="I258" s="75"/>
      <c r="J258" s="137"/>
      <c r="K258" s="137"/>
      <c r="L258" s="138"/>
      <c r="M258" s="74"/>
      <c r="N258" s="75"/>
      <c r="O258" s="349"/>
    </row>
    <row r="259" spans="1:15" s="95" customFormat="1" ht="11.1" customHeight="1" outlineLevel="1" x14ac:dyDescent="0.2">
      <c r="A259" s="369" t="s">
        <v>99</v>
      </c>
      <c r="B259" s="76" t="s">
        <v>9</v>
      </c>
      <c r="C259" s="77" t="s">
        <v>56</v>
      </c>
      <c r="D259" s="360" t="s">
        <v>355</v>
      </c>
      <c r="E259" s="360" t="s">
        <v>55</v>
      </c>
      <c r="F259" s="78" t="s">
        <v>28</v>
      </c>
      <c r="G259" s="139">
        <f>SUM(G260:G265)</f>
        <v>921824</v>
      </c>
      <c r="H259" s="139">
        <f>SUM(H260:H265)</f>
        <v>23577</v>
      </c>
      <c r="I259" s="39">
        <f t="shared" ref="I259:I265" si="107">IF(G259&gt;0,H259/G259*100,"-")</f>
        <v>2.5576465789565037</v>
      </c>
      <c r="J259" s="139">
        <f>SUM(J260:J265)</f>
        <v>0</v>
      </c>
      <c r="K259" s="139">
        <f>SUM(K260:K265)</f>
        <v>95987</v>
      </c>
      <c r="L259" s="139">
        <f>SUM(L260:L265)</f>
        <v>95987</v>
      </c>
      <c r="M259" s="38">
        <f>SUM(M260:M265)</f>
        <v>23576.29</v>
      </c>
      <c r="N259" s="39">
        <f t="shared" ref="N259:N265" si="108">IF(L259&gt;0,M259/L259*100,"-")</f>
        <v>24.561961515621906</v>
      </c>
      <c r="O259" s="361" t="s">
        <v>509</v>
      </c>
    </row>
    <row r="260" spans="1:15" s="95" customFormat="1" ht="11.1" customHeight="1" outlineLevel="1" x14ac:dyDescent="0.2">
      <c r="A260" s="369"/>
      <c r="B260" s="76" t="s">
        <v>10</v>
      </c>
      <c r="C260" s="77" t="s">
        <v>429</v>
      </c>
      <c r="D260" s="360"/>
      <c r="E260" s="360"/>
      <c r="F260" s="79" t="s">
        <v>15</v>
      </c>
      <c r="G260" s="140">
        <v>0</v>
      </c>
      <c r="H260" s="140">
        <f t="shared" ref="H260:H265" si="109">ROUNDUP(0+M260,0)</f>
        <v>0</v>
      </c>
      <c r="I260" s="81" t="str">
        <f t="shared" si="107"/>
        <v>-</v>
      </c>
      <c r="J260" s="140">
        <v>0</v>
      </c>
      <c r="K260" s="140">
        <f t="shared" ref="K260:K265" si="110">L260-J260</f>
        <v>0</v>
      </c>
      <c r="L260" s="140">
        <v>0</v>
      </c>
      <c r="M260" s="80">
        <v>0</v>
      </c>
      <c r="N260" s="81" t="str">
        <f t="shared" si="108"/>
        <v>-</v>
      </c>
      <c r="O260" s="361"/>
    </row>
    <row r="261" spans="1:15" s="95" customFormat="1" ht="11.1" customHeight="1" outlineLevel="1" x14ac:dyDescent="0.2">
      <c r="A261" s="369"/>
      <c r="B261" s="76" t="s">
        <v>11</v>
      </c>
      <c r="C261" s="82" t="s">
        <v>436</v>
      </c>
      <c r="D261" s="360"/>
      <c r="E261" s="360"/>
      <c r="F261" s="79" t="s">
        <v>7</v>
      </c>
      <c r="G261" s="140">
        <v>783549</v>
      </c>
      <c r="H261" s="140">
        <f t="shared" si="109"/>
        <v>20040</v>
      </c>
      <c r="I261" s="81">
        <f t="shared" si="107"/>
        <v>2.5575937178147123</v>
      </c>
      <c r="J261" s="140">
        <v>0</v>
      </c>
      <c r="K261" s="140">
        <f t="shared" si="110"/>
        <v>81589</v>
      </c>
      <c r="L261" s="140">
        <v>81589</v>
      </c>
      <c r="M261" s="83">
        <v>20039.900000000001</v>
      </c>
      <c r="N261" s="81">
        <f t="shared" si="108"/>
        <v>24.562012035936217</v>
      </c>
      <c r="O261" s="361"/>
    </row>
    <row r="262" spans="1:15" s="95" customFormat="1" ht="11.1" customHeight="1" outlineLevel="1" x14ac:dyDescent="0.2">
      <c r="A262" s="119"/>
      <c r="B262" s="76" t="s">
        <v>12</v>
      </c>
      <c r="C262" s="82" t="s">
        <v>437</v>
      </c>
      <c r="D262" s="110"/>
      <c r="E262" s="110"/>
      <c r="F262" s="79" t="s">
        <v>8</v>
      </c>
      <c r="G262" s="140">
        <v>0</v>
      </c>
      <c r="H262" s="140">
        <f t="shared" si="109"/>
        <v>0</v>
      </c>
      <c r="I262" s="81" t="str">
        <f t="shared" si="107"/>
        <v>-</v>
      </c>
      <c r="J262" s="140">
        <v>0</v>
      </c>
      <c r="K262" s="140">
        <f t="shared" si="110"/>
        <v>0</v>
      </c>
      <c r="L262" s="140">
        <v>0</v>
      </c>
      <c r="M262" s="80">
        <v>0</v>
      </c>
      <c r="N262" s="81" t="str">
        <f t="shared" si="108"/>
        <v>-</v>
      </c>
      <c r="O262" s="361"/>
    </row>
    <row r="263" spans="1:15" s="95" customFormat="1" ht="11.1" customHeight="1" outlineLevel="1" x14ac:dyDescent="0.2">
      <c r="A263" s="119"/>
      <c r="B263" s="76" t="s">
        <v>23</v>
      </c>
      <c r="C263" s="82" t="s">
        <v>438</v>
      </c>
      <c r="D263" s="110"/>
      <c r="E263" s="110"/>
      <c r="F263" s="79" t="s">
        <v>22</v>
      </c>
      <c r="G263" s="140">
        <v>138275</v>
      </c>
      <c r="H263" s="140">
        <f t="shared" si="109"/>
        <v>3537</v>
      </c>
      <c r="I263" s="81">
        <f t="shared" si="107"/>
        <v>2.557946121858615</v>
      </c>
      <c r="J263" s="140">
        <v>0</v>
      </c>
      <c r="K263" s="140">
        <f t="shared" si="110"/>
        <v>14398</v>
      </c>
      <c r="L263" s="140">
        <v>14398</v>
      </c>
      <c r="M263" s="80">
        <v>3536.39</v>
      </c>
      <c r="N263" s="81">
        <f t="shared" si="108"/>
        <v>24.561675232671202</v>
      </c>
      <c r="O263" s="361"/>
    </row>
    <row r="264" spans="1:15" s="95" customFormat="1" ht="11.1" customHeight="1" outlineLevel="1" x14ac:dyDescent="0.2">
      <c r="A264" s="119"/>
      <c r="B264" s="76"/>
      <c r="C264" s="82" t="s">
        <v>439</v>
      </c>
      <c r="D264" s="110"/>
      <c r="E264" s="110"/>
      <c r="F264" s="107" t="s">
        <v>45</v>
      </c>
      <c r="G264" s="140">
        <v>0</v>
      </c>
      <c r="H264" s="140">
        <f t="shared" si="109"/>
        <v>0</v>
      </c>
      <c r="I264" s="81" t="str">
        <f t="shared" si="107"/>
        <v>-</v>
      </c>
      <c r="J264" s="140">
        <v>0</v>
      </c>
      <c r="K264" s="140">
        <f t="shared" si="110"/>
        <v>0</v>
      </c>
      <c r="L264" s="140">
        <v>0</v>
      </c>
      <c r="M264" s="80">
        <v>0</v>
      </c>
      <c r="N264" s="81" t="str">
        <f t="shared" si="108"/>
        <v>-</v>
      </c>
      <c r="O264" s="361"/>
    </row>
    <row r="265" spans="1:15" s="95" customFormat="1" ht="11.1" customHeight="1" outlineLevel="1" x14ac:dyDescent="0.2">
      <c r="A265" s="119"/>
      <c r="B265" s="76"/>
      <c r="C265" s="82" t="s">
        <v>440</v>
      </c>
      <c r="D265" s="110"/>
      <c r="E265" s="110"/>
      <c r="F265" s="107" t="s">
        <v>46</v>
      </c>
      <c r="G265" s="140">
        <v>0</v>
      </c>
      <c r="H265" s="140">
        <f t="shared" si="109"/>
        <v>0</v>
      </c>
      <c r="I265" s="81" t="str">
        <f t="shared" si="107"/>
        <v>-</v>
      </c>
      <c r="J265" s="140">
        <v>0</v>
      </c>
      <c r="K265" s="140">
        <f t="shared" si="110"/>
        <v>0</v>
      </c>
      <c r="L265" s="140">
        <v>0</v>
      </c>
      <c r="M265" s="80">
        <v>0</v>
      </c>
      <c r="N265" s="81" t="str">
        <f t="shared" si="108"/>
        <v>-</v>
      </c>
      <c r="O265" s="361"/>
    </row>
    <row r="266" spans="1:15" s="95" customFormat="1" ht="3.95" customHeight="1" outlineLevel="1" x14ac:dyDescent="0.2">
      <c r="A266" s="120"/>
      <c r="B266" s="85"/>
      <c r="C266" s="86"/>
      <c r="D266" s="84"/>
      <c r="E266" s="84"/>
      <c r="F266" s="85"/>
      <c r="G266" s="142"/>
      <c r="H266" s="142"/>
      <c r="I266" s="88"/>
      <c r="J266" s="142"/>
      <c r="K266" s="142"/>
      <c r="L266" s="143"/>
      <c r="M266" s="87"/>
      <c r="N266" s="88"/>
      <c r="O266" s="350"/>
    </row>
    <row r="267" spans="1:15" ht="3.95" customHeight="1" outlineLevel="1" x14ac:dyDescent="0.2">
      <c r="A267" s="59"/>
      <c r="B267" s="60"/>
      <c r="C267" s="61"/>
      <c r="D267" s="62"/>
      <c r="E267" s="62"/>
      <c r="F267" s="59"/>
      <c r="G267" s="133"/>
      <c r="H267" s="133"/>
      <c r="I267" s="59"/>
      <c r="J267" s="133"/>
      <c r="K267" s="133"/>
      <c r="L267" s="133"/>
      <c r="M267" s="63"/>
      <c r="N267" s="64"/>
      <c r="O267" s="346"/>
    </row>
    <row r="268" spans="1:15" ht="11.45" customHeight="1" outlineLevel="1" x14ac:dyDescent="0.2">
      <c r="A268" s="28" t="s">
        <v>65</v>
      </c>
      <c r="B268" s="376" t="s">
        <v>66</v>
      </c>
      <c r="C268" s="377"/>
      <c r="D268" s="29"/>
      <c r="E268" s="29"/>
      <c r="F268" s="30"/>
      <c r="G268" s="134">
        <f>SUM(G269:G274)</f>
        <v>10601836</v>
      </c>
      <c r="H268" s="134">
        <f>SUM(H269:H274)</f>
        <v>6256790</v>
      </c>
      <c r="I268" s="32">
        <f>IF(G268&gt;0,H268/G268*100,"-")</f>
        <v>59.016098721013989</v>
      </c>
      <c r="J268" s="134">
        <f>SUM(J269:J274)</f>
        <v>2657906</v>
      </c>
      <c r="K268" s="134">
        <f>SUM(K269:K274)</f>
        <v>2676956</v>
      </c>
      <c r="L268" s="134">
        <f>SUM(L269:L274)</f>
        <v>5334862</v>
      </c>
      <c r="M268" s="31">
        <f>SUM(M269:M274)</f>
        <v>3954821.8300000005</v>
      </c>
      <c r="N268" s="32">
        <f t="shared" ref="N268:N274" si="111">IF(L268&gt;0,M268/L268*100,"-")</f>
        <v>74.131661325072713</v>
      </c>
      <c r="O268" s="347"/>
    </row>
    <row r="269" spans="1:15" ht="11.45" customHeight="1" outlineLevel="1" x14ac:dyDescent="0.2">
      <c r="A269" s="30"/>
      <c r="B269" s="33"/>
      <c r="C269" s="34"/>
      <c r="D269" s="29"/>
      <c r="E269" s="29"/>
      <c r="F269" s="35" t="s">
        <v>15</v>
      </c>
      <c r="G269" s="135">
        <f>G278+G291+G302+G311+G320+G329+G338+G347+G356+G365+G374+G383+G392+G401+G410+G419+G428+G437+G446+G455+G464+G474+G483</f>
        <v>4300</v>
      </c>
      <c r="H269" s="135">
        <f>H278+H291+H302+H311+H320+H329+H338+H347+H356+H365+H374+H383+H392+H401+H410+H419+H428+H437+H446+H455+H464+H474+H483</f>
        <v>4300</v>
      </c>
      <c r="I269" s="37">
        <f t="shared" ref="I269:I274" si="112">IF(G269&gt;0,H269/G269*100,"-")</f>
        <v>100</v>
      </c>
      <c r="J269" s="135">
        <f>J278+J291+J302+J311+J320+J329+J338+J347+J356+J365+J374+J383+J392+J401+J410+J419+J428+J437+J446+J455+J464+J474+J483</f>
        <v>0</v>
      </c>
      <c r="K269" s="135">
        <f>K278+K291+K302+K311+K320+K329+K338+K347+K356+K365+K374+K383+K392+K401+K410+K419+K428+K437+K446+K455+K464+K474+K483</f>
        <v>0</v>
      </c>
      <c r="L269" s="135">
        <f>L278+L291+L302+L311+L320+L329+L338+L347+L356+L365+L374+L383+L392+L401+L410+L419+L428+L437+L446+L455+L464+L474+L483</f>
        <v>0</v>
      </c>
      <c r="M269" s="36">
        <f>M278+M291+M302+M311+M320+M329+M338+M347+M356+M365+M374+M383+M392+M401+M410+M419+M428+M437+M446+M455+M464+M474+M483</f>
        <v>0</v>
      </c>
      <c r="N269" s="37" t="str">
        <f t="shared" si="111"/>
        <v>-</v>
      </c>
      <c r="O269" s="347"/>
    </row>
    <row r="270" spans="1:15" ht="11.45" customHeight="1" outlineLevel="1" x14ac:dyDescent="0.2">
      <c r="A270" s="30"/>
      <c r="B270" s="33"/>
      <c r="C270" s="34"/>
      <c r="D270" s="29"/>
      <c r="E270" s="29"/>
      <c r="F270" s="35" t="s">
        <v>7</v>
      </c>
      <c r="G270" s="135">
        <f t="shared" ref="G270:H274" si="113">G279+G292+G303+G312+G321+G330+G339+G348+G357+G366+G375+G384+G393+G402+G411+G420+G429+G438+G447+G456+G465+G475+G484</f>
        <v>9724043</v>
      </c>
      <c r="H270" s="135">
        <f t="shared" si="113"/>
        <v>5733525</v>
      </c>
      <c r="I270" s="37">
        <f t="shared" si="112"/>
        <v>58.962357529681839</v>
      </c>
      <c r="J270" s="135">
        <f t="shared" ref="J270:M270" si="114">J279+J292+J303+J312+J321+J330+J339+J348+J357+J366+J375+J384+J393+J402+J411+J420+J429+J438+J447+J456+J465+J475+J484</f>
        <v>2460158</v>
      </c>
      <c r="K270" s="135">
        <f t="shared" si="114"/>
        <v>2529234</v>
      </c>
      <c r="L270" s="135">
        <f t="shared" si="114"/>
        <v>4989392</v>
      </c>
      <c r="M270" s="36">
        <f t="shared" si="114"/>
        <v>3628217.4500000007</v>
      </c>
      <c r="N270" s="37">
        <f t="shared" si="111"/>
        <v>72.718628842953223</v>
      </c>
      <c r="O270" s="347"/>
    </row>
    <row r="271" spans="1:15" ht="11.45" customHeight="1" outlineLevel="1" x14ac:dyDescent="0.2">
      <c r="A271" s="30"/>
      <c r="B271" s="33"/>
      <c r="C271" s="34"/>
      <c r="D271" s="29"/>
      <c r="E271" s="29"/>
      <c r="F271" s="35" t="s">
        <v>8</v>
      </c>
      <c r="G271" s="135">
        <f t="shared" si="113"/>
        <v>0</v>
      </c>
      <c r="H271" s="135">
        <f t="shared" si="113"/>
        <v>0</v>
      </c>
      <c r="I271" s="37" t="str">
        <f t="shared" si="112"/>
        <v>-</v>
      </c>
      <c r="J271" s="135">
        <f t="shared" ref="J271:M271" si="115">J280+J293+J304+J313+J322+J331+J340+J349+J358+J367+J376+J385+J394+J403+J412+J421+J430+J439+J448+J457+J466+J476+J485</f>
        <v>0</v>
      </c>
      <c r="K271" s="135">
        <f t="shared" si="115"/>
        <v>0</v>
      </c>
      <c r="L271" s="135">
        <f t="shared" si="115"/>
        <v>0</v>
      </c>
      <c r="M271" s="36">
        <f t="shared" si="115"/>
        <v>0</v>
      </c>
      <c r="N271" s="37" t="str">
        <f t="shared" si="111"/>
        <v>-</v>
      </c>
      <c r="O271" s="347"/>
    </row>
    <row r="272" spans="1:15" ht="11.45" customHeight="1" outlineLevel="1" x14ac:dyDescent="0.2">
      <c r="A272" s="30"/>
      <c r="B272" s="33"/>
      <c r="C272" s="34"/>
      <c r="D272" s="29"/>
      <c r="E272" s="29"/>
      <c r="F272" s="35" t="s">
        <v>22</v>
      </c>
      <c r="G272" s="135">
        <f t="shared" si="113"/>
        <v>873493</v>
      </c>
      <c r="H272" s="135">
        <f t="shared" si="113"/>
        <v>518965</v>
      </c>
      <c r="I272" s="37">
        <f t="shared" si="112"/>
        <v>59.412611205813903</v>
      </c>
      <c r="J272" s="135">
        <f t="shared" ref="J272:M272" si="116">J281+J294+J305+J314+J323+J332+J341+J350+J359+J368+J377+J386+J395+J404+J413+J422+J431+J440+J449+J458+J467+J477+J486</f>
        <v>197748</v>
      </c>
      <c r="K272" s="135">
        <f t="shared" si="116"/>
        <v>147722</v>
      </c>
      <c r="L272" s="135">
        <f t="shared" si="116"/>
        <v>345470</v>
      </c>
      <c r="M272" s="36">
        <f t="shared" si="116"/>
        <v>326604.38</v>
      </c>
      <c r="N272" s="37">
        <f t="shared" si="111"/>
        <v>94.539143775146911</v>
      </c>
      <c r="O272" s="347"/>
    </row>
    <row r="273" spans="1:16" ht="11.45" customHeight="1" outlineLevel="1" x14ac:dyDescent="0.2">
      <c r="A273" s="30"/>
      <c r="B273" s="33"/>
      <c r="C273" s="34"/>
      <c r="D273" s="29"/>
      <c r="E273" s="29"/>
      <c r="F273" s="35" t="s">
        <v>45</v>
      </c>
      <c r="G273" s="135">
        <f t="shared" si="113"/>
        <v>0</v>
      </c>
      <c r="H273" s="135">
        <f t="shared" si="113"/>
        <v>0</v>
      </c>
      <c r="I273" s="37" t="str">
        <f t="shared" si="112"/>
        <v>-</v>
      </c>
      <c r="J273" s="135">
        <f t="shared" ref="J273:M273" si="117">J282+J295+J306+J315+J324+J333+J342+J351+J360+J369+J378+J387+J396+J405+J414+J423+J432+J441+J450+J459+J468+J478+J487</f>
        <v>0</v>
      </c>
      <c r="K273" s="135">
        <f t="shared" si="117"/>
        <v>0</v>
      </c>
      <c r="L273" s="135">
        <f t="shared" si="117"/>
        <v>0</v>
      </c>
      <c r="M273" s="36">
        <f t="shared" si="117"/>
        <v>0</v>
      </c>
      <c r="N273" s="37" t="str">
        <f t="shared" si="111"/>
        <v>-</v>
      </c>
      <c r="O273" s="347"/>
    </row>
    <row r="274" spans="1:16" ht="11.45" customHeight="1" outlineLevel="1" x14ac:dyDescent="0.2">
      <c r="A274" s="30"/>
      <c r="B274" s="33"/>
      <c r="C274" s="34"/>
      <c r="D274" s="29"/>
      <c r="E274" s="29"/>
      <c r="F274" s="35" t="s">
        <v>46</v>
      </c>
      <c r="G274" s="135">
        <f t="shared" si="113"/>
        <v>0</v>
      </c>
      <c r="H274" s="135">
        <f t="shared" si="113"/>
        <v>0</v>
      </c>
      <c r="I274" s="37" t="str">
        <f t="shared" si="112"/>
        <v>-</v>
      </c>
      <c r="J274" s="135">
        <f t="shared" ref="J274:M274" si="118">J283+J296+J307+J316+J325+J334+J343+J352+J361+J370+J379+J388+J397+J406+J415+J424+J433+J442+J451+J460+J469+J479+J488</f>
        <v>0</v>
      </c>
      <c r="K274" s="135">
        <f t="shared" si="118"/>
        <v>0</v>
      </c>
      <c r="L274" s="135">
        <f t="shared" si="118"/>
        <v>0</v>
      </c>
      <c r="M274" s="36">
        <f t="shared" si="118"/>
        <v>0</v>
      </c>
      <c r="N274" s="37" t="str">
        <f t="shared" si="111"/>
        <v>-</v>
      </c>
      <c r="O274" s="347"/>
    </row>
    <row r="275" spans="1:16" ht="3.95" customHeight="1" outlineLevel="1" x14ac:dyDescent="0.2">
      <c r="A275" s="65"/>
      <c r="B275" s="66"/>
      <c r="C275" s="67"/>
      <c r="D275" s="68"/>
      <c r="E275" s="68"/>
      <c r="F275" s="65"/>
      <c r="G275" s="136"/>
      <c r="H275" s="136"/>
      <c r="I275" s="70"/>
      <c r="J275" s="136"/>
      <c r="K275" s="136"/>
      <c r="L275" s="136"/>
      <c r="M275" s="69"/>
      <c r="N275" s="70"/>
      <c r="O275" s="348"/>
    </row>
    <row r="276" spans="1:16" s="15" customFormat="1" ht="3.95" customHeight="1" outlineLevel="1" x14ac:dyDescent="0.2">
      <c r="A276" s="197"/>
      <c r="B276" s="72"/>
      <c r="C276" s="248"/>
      <c r="D276" s="191"/>
      <c r="E276" s="191"/>
      <c r="F276" s="238"/>
      <c r="G276" s="236"/>
      <c r="H276" s="236"/>
      <c r="I276" s="239"/>
      <c r="J276" s="236"/>
      <c r="K276" s="236"/>
      <c r="L276" s="137"/>
      <c r="M276" s="243"/>
      <c r="N276" s="75"/>
      <c r="O276" s="351"/>
      <c r="P276" s="173"/>
    </row>
    <row r="277" spans="1:16" s="15" customFormat="1" ht="11.1" customHeight="1" outlineLevel="1" x14ac:dyDescent="0.2">
      <c r="A277" s="368" t="s">
        <v>100</v>
      </c>
      <c r="B277" s="76" t="s">
        <v>9</v>
      </c>
      <c r="C277" s="177" t="s">
        <v>56</v>
      </c>
      <c r="D277" s="360" t="s">
        <v>214</v>
      </c>
      <c r="E277" s="360" t="s">
        <v>55</v>
      </c>
      <c r="F277" s="240" t="s">
        <v>183</v>
      </c>
      <c r="G277" s="175">
        <f>SUM(G278:G283)</f>
        <v>2158730</v>
      </c>
      <c r="H277" s="175">
        <f>SUM(H278:H283)</f>
        <v>1799159</v>
      </c>
      <c r="I277" s="39">
        <f t="shared" ref="I277:I283" si="119">IF(G277&gt;0,H277/G277*100,"-")</f>
        <v>83.343400981132419</v>
      </c>
      <c r="J277" s="175">
        <f>SUM(J278:J283)</f>
        <v>696015</v>
      </c>
      <c r="K277" s="175">
        <f>SUM(K278:K283)</f>
        <v>71921</v>
      </c>
      <c r="L277" s="242">
        <f>SUM(L278:L283)</f>
        <v>767936</v>
      </c>
      <c r="M277" s="176">
        <f>SUM(M278:M283)</f>
        <v>743322.93</v>
      </c>
      <c r="N277" s="39">
        <f t="shared" ref="N277:N283" si="120">IF(L277&gt;0,M277/L277*100,"-")</f>
        <v>96.794906085923841</v>
      </c>
      <c r="O277" s="366" t="s">
        <v>510</v>
      </c>
      <c r="P277" s="173"/>
    </row>
    <row r="278" spans="1:16" s="15" customFormat="1" ht="11.1" customHeight="1" outlineLevel="1" x14ac:dyDescent="0.2">
      <c r="A278" s="368"/>
      <c r="B278" s="76" t="s">
        <v>10</v>
      </c>
      <c r="C278" s="177" t="s">
        <v>82</v>
      </c>
      <c r="D278" s="360"/>
      <c r="E278" s="360"/>
      <c r="F278" s="79" t="s">
        <v>15</v>
      </c>
      <c r="G278" s="169">
        <v>0</v>
      </c>
      <c r="H278" s="140">
        <f>ROUNDUP(0+M278,0)</f>
        <v>0</v>
      </c>
      <c r="I278" s="81" t="str">
        <f t="shared" si="119"/>
        <v>-</v>
      </c>
      <c r="J278" s="169">
        <v>0</v>
      </c>
      <c r="K278" s="164">
        <f t="shared" ref="K278:K283" si="121">L278-J278</f>
        <v>0</v>
      </c>
      <c r="L278" s="140">
        <v>0</v>
      </c>
      <c r="M278" s="89">
        <v>0</v>
      </c>
      <c r="N278" s="81" t="str">
        <f t="shared" si="120"/>
        <v>-</v>
      </c>
      <c r="O278" s="367"/>
      <c r="P278" s="173"/>
    </row>
    <row r="279" spans="1:16" s="15" customFormat="1" ht="11.1" customHeight="1" outlineLevel="1" x14ac:dyDescent="0.2">
      <c r="A279" s="368"/>
      <c r="B279" s="76" t="s">
        <v>11</v>
      </c>
      <c r="C279" s="172" t="s">
        <v>441</v>
      </c>
      <c r="D279" s="360"/>
      <c r="E279" s="360"/>
      <c r="F279" s="79" t="s">
        <v>7</v>
      </c>
      <c r="G279" s="169">
        <v>1834920</v>
      </c>
      <c r="H279" s="169">
        <f>ROUNDUP(909900+M279,0)</f>
        <v>1529285</v>
      </c>
      <c r="I279" s="81">
        <f t="shared" si="119"/>
        <v>83.343415516752771</v>
      </c>
      <c r="J279" s="169">
        <v>591613</v>
      </c>
      <c r="K279" s="164">
        <f t="shared" si="121"/>
        <v>48691</v>
      </c>
      <c r="L279" s="140">
        <v>640304</v>
      </c>
      <c r="M279" s="89">
        <v>619384.16</v>
      </c>
      <c r="N279" s="81">
        <f t="shared" si="120"/>
        <v>96.732826907219078</v>
      </c>
      <c r="O279" s="367"/>
      <c r="P279" s="173"/>
    </row>
    <row r="280" spans="1:16" s="15" customFormat="1" ht="11.1" customHeight="1" outlineLevel="1" x14ac:dyDescent="0.2">
      <c r="A280" s="217"/>
      <c r="B280" s="76"/>
      <c r="C280" s="172" t="s">
        <v>192</v>
      </c>
      <c r="D280" s="110"/>
      <c r="E280" s="194"/>
      <c r="F280" s="79" t="s">
        <v>8</v>
      </c>
      <c r="G280" s="169">
        <v>0</v>
      </c>
      <c r="H280" s="140">
        <f>ROUNDUP(0+M280,0)</f>
        <v>0</v>
      </c>
      <c r="I280" s="81" t="str">
        <f t="shared" si="119"/>
        <v>-</v>
      </c>
      <c r="J280" s="169">
        <v>0</v>
      </c>
      <c r="K280" s="164">
        <f t="shared" si="121"/>
        <v>0</v>
      </c>
      <c r="L280" s="140">
        <v>0</v>
      </c>
      <c r="M280" s="89">
        <v>0</v>
      </c>
      <c r="N280" s="81" t="str">
        <f t="shared" si="120"/>
        <v>-</v>
      </c>
      <c r="O280" s="367"/>
      <c r="P280" s="173"/>
    </row>
    <row r="281" spans="1:16" s="15" customFormat="1" ht="11.1" customHeight="1" outlineLevel="1" x14ac:dyDescent="0.2">
      <c r="A281" s="217"/>
      <c r="B281" s="76" t="s">
        <v>12</v>
      </c>
      <c r="C281" s="172" t="s">
        <v>230</v>
      </c>
      <c r="D281" s="110"/>
      <c r="E281" s="194"/>
      <c r="F281" s="79" t="s">
        <v>22</v>
      </c>
      <c r="G281" s="169">
        <v>323810</v>
      </c>
      <c r="H281" s="169">
        <f>ROUNDUP(145935+M281,0)</f>
        <v>269874</v>
      </c>
      <c r="I281" s="81">
        <f t="shared" si="119"/>
        <v>83.343318612766751</v>
      </c>
      <c r="J281" s="169">
        <v>104402</v>
      </c>
      <c r="K281" s="164">
        <f t="shared" si="121"/>
        <v>23230</v>
      </c>
      <c r="L281" s="140">
        <v>127632</v>
      </c>
      <c r="M281" s="89">
        <v>123938.77</v>
      </c>
      <c r="N281" s="81">
        <f t="shared" si="120"/>
        <v>97.106344803810956</v>
      </c>
      <c r="O281" s="367"/>
      <c r="P281" s="173"/>
    </row>
    <row r="282" spans="1:16" s="15" customFormat="1" ht="11.1" customHeight="1" outlineLevel="1" x14ac:dyDescent="0.2">
      <c r="A282" s="217"/>
      <c r="B282" s="76"/>
      <c r="C282" s="172" t="s">
        <v>195</v>
      </c>
      <c r="D282" s="110"/>
      <c r="E282" s="194"/>
      <c r="F282" s="107" t="s">
        <v>45</v>
      </c>
      <c r="G282" s="169">
        <v>0</v>
      </c>
      <c r="H282" s="140">
        <f>ROUNDUP(0+M282,0)</f>
        <v>0</v>
      </c>
      <c r="I282" s="170" t="str">
        <f t="shared" si="119"/>
        <v>-</v>
      </c>
      <c r="J282" s="169">
        <v>0</v>
      </c>
      <c r="K282" s="164">
        <f t="shared" si="121"/>
        <v>0</v>
      </c>
      <c r="L282" s="140">
        <v>0</v>
      </c>
      <c r="M282" s="89">
        <v>0</v>
      </c>
      <c r="N282" s="81" t="str">
        <f t="shared" si="120"/>
        <v>-</v>
      </c>
      <c r="O282" s="367"/>
      <c r="P282" s="173"/>
    </row>
    <row r="283" spans="1:16" s="15" customFormat="1" ht="11.1" customHeight="1" outlineLevel="1" x14ac:dyDescent="0.2">
      <c r="A283" s="217"/>
      <c r="B283" s="76" t="s">
        <v>23</v>
      </c>
      <c r="C283" s="82" t="s">
        <v>217</v>
      </c>
      <c r="D283" s="110"/>
      <c r="E283" s="194"/>
      <c r="F283" s="107" t="s">
        <v>46</v>
      </c>
      <c r="G283" s="169">
        <v>0</v>
      </c>
      <c r="H283" s="140">
        <f>ROUNDUP(0+M283,0)</f>
        <v>0</v>
      </c>
      <c r="I283" s="170" t="str">
        <f t="shared" si="119"/>
        <v>-</v>
      </c>
      <c r="J283" s="169">
        <v>0</v>
      </c>
      <c r="K283" s="164">
        <f t="shared" si="121"/>
        <v>0</v>
      </c>
      <c r="L283" s="140">
        <v>0</v>
      </c>
      <c r="M283" s="89">
        <v>0</v>
      </c>
      <c r="N283" s="81" t="str">
        <f t="shared" si="120"/>
        <v>-</v>
      </c>
      <c r="O283" s="367"/>
      <c r="P283" s="173"/>
    </row>
    <row r="284" spans="1:16" s="15" customFormat="1" ht="11.1" customHeight="1" outlineLevel="1" x14ac:dyDescent="0.2">
      <c r="A284" s="231"/>
      <c r="B284" s="76"/>
      <c r="C284" s="82" t="s">
        <v>218</v>
      </c>
      <c r="D284" s="308"/>
      <c r="E284" s="307"/>
      <c r="F284" s="107"/>
      <c r="G284" s="169"/>
      <c r="H284" s="169"/>
      <c r="I284" s="170"/>
      <c r="J284" s="169"/>
      <c r="K284" s="169"/>
      <c r="L284" s="140"/>
      <c r="M284" s="89"/>
      <c r="N284" s="81"/>
      <c r="O284" s="352"/>
      <c r="P284" s="173"/>
    </row>
    <row r="285" spans="1:16" s="15" customFormat="1" ht="11.1" customHeight="1" outlineLevel="1" x14ac:dyDescent="0.2">
      <c r="A285" s="231"/>
      <c r="B285" s="76"/>
      <c r="C285" s="82" t="s">
        <v>219</v>
      </c>
      <c r="D285" s="308"/>
      <c r="E285" s="307"/>
      <c r="F285" s="107"/>
      <c r="G285" s="169"/>
      <c r="H285" s="169"/>
      <c r="I285" s="170"/>
      <c r="J285" s="169"/>
      <c r="K285" s="169"/>
      <c r="L285" s="140"/>
      <c r="M285" s="89"/>
      <c r="N285" s="81"/>
      <c r="O285" s="352"/>
      <c r="P285" s="173"/>
    </row>
    <row r="286" spans="1:16" s="15" customFormat="1" ht="11.1" customHeight="1" outlineLevel="1" x14ac:dyDescent="0.2">
      <c r="A286" s="231"/>
      <c r="B286" s="76"/>
      <c r="C286" s="82" t="s">
        <v>220</v>
      </c>
      <c r="D286" s="308"/>
      <c r="E286" s="307"/>
      <c r="F286" s="107"/>
      <c r="G286" s="169"/>
      <c r="H286" s="169"/>
      <c r="I286" s="170"/>
      <c r="J286" s="169"/>
      <c r="K286" s="169"/>
      <c r="L286" s="140"/>
      <c r="M286" s="89"/>
      <c r="N286" s="81"/>
      <c r="O286" s="352"/>
      <c r="P286" s="173"/>
    </row>
    <row r="287" spans="1:16" s="15" customFormat="1" ht="11.1" customHeight="1" outlineLevel="1" x14ac:dyDescent="0.2">
      <c r="A287" s="231"/>
      <c r="B287" s="76"/>
      <c r="C287" s="82" t="s">
        <v>221</v>
      </c>
      <c r="D287" s="308"/>
      <c r="E287" s="307"/>
      <c r="F287" s="107"/>
      <c r="G287" s="169"/>
      <c r="H287" s="169"/>
      <c r="I287" s="170"/>
      <c r="J287" s="169"/>
      <c r="K287" s="169"/>
      <c r="L287" s="140"/>
      <c r="M287" s="89"/>
      <c r="N287" s="81"/>
      <c r="O287" s="352"/>
      <c r="P287" s="173"/>
    </row>
    <row r="288" spans="1:16" s="15" customFormat="1" ht="3.95" customHeight="1" outlineLevel="1" x14ac:dyDescent="0.2">
      <c r="A288" s="233"/>
      <c r="B288" s="85"/>
      <c r="C288" s="178"/>
      <c r="D288" s="192"/>
      <c r="E288" s="193"/>
      <c r="F288" s="216"/>
      <c r="G288" s="171"/>
      <c r="H288" s="171"/>
      <c r="I288" s="179"/>
      <c r="J288" s="171"/>
      <c r="K288" s="171"/>
      <c r="L288" s="143"/>
      <c r="M288" s="180"/>
      <c r="N288" s="88"/>
      <c r="O288" s="353"/>
      <c r="P288" s="173"/>
    </row>
    <row r="289" spans="1:16" s="15" customFormat="1" ht="3.95" customHeight="1" outlineLevel="1" x14ac:dyDescent="0.2">
      <c r="A289" s="234"/>
      <c r="B289" s="72"/>
      <c r="C289" s="248"/>
      <c r="D289" s="191"/>
      <c r="E289" s="235"/>
      <c r="F289" s="238"/>
      <c r="G289" s="236"/>
      <c r="H289" s="236"/>
      <c r="I289" s="239"/>
      <c r="J289" s="236"/>
      <c r="K289" s="236"/>
      <c r="L289" s="138"/>
      <c r="M289" s="243"/>
      <c r="N289" s="75"/>
      <c r="O289" s="351"/>
      <c r="P289" s="173"/>
    </row>
    <row r="290" spans="1:16" s="15" customFormat="1" ht="11.1" customHeight="1" outlineLevel="1" x14ac:dyDescent="0.2">
      <c r="A290" s="368" t="s">
        <v>101</v>
      </c>
      <c r="B290" s="76" t="s">
        <v>9</v>
      </c>
      <c r="C290" s="150" t="s">
        <v>56</v>
      </c>
      <c r="D290" s="360" t="s">
        <v>214</v>
      </c>
      <c r="E290" s="360" t="s">
        <v>55</v>
      </c>
      <c r="F290" s="240" t="s">
        <v>183</v>
      </c>
      <c r="G290" s="175">
        <f>SUM(G291:G296)</f>
        <v>999980</v>
      </c>
      <c r="H290" s="175">
        <f>SUM(H291:H296)</f>
        <v>666291</v>
      </c>
      <c r="I290" s="39">
        <f t="shared" ref="I290:I296" si="122">IF(G290&gt;0,H290/G290*100,"-")</f>
        <v>66.630432608652171</v>
      </c>
      <c r="J290" s="175">
        <f>SUM(J291:J296)</f>
        <v>432260</v>
      </c>
      <c r="K290" s="175">
        <f>SUM(K291:K296)</f>
        <v>17480</v>
      </c>
      <c r="L290" s="242">
        <f>SUM(L291:L296)</f>
        <v>449740</v>
      </c>
      <c r="M290" s="176">
        <f>SUM(M291:M296)</f>
        <v>443637.66000000003</v>
      </c>
      <c r="N290" s="39">
        <f t="shared" ref="N290:N296" si="123">IF(L290&gt;0,M290/L290*100,"-")</f>
        <v>98.643140481166895</v>
      </c>
      <c r="O290" s="366" t="s">
        <v>510</v>
      </c>
      <c r="P290" s="173"/>
    </row>
    <row r="291" spans="1:16" s="15" customFormat="1" ht="11.1" customHeight="1" outlineLevel="1" x14ac:dyDescent="0.2">
      <c r="A291" s="368"/>
      <c r="B291" s="76" t="s">
        <v>10</v>
      </c>
      <c r="C291" s="82" t="s">
        <v>82</v>
      </c>
      <c r="D291" s="360"/>
      <c r="E291" s="360"/>
      <c r="F291" s="79" t="s">
        <v>15</v>
      </c>
      <c r="G291" s="169">
        <v>0</v>
      </c>
      <c r="H291" s="140">
        <f>ROUNDUP(0+M291,0)</f>
        <v>0</v>
      </c>
      <c r="I291" s="81" t="str">
        <f t="shared" si="122"/>
        <v>-</v>
      </c>
      <c r="J291" s="169">
        <v>0</v>
      </c>
      <c r="K291" s="164">
        <f t="shared" ref="K291:K296" si="124">L291-J291</f>
        <v>0</v>
      </c>
      <c r="L291" s="140">
        <v>0</v>
      </c>
      <c r="M291" s="89">
        <v>0</v>
      </c>
      <c r="N291" s="81" t="str">
        <f t="shared" si="123"/>
        <v>-</v>
      </c>
      <c r="O291" s="367"/>
      <c r="P291" s="173"/>
    </row>
    <row r="292" spans="1:16" s="15" customFormat="1" ht="11.1" customHeight="1" outlineLevel="1" x14ac:dyDescent="0.2">
      <c r="A292" s="368"/>
      <c r="B292" s="76" t="s">
        <v>11</v>
      </c>
      <c r="C292" s="82" t="s">
        <v>193</v>
      </c>
      <c r="D292" s="360"/>
      <c r="E292" s="360"/>
      <c r="F292" s="79" t="s">
        <v>7</v>
      </c>
      <c r="G292" s="169">
        <v>849982</v>
      </c>
      <c r="H292" s="169">
        <f>ROUNDUP(189254+M292,0)</f>
        <v>566347</v>
      </c>
      <c r="I292" s="81">
        <f t="shared" si="122"/>
        <v>66.630469821713874</v>
      </c>
      <c r="J292" s="169">
        <v>367421</v>
      </c>
      <c r="K292" s="164">
        <f t="shared" si="124"/>
        <v>14857</v>
      </c>
      <c r="L292" s="140">
        <v>382278</v>
      </c>
      <c r="M292" s="89">
        <v>377092.01</v>
      </c>
      <c r="N292" s="81">
        <f t="shared" si="123"/>
        <v>98.643398259905098</v>
      </c>
      <c r="O292" s="367"/>
      <c r="P292" s="173"/>
    </row>
    <row r="293" spans="1:16" s="15" customFormat="1" ht="11.1" customHeight="1" outlineLevel="1" x14ac:dyDescent="0.2">
      <c r="A293" s="217"/>
      <c r="B293" s="76"/>
      <c r="C293" s="82" t="s">
        <v>192</v>
      </c>
      <c r="D293" s="110"/>
      <c r="E293" s="194"/>
      <c r="F293" s="79" t="s">
        <v>8</v>
      </c>
      <c r="G293" s="169">
        <v>0</v>
      </c>
      <c r="H293" s="140">
        <f>ROUNDUP(0+M293,0)</f>
        <v>0</v>
      </c>
      <c r="I293" s="81" t="str">
        <f t="shared" si="122"/>
        <v>-</v>
      </c>
      <c r="J293" s="169">
        <v>0</v>
      </c>
      <c r="K293" s="164">
        <f t="shared" si="124"/>
        <v>0</v>
      </c>
      <c r="L293" s="140">
        <v>0</v>
      </c>
      <c r="M293" s="89">
        <v>0</v>
      </c>
      <c r="N293" s="81" t="str">
        <f t="shared" si="123"/>
        <v>-</v>
      </c>
      <c r="O293" s="367"/>
      <c r="P293" s="173"/>
    </row>
    <row r="294" spans="1:16" s="15" customFormat="1" ht="11.1" customHeight="1" outlineLevel="1" x14ac:dyDescent="0.2">
      <c r="A294" s="217"/>
      <c r="B294" s="76" t="s">
        <v>12</v>
      </c>
      <c r="C294" s="82" t="s">
        <v>307</v>
      </c>
      <c r="D294" s="110"/>
      <c r="E294" s="194"/>
      <c r="F294" s="79" t="s">
        <v>22</v>
      </c>
      <c r="G294" s="169">
        <v>149998</v>
      </c>
      <c r="H294" s="169">
        <f>ROUNDUP(33398+M294,0)</f>
        <v>99944</v>
      </c>
      <c r="I294" s="81">
        <f t="shared" si="122"/>
        <v>66.630221736289812</v>
      </c>
      <c r="J294" s="169">
        <v>64839</v>
      </c>
      <c r="K294" s="164">
        <f t="shared" si="124"/>
        <v>2623</v>
      </c>
      <c r="L294" s="140">
        <v>67462</v>
      </c>
      <c r="M294" s="89">
        <v>66545.649999999994</v>
      </c>
      <c r="N294" s="81">
        <f t="shared" si="123"/>
        <v>98.641679760457734</v>
      </c>
      <c r="O294" s="367"/>
      <c r="P294" s="173"/>
    </row>
    <row r="295" spans="1:16" s="15" customFormat="1" ht="11.1" customHeight="1" outlineLevel="1" x14ac:dyDescent="0.2">
      <c r="A295" s="217"/>
      <c r="B295" s="76"/>
      <c r="C295" s="82" t="s">
        <v>308</v>
      </c>
      <c r="D295" s="110"/>
      <c r="E295" s="194"/>
      <c r="F295" s="107" t="s">
        <v>45</v>
      </c>
      <c r="G295" s="169">
        <v>0</v>
      </c>
      <c r="H295" s="140">
        <f>ROUNDUP(0+M295,0)</f>
        <v>0</v>
      </c>
      <c r="I295" s="170" t="str">
        <f t="shared" si="122"/>
        <v>-</v>
      </c>
      <c r="J295" s="169">
        <v>0</v>
      </c>
      <c r="K295" s="164">
        <f t="shared" si="124"/>
        <v>0</v>
      </c>
      <c r="L295" s="140">
        <v>0</v>
      </c>
      <c r="M295" s="89">
        <v>0</v>
      </c>
      <c r="N295" s="81" t="str">
        <f t="shared" si="123"/>
        <v>-</v>
      </c>
      <c r="O295" s="367"/>
      <c r="P295" s="173"/>
    </row>
    <row r="296" spans="1:16" s="15" customFormat="1" ht="11.1" customHeight="1" outlineLevel="1" x14ac:dyDescent="0.2">
      <c r="A296" s="217"/>
      <c r="B296" s="76" t="s">
        <v>23</v>
      </c>
      <c r="C296" s="82" t="s">
        <v>358</v>
      </c>
      <c r="D296" s="110"/>
      <c r="E296" s="194"/>
      <c r="F296" s="107" t="s">
        <v>46</v>
      </c>
      <c r="G296" s="169">
        <v>0</v>
      </c>
      <c r="H296" s="140">
        <f>ROUNDUP(0+M296,0)</f>
        <v>0</v>
      </c>
      <c r="I296" s="170" t="str">
        <f t="shared" si="122"/>
        <v>-</v>
      </c>
      <c r="J296" s="169">
        <v>0</v>
      </c>
      <c r="K296" s="164">
        <f t="shared" si="124"/>
        <v>0</v>
      </c>
      <c r="L296" s="140">
        <v>0</v>
      </c>
      <c r="M296" s="89">
        <v>0</v>
      </c>
      <c r="N296" s="81" t="str">
        <f t="shared" si="123"/>
        <v>-</v>
      </c>
      <c r="O296" s="367"/>
      <c r="P296" s="173"/>
    </row>
    <row r="297" spans="1:16" s="15" customFormat="1" ht="11.1" customHeight="1" outlineLevel="1" x14ac:dyDescent="0.2">
      <c r="A297" s="310"/>
      <c r="B297" s="76"/>
      <c r="C297" s="82" t="s">
        <v>359</v>
      </c>
      <c r="D297" s="110"/>
      <c r="E297" s="194"/>
      <c r="F297" s="107"/>
      <c r="G297" s="169"/>
      <c r="H297" s="169"/>
      <c r="I297" s="170"/>
      <c r="J297" s="169"/>
      <c r="K297" s="169"/>
      <c r="L297" s="140"/>
      <c r="M297" s="89"/>
      <c r="N297" s="81"/>
      <c r="O297" s="352"/>
      <c r="P297" s="173"/>
    </row>
    <row r="298" spans="1:16" s="15" customFormat="1" ht="11.1" customHeight="1" outlineLevel="1" x14ac:dyDescent="0.2">
      <c r="A298" s="310"/>
      <c r="B298" s="76"/>
      <c r="C298" s="82" t="s">
        <v>360</v>
      </c>
      <c r="D298" s="110"/>
      <c r="E298" s="194"/>
      <c r="F298" s="107"/>
      <c r="G298" s="169"/>
      <c r="H298" s="169"/>
      <c r="I298" s="170"/>
      <c r="J298" s="169"/>
      <c r="K298" s="169"/>
      <c r="L298" s="140"/>
      <c r="M298" s="89"/>
      <c r="N298" s="81"/>
      <c r="O298" s="352"/>
      <c r="P298" s="173"/>
    </row>
    <row r="299" spans="1:16" s="15" customFormat="1" ht="3.95" customHeight="1" outlineLevel="1" x14ac:dyDescent="0.2">
      <c r="A299" s="250"/>
      <c r="B299" s="85"/>
      <c r="C299" s="86"/>
      <c r="D299" s="192"/>
      <c r="E299" s="193"/>
      <c r="F299" s="216"/>
      <c r="G299" s="171"/>
      <c r="H299" s="171"/>
      <c r="I299" s="179"/>
      <c r="J299" s="171"/>
      <c r="K299" s="171"/>
      <c r="L299" s="143"/>
      <c r="M299" s="180"/>
      <c r="N299" s="88"/>
      <c r="O299" s="353"/>
      <c r="P299" s="173"/>
    </row>
    <row r="300" spans="1:16" s="15" customFormat="1" ht="3.95" customHeight="1" outlineLevel="1" x14ac:dyDescent="0.2">
      <c r="A300" s="209"/>
      <c r="B300" s="72"/>
      <c r="C300" s="73"/>
      <c r="D300" s="191"/>
      <c r="E300" s="191"/>
      <c r="F300" s="238"/>
      <c r="G300" s="236"/>
      <c r="H300" s="236"/>
      <c r="I300" s="239"/>
      <c r="J300" s="236"/>
      <c r="K300" s="236"/>
      <c r="L300" s="137"/>
      <c r="M300" s="232"/>
      <c r="N300" s="75"/>
      <c r="O300" s="354"/>
    </row>
    <row r="301" spans="1:16" s="15" customFormat="1" ht="11.1" customHeight="1" outlineLevel="1" x14ac:dyDescent="0.2">
      <c r="A301" s="369" t="s">
        <v>102</v>
      </c>
      <c r="B301" s="76" t="s">
        <v>9</v>
      </c>
      <c r="C301" s="150" t="s">
        <v>56</v>
      </c>
      <c r="D301" s="360" t="s">
        <v>357</v>
      </c>
      <c r="E301" s="360" t="s">
        <v>55</v>
      </c>
      <c r="F301" s="78" t="s">
        <v>183</v>
      </c>
      <c r="G301" s="168">
        <f>SUM(G302:G307)</f>
        <v>2419808</v>
      </c>
      <c r="H301" s="168">
        <f>SUM(H302:H307)</f>
        <v>818613</v>
      </c>
      <c r="I301" s="39">
        <f t="shared" ref="I301:I307" si="125">IF(G301&gt;0,H301/G301*100,"-")</f>
        <v>33.829667477750306</v>
      </c>
      <c r="J301" s="168">
        <f>SUM(J302:J307)</f>
        <v>0</v>
      </c>
      <c r="K301" s="168">
        <f>SUM(K302:K307)</f>
        <v>898437</v>
      </c>
      <c r="L301" s="168">
        <f>SUM(L302:L307)</f>
        <v>898437</v>
      </c>
      <c r="M301" s="38">
        <f>SUM(M302:M307)</f>
        <v>818612.16</v>
      </c>
      <c r="N301" s="39">
        <f t="shared" ref="N301:N304" si="126">IF(L301&gt;0,M301/L301*100,"-")</f>
        <v>91.115143298862364</v>
      </c>
      <c r="O301" s="366" t="s">
        <v>510</v>
      </c>
    </row>
    <row r="302" spans="1:16" s="15" customFormat="1" ht="11.1" customHeight="1" outlineLevel="1" x14ac:dyDescent="0.2">
      <c r="A302" s="369"/>
      <c r="B302" s="76" t="s">
        <v>10</v>
      </c>
      <c r="C302" s="150" t="s">
        <v>82</v>
      </c>
      <c r="D302" s="360"/>
      <c r="E302" s="360"/>
      <c r="F302" s="79" t="s">
        <v>15</v>
      </c>
      <c r="G302" s="169">
        <v>0</v>
      </c>
      <c r="H302" s="140">
        <f t="shared" ref="H302:H307" si="127">ROUNDUP(0+M302,0)</f>
        <v>0</v>
      </c>
      <c r="I302" s="81" t="str">
        <f t="shared" si="125"/>
        <v>-</v>
      </c>
      <c r="J302" s="169">
        <v>0</v>
      </c>
      <c r="K302" s="164">
        <f t="shared" ref="K302:K307" si="128">L302-J302</f>
        <v>0</v>
      </c>
      <c r="L302" s="141">
        <v>0</v>
      </c>
      <c r="M302" s="80">
        <v>0</v>
      </c>
      <c r="N302" s="81" t="str">
        <f t="shared" si="126"/>
        <v>-</v>
      </c>
      <c r="O302" s="367"/>
    </row>
    <row r="303" spans="1:16" s="15" customFormat="1" ht="11.1" customHeight="1" outlineLevel="1" x14ac:dyDescent="0.2">
      <c r="A303" s="369"/>
      <c r="B303" s="76" t="s">
        <v>11</v>
      </c>
      <c r="C303" s="82" t="s">
        <v>85</v>
      </c>
      <c r="D303" s="360"/>
      <c r="E303" s="360"/>
      <c r="F303" s="79" t="s">
        <v>7</v>
      </c>
      <c r="G303" s="169">
        <v>2056836</v>
      </c>
      <c r="H303" s="169">
        <f t="shared" si="127"/>
        <v>695821</v>
      </c>
      <c r="I303" s="81">
        <f t="shared" si="125"/>
        <v>33.829678204776656</v>
      </c>
      <c r="J303" s="169">
        <v>0</v>
      </c>
      <c r="K303" s="164">
        <f t="shared" si="128"/>
        <v>763671</v>
      </c>
      <c r="L303" s="141">
        <v>763671</v>
      </c>
      <c r="M303" s="83">
        <v>695820.55</v>
      </c>
      <c r="N303" s="81">
        <f t="shared" si="126"/>
        <v>91.115225011817927</v>
      </c>
      <c r="O303" s="367"/>
    </row>
    <row r="304" spans="1:16" s="15" customFormat="1" ht="11.1" customHeight="1" outlineLevel="1" x14ac:dyDescent="0.2">
      <c r="A304" s="217"/>
      <c r="B304" s="76" t="s">
        <v>12</v>
      </c>
      <c r="C304" s="82" t="s">
        <v>361</v>
      </c>
      <c r="D304" s="110"/>
      <c r="E304" s="110"/>
      <c r="F304" s="79" t="s">
        <v>8</v>
      </c>
      <c r="G304" s="169">
        <v>0</v>
      </c>
      <c r="H304" s="140">
        <f t="shared" si="127"/>
        <v>0</v>
      </c>
      <c r="I304" s="81" t="str">
        <f t="shared" si="125"/>
        <v>-</v>
      </c>
      <c r="J304" s="169">
        <v>0</v>
      </c>
      <c r="K304" s="164">
        <f t="shared" si="128"/>
        <v>0</v>
      </c>
      <c r="L304" s="141">
        <v>0</v>
      </c>
      <c r="M304" s="83">
        <v>0</v>
      </c>
      <c r="N304" s="81" t="str">
        <f t="shared" si="126"/>
        <v>-</v>
      </c>
      <c r="O304" s="367"/>
    </row>
    <row r="305" spans="1:16" s="15" customFormat="1" ht="11.1" customHeight="1" outlineLevel="1" x14ac:dyDescent="0.2">
      <c r="A305" s="217"/>
      <c r="B305" s="76" t="s">
        <v>23</v>
      </c>
      <c r="C305" s="82" t="s">
        <v>362</v>
      </c>
      <c r="D305" s="110"/>
      <c r="E305" s="110"/>
      <c r="F305" s="79" t="s">
        <v>22</v>
      </c>
      <c r="G305" s="169">
        <f>362972</f>
        <v>362972</v>
      </c>
      <c r="H305" s="169">
        <f t="shared" si="127"/>
        <v>122792</v>
      </c>
      <c r="I305" s="81">
        <f t="shared" si="125"/>
        <v>33.829606691425234</v>
      </c>
      <c r="J305" s="169">
        <v>0</v>
      </c>
      <c r="K305" s="164">
        <f t="shared" si="128"/>
        <v>134766</v>
      </c>
      <c r="L305" s="141">
        <v>134766</v>
      </c>
      <c r="M305" s="83">
        <v>122791.61</v>
      </c>
      <c r="N305" s="81">
        <f>IF(L305&gt;0,M305/L305*100,"-")</f>
        <v>91.114680260599854</v>
      </c>
      <c r="O305" s="367"/>
    </row>
    <row r="306" spans="1:16" s="15" customFormat="1" ht="11.1" customHeight="1" outlineLevel="1" x14ac:dyDescent="0.2">
      <c r="A306" s="217"/>
      <c r="B306" s="76"/>
      <c r="C306" s="82" t="s">
        <v>363</v>
      </c>
      <c r="D306" s="110"/>
      <c r="E306" s="110"/>
      <c r="F306" s="107" t="s">
        <v>45</v>
      </c>
      <c r="G306" s="169">
        <v>0</v>
      </c>
      <c r="H306" s="140">
        <f t="shared" si="127"/>
        <v>0</v>
      </c>
      <c r="I306" s="170" t="str">
        <f t="shared" si="125"/>
        <v>-</v>
      </c>
      <c r="J306" s="169">
        <v>0</v>
      </c>
      <c r="K306" s="164">
        <f t="shared" si="128"/>
        <v>0</v>
      </c>
      <c r="L306" s="141">
        <v>0</v>
      </c>
      <c r="M306" s="83">
        <v>0</v>
      </c>
      <c r="N306" s="81" t="str">
        <f>IF(L306&gt;0,M306/L306*100,"-")</f>
        <v>-</v>
      </c>
      <c r="O306" s="367"/>
    </row>
    <row r="307" spans="1:16" s="15" customFormat="1" ht="11.1" customHeight="1" outlineLevel="1" x14ac:dyDescent="0.2">
      <c r="A307" s="217"/>
      <c r="B307" s="76"/>
      <c r="C307" s="82"/>
      <c r="D307" s="110"/>
      <c r="E307" s="110"/>
      <c r="F307" s="107" t="s">
        <v>46</v>
      </c>
      <c r="G307" s="169">
        <v>0</v>
      </c>
      <c r="H307" s="140">
        <f t="shared" si="127"/>
        <v>0</v>
      </c>
      <c r="I307" s="170" t="str">
        <f t="shared" si="125"/>
        <v>-</v>
      </c>
      <c r="J307" s="169">
        <v>0</v>
      </c>
      <c r="K307" s="164">
        <f t="shared" si="128"/>
        <v>0</v>
      </c>
      <c r="L307" s="141">
        <v>0</v>
      </c>
      <c r="M307" s="83">
        <v>0</v>
      </c>
      <c r="N307" s="81" t="str">
        <f>IF(L307&gt;0,M307/L307*100,"-")</f>
        <v>-</v>
      </c>
      <c r="O307" s="367"/>
    </row>
    <row r="308" spans="1:16" s="15" customFormat="1" ht="3.95" customHeight="1" outlineLevel="1" x14ac:dyDescent="0.2">
      <c r="A308" s="233"/>
      <c r="B308" s="85"/>
      <c r="C308" s="86"/>
      <c r="D308" s="192"/>
      <c r="E308" s="192"/>
      <c r="F308" s="216"/>
      <c r="G308" s="171"/>
      <c r="H308" s="171"/>
      <c r="I308" s="179"/>
      <c r="J308" s="171"/>
      <c r="K308" s="171"/>
      <c r="L308" s="142"/>
      <c r="M308" s="167"/>
      <c r="N308" s="88"/>
      <c r="O308" s="355"/>
    </row>
    <row r="309" spans="1:16" s="15" customFormat="1" ht="3.95" customHeight="1" outlineLevel="1" x14ac:dyDescent="0.2">
      <c r="A309" s="209"/>
      <c r="B309" s="72"/>
      <c r="C309" s="73"/>
      <c r="D309" s="191"/>
      <c r="E309" s="191"/>
      <c r="F309" s="238"/>
      <c r="G309" s="236"/>
      <c r="H309" s="236"/>
      <c r="I309" s="239"/>
      <c r="J309" s="236"/>
      <c r="K309" s="236"/>
      <c r="L309" s="137"/>
      <c r="M309" s="232"/>
      <c r="N309" s="75"/>
      <c r="O309" s="354"/>
    </row>
    <row r="310" spans="1:16" s="15" customFormat="1" ht="11.1" customHeight="1" outlineLevel="1" x14ac:dyDescent="0.2">
      <c r="A310" s="369" t="s">
        <v>239</v>
      </c>
      <c r="B310" s="76" t="s">
        <v>9</v>
      </c>
      <c r="C310" s="150" t="s">
        <v>56</v>
      </c>
      <c r="D310" s="360" t="s">
        <v>367</v>
      </c>
      <c r="E310" s="360" t="s">
        <v>55</v>
      </c>
      <c r="F310" s="78" t="s">
        <v>183</v>
      </c>
      <c r="G310" s="168">
        <f>SUM(G311:G316)</f>
        <v>594115</v>
      </c>
      <c r="H310" s="168">
        <f>SUM(H311:H316)</f>
        <v>300877</v>
      </c>
      <c r="I310" s="39">
        <f t="shared" ref="I310:I316" si="129">IF(G310&gt;0,H310/G310*100,"-")</f>
        <v>50.642889002970804</v>
      </c>
      <c r="J310" s="168">
        <f>SUM(J311:J316)</f>
        <v>0</v>
      </c>
      <c r="K310" s="168">
        <f>SUM(K311:K316)</f>
        <v>368565</v>
      </c>
      <c r="L310" s="168">
        <f>SUM(L311:L316)</f>
        <v>368565</v>
      </c>
      <c r="M310" s="38">
        <f>SUM(M311:M316)</f>
        <v>300876.15000000002</v>
      </c>
      <c r="N310" s="39">
        <f t="shared" ref="N310:N313" si="130">IF(L310&gt;0,M310/L310*100,"-")</f>
        <v>81.634487810833917</v>
      </c>
      <c r="O310" s="366" t="s">
        <v>510</v>
      </c>
    </row>
    <row r="311" spans="1:16" s="15" customFormat="1" ht="11.1" customHeight="1" outlineLevel="1" x14ac:dyDescent="0.2">
      <c r="A311" s="369"/>
      <c r="B311" s="76" t="s">
        <v>10</v>
      </c>
      <c r="C311" s="150" t="s">
        <v>82</v>
      </c>
      <c r="D311" s="360"/>
      <c r="E311" s="360"/>
      <c r="F311" s="79" t="s">
        <v>15</v>
      </c>
      <c r="G311" s="169">
        <v>0</v>
      </c>
      <c r="H311" s="140">
        <f t="shared" ref="H311:H316" si="131">ROUNDUP(0+M311,0)</f>
        <v>0</v>
      </c>
      <c r="I311" s="81" t="str">
        <f t="shared" si="129"/>
        <v>-</v>
      </c>
      <c r="J311" s="169">
        <v>0</v>
      </c>
      <c r="K311" s="164">
        <f t="shared" ref="K311:K316" si="132">L311-J311</f>
        <v>0</v>
      </c>
      <c r="L311" s="141">
        <v>0</v>
      </c>
      <c r="M311" s="80">
        <v>0</v>
      </c>
      <c r="N311" s="81" t="str">
        <f t="shared" si="130"/>
        <v>-</v>
      </c>
      <c r="O311" s="367"/>
    </row>
    <row r="312" spans="1:16" s="15" customFormat="1" ht="11.1" customHeight="1" outlineLevel="1" x14ac:dyDescent="0.2">
      <c r="A312" s="369"/>
      <c r="B312" s="76" t="s">
        <v>11</v>
      </c>
      <c r="C312" s="82" t="s">
        <v>85</v>
      </c>
      <c r="D312" s="360"/>
      <c r="E312" s="360"/>
      <c r="F312" s="79" t="s">
        <v>7</v>
      </c>
      <c r="G312" s="169">
        <v>581332</v>
      </c>
      <c r="H312" s="169">
        <f t="shared" si="131"/>
        <v>296265</v>
      </c>
      <c r="I312" s="81">
        <f t="shared" si="129"/>
        <v>50.963132942965458</v>
      </c>
      <c r="J312" s="169">
        <v>0</v>
      </c>
      <c r="K312" s="164">
        <f t="shared" si="132"/>
        <v>362548</v>
      </c>
      <c r="L312" s="141">
        <v>362548</v>
      </c>
      <c r="M312" s="83">
        <v>296264.83</v>
      </c>
      <c r="N312" s="81">
        <f t="shared" si="130"/>
        <v>81.717408453501335</v>
      </c>
      <c r="O312" s="367"/>
    </row>
    <row r="313" spans="1:16" s="15" customFormat="1" ht="11.1" customHeight="1" outlineLevel="1" x14ac:dyDescent="0.2">
      <c r="A313" s="217"/>
      <c r="B313" s="76" t="s">
        <v>12</v>
      </c>
      <c r="C313" s="82" t="s">
        <v>364</v>
      </c>
      <c r="D313" s="110"/>
      <c r="E313" s="110"/>
      <c r="F313" s="79" t="s">
        <v>8</v>
      </c>
      <c r="G313" s="169">
        <v>0</v>
      </c>
      <c r="H313" s="140">
        <f t="shared" si="131"/>
        <v>0</v>
      </c>
      <c r="I313" s="81" t="str">
        <f t="shared" si="129"/>
        <v>-</v>
      </c>
      <c r="J313" s="169">
        <v>0</v>
      </c>
      <c r="K313" s="164">
        <f t="shared" si="132"/>
        <v>0</v>
      </c>
      <c r="L313" s="141">
        <v>0</v>
      </c>
      <c r="M313" s="83">
        <v>0</v>
      </c>
      <c r="N313" s="81" t="str">
        <f t="shared" si="130"/>
        <v>-</v>
      </c>
      <c r="O313" s="367"/>
    </row>
    <row r="314" spans="1:16" s="15" customFormat="1" ht="11.1" customHeight="1" outlineLevel="1" x14ac:dyDescent="0.2">
      <c r="A314" s="217"/>
      <c r="B314" s="76" t="s">
        <v>23</v>
      </c>
      <c r="C314" s="82" t="s">
        <v>365</v>
      </c>
      <c r="D314" s="110"/>
      <c r="E314" s="110"/>
      <c r="F314" s="79" t="s">
        <v>22</v>
      </c>
      <c r="G314" s="169">
        <v>12783</v>
      </c>
      <c r="H314" s="169">
        <f t="shared" si="131"/>
        <v>4612</v>
      </c>
      <c r="I314" s="81">
        <f t="shared" si="129"/>
        <v>36.079167644527885</v>
      </c>
      <c r="J314" s="169">
        <v>0</v>
      </c>
      <c r="K314" s="164">
        <f t="shared" si="132"/>
        <v>6017</v>
      </c>
      <c r="L314" s="141">
        <v>6017</v>
      </c>
      <c r="M314" s="83">
        <v>4611.32</v>
      </c>
      <c r="N314" s="81">
        <f>IF(L314&gt;0,M314/L314*100,"-")</f>
        <v>76.638191789928527</v>
      </c>
      <c r="O314" s="367"/>
    </row>
    <row r="315" spans="1:16" s="15" customFormat="1" ht="11.1" customHeight="1" outlineLevel="1" x14ac:dyDescent="0.2">
      <c r="A315" s="217"/>
      <c r="B315" s="76"/>
      <c r="C315" s="82" t="s">
        <v>366</v>
      </c>
      <c r="D315" s="110"/>
      <c r="E315" s="110"/>
      <c r="F315" s="107" t="s">
        <v>45</v>
      </c>
      <c r="G315" s="169">
        <v>0</v>
      </c>
      <c r="H315" s="140">
        <f t="shared" si="131"/>
        <v>0</v>
      </c>
      <c r="I315" s="170" t="str">
        <f t="shared" si="129"/>
        <v>-</v>
      </c>
      <c r="J315" s="169">
        <v>0</v>
      </c>
      <c r="K315" s="164">
        <f t="shared" si="132"/>
        <v>0</v>
      </c>
      <c r="L315" s="141">
        <v>0</v>
      </c>
      <c r="M315" s="83">
        <v>0</v>
      </c>
      <c r="N315" s="81" t="str">
        <f>IF(L315&gt;0,M315/L315*100,"-")</f>
        <v>-</v>
      </c>
      <c r="O315" s="367"/>
    </row>
    <row r="316" spans="1:16" s="15" customFormat="1" ht="11.1" customHeight="1" outlineLevel="1" x14ac:dyDescent="0.2">
      <c r="A316" s="217"/>
      <c r="B316" s="76"/>
      <c r="C316" s="82"/>
      <c r="D316" s="110"/>
      <c r="E316" s="110"/>
      <c r="F316" s="107" t="s">
        <v>46</v>
      </c>
      <c r="G316" s="169">
        <v>0</v>
      </c>
      <c r="H316" s="140">
        <f t="shared" si="131"/>
        <v>0</v>
      </c>
      <c r="I316" s="170" t="str">
        <f t="shared" si="129"/>
        <v>-</v>
      </c>
      <c r="J316" s="169">
        <v>0</v>
      </c>
      <c r="K316" s="164">
        <f t="shared" si="132"/>
        <v>0</v>
      </c>
      <c r="L316" s="141">
        <v>0</v>
      </c>
      <c r="M316" s="83">
        <v>0</v>
      </c>
      <c r="N316" s="81" t="str">
        <f>IF(L316&gt;0,M316/L316*100,"-")</f>
        <v>-</v>
      </c>
      <c r="O316" s="367"/>
    </row>
    <row r="317" spans="1:16" s="15" customFormat="1" ht="3.95" customHeight="1" outlineLevel="1" x14ac:dyDescent="0.2">
      <c r="A317" s="233"/>
      <c r="B317" s="85"/>
      <c r="C317" s="86"/>
      <c r="D317" s="192"/>
      <c r="E317" s="192"/>
      <c r="F317" s="216"/>
      <c r="G317" s="171"/>
      <c r="H317" s="171"/>
      <c r="I317" s="179"/>
      <c r="J317" s="171"/>
      <c r="K317" s="171"/>
      <c r="L317" s="142"/>
      <c r="M317" s="167"/>
      <c r="N317" s="88"/>
      <c r="O317" s="355"/>
    </row>
    <row r="318" spans="1:16" s="15" customFormat="1" ht="3.95" customHeight="1" outlineLevel="1" x14ac:dyDescent="0.2">
      <c r="A318" s="251"/>
      <c r="B318" s="72"/>
      <c r="C318" s="73"/>
      <c r="D318" s="191"/>
      <c r="E318" s="235"/>
      <c r="F318" s="238"/>
      <c r="G318" s="236"/>
      <c r="H318" s="236"/>
      <c r="I318" s="239"/>
      <c r="J318" s="236"/>
      <c r="K318" s="236"/>
      <c r="L318" s="138"/>
      <c r="M318" s="243"/>
      <c r="N318" s="75"/>
      <c r="O318" s="351"/>
      <c r="P318" s="173"/>
    </row>
    <row r="319" spans="1:16" s="15" customFormat="1" ht="11.1" customHeight="1" outlineLevel="1" x14ac:dyDescent="0.2">
      <c r="A319" s="368" t="s">
        <v>245</v>
      </c>
      <c r="B319" s="76" t="s">
        <v>9</v>
      </c>
      <c r="C319" s="150" t="s">
        <v>56</v>
      </c>
      <c r="D319" s="360" t="s">
        <v>64</v>
      </c>
      <c r="E319" s="360" t="s">
        <v>55</v>
      </c>
      <c r="F319" s="240" t="s">
        <v>183</v>
      </c>
      <c r="G319" s="175">
        <f>SUM(G320:G325)</f>
        <v>342534</v>
      </c>
      <c r="H319" s="175">
        <f>SUM(H320:H325)</f>
        <v>342502</v>
      </c>
      <c r="I319" s="39">
        <f t="shared" ref="I319:I325" si="133">IF(G319&gt;0,H319/G319*100,"-")</f>
        <v>99.990657861701322</v>
      </c>
      <c r="J319" s="175">
        <f>SUM(J320:J325)</f>
        <v>190049</v>
      </c>
      <c r="K319" s="175">
        <f>SUM(K320:K325)</f>
        <v>10360</v>
      </c>
      <c r="L319" s="242">
        <f>SUM(L320:L325)</f>
        <v>200409</v>
      </c>
      <c r="M319" s="176">
        <f>SUM(M320:M325)</f>
        <v>200375.97999999998</v>
      </c>
      <c r="N319" s="39">
        <f t="shared" ref="N319:N325" si="134">IF(L319&gt;0,M319/L319*100,"-")</f>
        <v>99.983523694045658</v>
      </c>
      <c r="O319" s="366" t="s">
        <v>511</v>
      </c>
      <c r="P319" s="173"/>
    </row>
    <row r="320" spans="1:16" s="15" customFormat="1" ht="11.1" customHeight="1" outlineLevel="1" x14ac:dyDescent="0.2">
      <c r="A320" s="368"/>
      <c r="B320" s="76" t="s">
        <v>10</v>
      </c>
      <c r="C320" s="150" t="s">
        <v>82</v>
      </c>
      <c r="D320" s="360"/>
      <c r="E320" s="360"/>
      <c r="F320" s="79" t="s">
        <v>15</v>
      </c>
      <c r="G320" s="169">
        <v>4300</v>
      </c>
      <c r="H320" s="169">
        <f>ROUNDUP(4300+M320,0)</f>
        <v>4300</v>
      </c>
      <c r="I320" s="81">
        <f t="shared" si="133"/>
        <v>100</v>
      </c>
      <c r="J320" s="169">
        <v>0</v>
      </c>
      <c r="K320" s="164">
        <f t="shared" ref="K320:K325" si="135">L320-J320</f>
        <v>0</v>
      </c>
      <c r="L320" s="140">
        <v>0</v>
      </c>
      <c r="M320" s="89">
        <v>0</v>
      </c>
      <c r="N320" s="81" t="str">
        <f t="shared" si="134"/>
        <v>-</v>
      </c>
      <c r="O320" s="367"/>
      <c r="P320" s="173"/>
    </row>
    <row r="321" spans="1:16" s="15" customFormat="1" ht="11.1" customHeight="1" outlineLevel="1" x14ac:dyDescent="0.2">
      <c r="A321" s="368"/>
      <c r="B321" s="76" t="s">
        <v>11</v>
      </c>
      <c r="C321" s="82" t="s">
        <v>85</v>
      </c>
      <c r="D321" s="360"/>
      <c r="E321" s="360"/>
      <c r="F321" s="79" t="s">
        <v>7</v>
      </c>
      <c r="G321" s="169">
        <v>329591</v>
      </c>
      <c r="H321" s="169">
        <f>ROUNDUP(134518+M321,0)</f>
        <v>329560</v>
      </c>
      <c r="I321" s="81">
        <f t="shared" si="133"/>
        <v>99.9905944033666</v>
      </c>
      <c r="J321" s="169">
        <v>161542</v>
      </c>
      <c r="K321" s="164">
        <f t="shared" si="135"/>
        <v>33531</v>
      </c>
      <c r="L321" s="140">
        <v>195073</v>
      </c>
      <c r="M321" s="89">
        <v>195041.02</v>
      </c>
      <c r="N321" s="81">
        <f t="shared" si="134"/>
        <v>99.983606137189668</v>
      </c>
      <c r="O321" s="367"/>
      <c r="P321" s="173"/>
    </row>
    <row r="322" spans="1:16" s="15" customFormat="1" ht="11.1" customHeight="1" outlineLevel="1" x14ac:dyDescent="0.2">
      <c r="A322" s="217"/>
      <c r="B322" s="76" t="s">
        <v>12</v>
      </c>
      <c r="C322" s="82" t="s">
        <v>231</v>
      </c>
      <c r="D322" s="110"/>
      <c r="E322" s="194"/>
      <c r="F322" s="79" t="s">
        <v>8</v>
      </c>
      <c r="G322" s="169">
        <v>0</v>
      </c>
      <c r="H322" s="140">
        <f>ROUNDUP(0+M322,0)</f>
        <v>0</v>
      </c>
      <c r="I322" s="81" t="str">
        <f t="shared" si="133"/>
        <v>-</v>
      </c>
      <c r="J322" s="169">
        <v>0</v>
      </c>
      <c r="K322" s="164">
        <f t="shared" si="135"/>
        <v>0</v>
      </c>
      <c r="L322" s="140">
        <v>0</v>
      </c>
      <c r="M322" s="89">
        <v>0</v>
      </c>
      <c r="N322" s="81" t="str">
        <f t="shared" si="134"/>
        <v>-</v>
      </c>
      <c r="O322" s="367"/>
      <c r="P322" s="173"/>
    </row>
    <row r="323" spans="1:16" s="15" customFormat="1" ht="11.1" customHeight="1" outlineLevel="1" x14ac:dyDescent="0.2">
      <c r="A323" s="217"/>
      <c r="B323" s="76" t="s">
        <v>23</v>
      </c>
      <c r="C323" s="172" t="s">
        <v>368</v>
      </c>
      <c r="D323" s="110"/>
      <c r="E323" s="194"/>
      <c r="F323" s="79" t="s">
        <v>22</v>
      </c>
      <c r="G323" s="169">
        <v>8643</v>
      </c>
      <c r="H323" s="169">
        <f>ROUNDUP(3307+M323,0)</f>
        <v>8642</v>
      </c>
      <c r="I323" s="81">
        <f t="shared" si="133"/>
        <v>99.988429943306727</v>
      </c>
      <c r="J323" s="169">
        <v>28507</v>
      </c>
      <c r="K323" s="164">
        <f t="shared" si="135"/>
        <v>-23171</v>
      </c>
      <c r="L323" s="140">
        <v>5336</v>
      </c>
      <c r="M323" s="89">
        <v>5334.96</v>
      </c>
      <c r="N323" s="81">
        <f t="shared" si="134"/>
        <v>99.980509745127435</v>
      </c>
      <c r="O323" s="367"/>
      <c r="P323" s="173"/>
    </row>
    <row r="324" spans="1:16" s="15" customFormat="1" ht="11.1" customHeight="1" outlineLevel="1" x14ac:dyDescent="0.2">
      <c r="A324" s="217"/>
      <c r="B324" s="76"/>
      <c r="C324" s="82" t="s">
        <v>397</v>
      </c>
      <c r="D324" s="110"/>
      <c r="E324" s="194"/>
      <c r="F324" s="107" t="s">
        <v>45</v>
      </c>
      <c r="G324" s="169">
        <v>0</v>
      </c>
      <c r="H324" s="140">
        <f>ROUNDUP(0+M324,0)</f>
        <v>0</v>
      </c>
      <c r="I324" s="170" t="str">
        <f t="shared" si="133"/>
        <v>-</v>
      </c>
      <c r="J324" s="169">
        <v>0</v>
      </c>
      <c r="K324" s="164">
        <f t="shared" si="135"/>
        <v>0</v>
      </c>
      <c r="L324" s="140">
        <v>0</v>
      </c>
      <c r="M324" s="89">
        <v>0</v>
      </c>
      <c r="N324" s="81" t="str">
        <f t="shared" si="134"/>
        <v>-</v>
      </c>
      <c r="O324" s="367"/>
      <c r="P324" s="173"/>
    </row>
    <row r="325" spans="1:16" s="15" customFormat="1" ht="11.1" customHeight="1" outlineLevel="1" x14ac:dyDescent="0.2">
      <c r="A325" s="217"/>
      <c r="B325" s="76"/>
      <c r="C325" s="77"/>
      <c r="D325" s="110"/>
      <c r="E325" s="194"/>
      <c r="F325" s="107" t="s">
        <v>46</v>
      </c>
      <c r="G325" s="169">
        <v>0</v>
      </c>
      <c r="H325" s="140">
        <f>ROUNDUP(0+M325,0)</f>
        <v>0</v>
      </c>
      <c r="I325" s="170" t="str">
        <f t="shared" si="133"/>
        <v>-</v>
      </c>
      <c r="J325" s="169">
        <v>0</v>
      </c>
      <c r="K325" s="164">
        <f t="shared" si="135"/>
        <v>0</v>
      </c>
      <c r="L325" s="140">
        <v>0</v>
      </c>
      <c r="M325" s="89">
        <v>0</v>
      </c>
      <c r="N325" s="81" t="str">
        <f t="shared" si="134"/>
        <v>-</v>
      </c>
      <c r="O325" s="367"/>
      <c r="P325" s="173"/>
    </row>
    <row r="326" spans="1:16" s="15" customFormat="1" ht="3.95" customHeight="1" outlineLevel="1" x14ac:dyDescent="0.2">
      <c r="A326" s="250"/>
      <c r="B326" s="85"/>
      <c r="C326" s="181"/>
      <c r="D326" s="229"/>
      <c r="E326" s="195"/>
      <c r="F326" s="216"/>
      <c r="G326" s="171"/>
      <c r="H326" s="171"/>
      <c r="I326" s="179"/>
      <c r="J326" s="171"/>
      <c r="K326" s="171"/>
      <c r="L326" s="142"/>
      <c r="M326" s="180"/>
      <c r="N326" s="88"/>
      <c r="O326" s="353"/>
      <c r="P326" s="173"/>
    </row>
    <row r="327" spans="1:16" s="15" customFormat="1" ht="3.95" customHeight="1" outlineLevel="1" x14ac:dyDescent="0.2">
      <c r="A327" s="197"/>
      <c r="B327" s="72"/>
      <c r="C327" s="73"/>
      <c r="D327" s="191"/>
      <c r="E327" s="235"/>
      <c r="F327" s="238"/>
      <c r="G327" s="236"/>
      <c r="H327" s="236"/>
      <c r="I327" s="75"/>
      <c r="J327" s="236"/>
      <c r="K327" s="236"/>
      <c r="L327" s="137"/>
      <c r="M327" s="232"/>
      <c r="N327" s="75"/>
      <c r="O327" s="354"/>
    </row>
    <row r="328" spans="1:16" s="15" customFormat="1" ht="11.1" customHeight="1" outlineLevel="1" x14ac:dyDescent="0.2">
      <c r="A328" s="368" t="s">
        <v>246</v>
      </c>
      <c r="B328" s="76" t="s">
        <v>9</v>
      </c>
      <c r="C328" s="150" t="s">
        <v>56</v>
      </c>
      <c r="D328" s="360" t="s">
        <v>355</v>
      </c>
      <c r="E328" s="360" t="s">
        <v>55</v>
      </c>
      <c r="F328" s="78" t="s">
        <v>183</v>
      </c>
      <c r="G328" s="168">
        <f>SUM(G329:G334)</f>
        <v>283946</v>
      </c>
      <c r="H328" s="168">
        <f>SUM(H329:H334)</f>
        <v>70167</v>
      </c>
      <c r="I328" s="39">
        <f t="shared" ref="I328:I334" si="136">IF(G328&gt;0,H328/G328*100,"-")</f>
        <v>24.711388785191552</v>
      </c>
      <c r="J328" s="168">
        <f>SUM(J329:J334)</f>
        <v>0</v>
      </c>
      <c r="K328" s="168">
        <f>SUM(K329:K334)</f>
        <v>82940</v>
      </c>
      <c r="L328" s="168">
        <f>SUM(L329:L334)</f>
        <v>82940</v>
      </c>
      <c r="M328" s="38">
        <f>SUM(M329:M334)</f>
        <v>70166.319999999992</v>
      </c>
      <c r="N328" s="39">
        <f t="shared" ref="N328:N331" si="137">IF(L328&gt;0,M328/L328*100,"-")</f>
        <v>84.598890764407997</v>
      </c>
      <c r="O328" s="366" t="s">
        <v>510</v>
      </c>
    </row>
    <row r="329" spans="1:16" s="15" customFormat="1" ht="11.1" customHeight="1" outlineLevel="1" x14ac:dyDescent="0.2">
      <c r="A329" s="368"/>
      <c r="B329" s="76" t="s">
        <v>10</v>
      </c>
      <c r="C329" s="150" t="s">
        <v>82</v>
      </c>
      <c r="D329" s="360"/>
      <c r="E329" s="360"/>
      <c r="F329" s="79" t="s">
        <v>15</v>
      </c>
      <c r="G329" s="169">
        <v>0</v>
      </c>
      <c r="H329" s="140">
        <f t="shared" ref="H329:H334" si="138">ROUNDUP(0+M329,0)</f>
        <v>0</v>
      </c>
      <c r="I329" s="81" t="str">
        <f t="shared" si="136"/>
        <v>-</v>
      </c>
      <c r="J329" s="169">
        <v>0</v>
      </c>
      <c r="K329" s="164">
        <f t="shared" ref="K329:K334" si="139">L329-J329</f>
        <v>0</v>
      </c>
      <c r="L329" s="141">
        <v>0</v>
      </c>
      <c r="M329" s="80">
        <v>0</v>
      </c>
      <c r="N329" s="81" t="str">
        <f t="shared" si="137"/>
        <v>-</v>
      </c>
      <c r="O329" s="367"/>
    </row>
    <row r="330" spans="1:16" s="15" customFormat="1" ht="11.1" customHeight="1" outlineLevel="1" x14ac:dyDescent="0.2">
      <c r="A330" s="368"/>
      <c r="B330" s="76" t="s">
        <v>11</v>
      </c>
      <c r="C330" s="82" t="s">
        <v>85</v>
      </c>
      <c r="D330" s="360"/>
      <c r="E330" s="360"/>
      <c r="F330" s="79" t="s">
        <v>7</v>
      </c>
      <c r="G330" s="169">
        <v>282092</v>
      </c>
      <c r="H330" s="169">
        <f t="shared" si="138"/>
        <v>69711</v>
      </c>
      <c r="I330" s="81">
        <f t="shared" si="136"/>
        <v>24.712150645888574</v>
      </c>
      <c r="J330" s="169">
        <v>0</v>
      </c>
      <c r="K330" s="164">
        <f t="shared" si="139"/>
        <v>82398</v>
      </c>
      <c r="L330" s="141">
        <v>82398</v>
      </c>
      <c r="M330" s="83">
        <v>69710.649999999994</v>
      </c>
      <c r="N330" s="81">
        <f t="shared" si="137"/>
        <v>84.60235685332168</v>
      </c>
      <c r="O330" s="367"/>
    </row>
    <row r="331" spans="1:16" s="15" customFormat="1" ht="11.1" customHeight="1" outlineLevel="1" x14ac:dyDescent="0.2">
      <c r="A331" s="119"/>
      <c r="B331" s="76" t="s">
        <v>12</v>
      </c>
      <c r="C331" s="82" t="s">
        <v>442</v>
      </c>
      <c r="D331" s="110"/>
      <c r="E331" s="194"/>
      <c r="F331" s="79" t="s">
        <v>8</v>
      </c>
      <c r="G331" s="169">
        <v>0</v>
      </c>
      <c r="H331" s="140">
        <f t="shared" si="138"/>
        <v>0</v>
      </c>
      <c r="I331" s="81" t="str">
        <f t="shared" si="136"/>
        <v>-</v>
      </c>
      <c r="J331" s="169">
        <v>0</v>
      </c>
      <c r="K331" s="164">
        <f t="shared" si="139"/>
        <v>0</v>
      </c>
      <c r="L331" s="141">
        <v>0</v>
      </c>
      <c r="M331" s="83">
        <v>0</v>
      </c>
      <c r="N331" s="81" t="str">
        <f t="shared" si="137"/>
        <v>-</v>
      </c>
      <c r="O331" s="367"/>
    </row>
    <row r="332" spans="1:16" s="15" customFormat="1" ht="11.1" customHeight="1" outlineLevel="1" x14ac:dyDescent="0.2">
      <c r="A332" s="119"/>
      <c r="B332" s="76"/>
      <c r="C332" s="82" t="s">
        <v>443</v>
      </c>
      <c r="D332" s="110"/>
      <c r="E332" s="194"/>
      <c r="F332" s="79" t="s">
        <v>22</v>
      </c>
      <c r="G332" s="169">
        <v>1854</v>
      </c>
      <c r="H332" s="169">
        <f t="shared" si="138"/>
        <v>456</v>
      </c>
      <c r="I332" s="81">
        <f t="shared" si="136"/>
        <v>24.595469255663431</v>
      </c>
      <c r="J332" s="169">
        <v>0</v>
      </c>
      <c r="K332" s="164">
        <f t="shared" si="139"/>
        <v>542</v>
      </c>
      <c r="L332" s="141">
        <v>542</v>
      </c>
      <c r="M332" s="83">
        <v>455.67</v>
      </c>
      <c r="N332" s="81">
        <f>IF(L332&gt;0,M332/L332*100,"-")</f>
        <v>84.071955719557195</v>
      </c>
      <c r="O332" s="367"/>
    </row>
    <row r="333" spans="1:16" s="15" customFormat="1" ht="11.1" customHeight="1" outlineLevel="1" x14ac:dyDescent="0.2">
      <c r="A333" s="119"/>
      <c r="B333" s="76" t="s">
        <v>23</v>
      </c>
      <c r="C333" s="82" t="s">
        <v>444</v>
      </c>
      <c r="D333" s="110"/>
      <c r="E333" s="194"/>
      <c r="F333" s="107" t="s">
        <v>45</v>
      </c>
      <c r="G333" s="169">
        <v>0</v>
      </c>
      <c r="H333" s="140">
        <f t="shared" si="138"/>
        <v>0</v>
      </c>
      <c r="I333" s="81" t="str">
        <f t="shared" si="136"/>
        <v>-</v>
      </c>
      <c r="J333" s="169">
        <v>0</v>
      </c>
      <c r="K333" s="164">
        <f t="shared" si="139"/>
        <v>0</v>
      </c>
      <c r="L333" s="141">
        <v>0</v>
      </c>
      <c r="M333" s="83">
        <v>0</v>
      </c>
      <c r="N333" s="81" t="str">
        <f>IF(L333&gt;0,M333/L333*100,"-")</f>
        <v>-</v>
      </c>
      <c r="O333" s="367"/>
    </row>
    <row r="334" spans="1:16" s="15" customFormat="1" ht="11.1" customHeight="1" outlineLevel="1" x14ac:dyDescent="0.2">
      <c r="A334" s="119"/>
      <c r="B334" s="76"/>
      <c r="C334" s="82" t="s">
        <v>445</v>
      </c>
      <c r="D334" s="110"/>
      <c r="E334" s="194"/>
      <c r="F334" s="107" t="s">
        <v>46</v>
      </c>
      <c r="G334" s="169">
        <v>0</v>
      </c>
      <c r="H334" s="140">
        <f t="shared" si="138"/>
        <v>0</v>
      </c>
      <c r="I334" s="81" t="str">
        <f t="shared" si="136"/>
        <v>-</v>
      </c>
      <c r="J334" s="169">
        <v>0</v>
      </c>
      <c r="K334" s="164">
        <f t="shared" si="139"/>
        <v>0</v>
      </c>
      <c r="L334" s="141">
        <v>0</v>
      </c>
      <c r="M334" s="83">
        <v>0</v>
      </c>
      <c r="N334" s="81" t="str">
        <f t="shared" ref="N334" si="140">IF(L334&gt;0,M334/L334*100,"-")</f>
        <v>-</v>
      </c>
      <c r="O334" s="367"/>
    </row>
    <row r="335" spans="1:16" s="15" customFormat="1" ht="3.95" customHeight="1" outlineLevel="1" x14ac:dyDescent="0.2">
      <c r="A335" s="159"/>
      <c r="B335" s="85"/>
      <c r="C335" s="86"/>
      <c r="D335" s="192"/>
      <c r="E335" s="193"/>
      <c r="F335" s="216"/>
      <c r="G335" s="171"/>
      <c r="H335" s="171"/>
      <c r="I335" s="88"/>
      <c r="J335" s="171"/>
      <c r="K335" s="171"/>
      <c r="L335" s="142"/>
      <c r="M335" s="167"/>
      <c r="N335" s="88"/>
      <c r="O335" s="355"/>
    </row>
    <row r="336" spans="1:16" s="15" customFormat="1" ht="3.95" customHeight="1" outlineLevel="1" x14ac:dyDescent="0.2">
      <c r="A336" s="197"/>
      <c r="B336" s="72"/>
      <c r="C336" s="73"/>
      <c r="D336" s="191"/>
      <c r="E336" s="235"/>
      <c r="F336" s="238"/>
      <c r="G336" s="236"/>
      <c r="H336" s="236"/>
      <c r="I336" s="75"/>
      <c r="J336" s="236"/>
      <c r="K336" s="236"/>
      <c r="L336" s="137"/>
      <c r="M336" s="232"/>
      <c r="N336" s="75"/>
      <c r="O336" s="354"/>
    </row>
    <row r="337" spans="1:16" s="15" customFormat="1" ht="11.1" customHeight="1" outlineLevel="1" x14ac:dyDescent="0.2">
      <c r="A337" s="368" t="s">
        <v>247</v>
      </c>
      <c r="B337" s="76" t="s">
        <v>9</v>
      </c>
      <c r="C337" s="150" t="s">
        <v>56</v>
      </c>
      <c r="D337" s="360" t="s">
        <v>63</v>
      </c>
      <c r="E337" s="360" t="s">
        <v>55</v>
      </c>
      <c r="F337" s="78" t="s">
        <v>183</v>
      </c>
      <c r="G337" s="168">
        <f>SUM(G338:G343)</f>
        <v>828869</v>
      </c>
      <c r="H337" s="168">
        <f>SUM(H338:H343)</f>
        <v>785582</v>
      </c>
      <c r="I337" s="39">
        <f t="shared" ref="I337:I343" si="141">IF(G337&gt;0,H337/G337*100,"-")</f>
        <v>94.777582464780323</v>
      </c>
      <c r="J337" s="168">
        <f>SUM(J338:J343)</f>
        <v>203999</v>
      </c>
      <c r="K337" s="168">
        <f>SUM(K338:K343)</f>
        <v>45134</v>
      </c>
      <c r="L337" s="168">
        <f>SUM(L338:L343)</f>
        <v>249133</v>
      </c>
      <c r="M337" s="38">
        <f>SUM(M338:M343)</f>
        <v>205844.41</v>
      </c>
      <c r="N337" s="39">
        <f t="shared" ref="N337:N343" si="142">IF(L337&gt;0,M337/L337*100,"-")</f>
        <v>82.624305090052303</v>
      </c>
      <c r="O337" s="366" t="s">
        <v>512</v>
      </c>
    </row>
    <row r="338" spans="1:16" s="15" customFormat="1" ht="11.1" customHeight="1" outlineLevel="1" x14ac:dyDescent="0.2">
      <c r="A338" s="368"/>
      <c r="B338" s="76" t="s">
        <v>10</v>
      </c>
      <c r="C338" s="150" t="s">
        <v>82</v>
      </c>
      <c r="D338" s="360"/>
      <c r="E338" s="360"/>
      <c r="F338" s="79" t="s">
        <v>15</v>
      </c>
      <c r="G338" s="169">
        <v>0</v>
      </c>
      <c r="H338" s="140">
        <f>ROUNDUP(0+M338,0)</f>
        <v>0</v>
      </c>
      <c r="I338" s="81" t="str">
        <f t="shared" si="141"/>
        <v>-</v>
      </c>
      <c r="J338" s="169">
        <v>0</v>
      </c>
      <c r="K338" s="164">
        <f t="shared" ref="K338:K343" si="143">L338-J338</f>
        <v>0</v>
      </c>
      <c r="L338" s="141">
        <v>0</v>
      </c>
      <c r="M338" s="80">
        <v>0</v>
      </c>
      <c r="N338" s="81" t="str">
        <f t="shared" si="142"/>
        <v>-</v>
      </c>
      <c r="O338" s="367"/>
    </row>
    <row r="339" spans="1:16" s="15" customFormat="1" ht="11.1" customHeight="1" outlineLevel="1" x14ac:dyDescent="0.2">
      <c r="A339" s="368"/>
      <c r="B339" s="76" t="s">
        <v>11</v>
      </c>
      <c r="C339" s="82" t="s">
        <v>85</v>
      </c>
      <c r="D339" s="360"/>
      <c r="E339" s="360"/>
      <c r="F339" s="79" t="s">
        <v>7</v>
      </c>
      <c r="G339" s="169">
        <v>815436</v>
      </c>
      <c r="H339" s="169">
        <f>ROUNDUP(570018+M339,0)</f>
        <v>772937</v>
      </c>
      <c r="I339" s="81">
        <f t="shared" si="141"/>
        <v>94.788186933125345</v>
      </c>
      <c r="J339" s="169">
        <v>203999</v>
      </c>
      <c r="K339" s="164">
        <f t="shared" si="143"/>
        <v>41419</v>
      </c>
      <c r="L339" s="141">
        <v>245418</v>
      </c>
      <c r="M339" s="83">
        <v>202918.01</v>
      </c>
      <c r="N339" s="81">
        <f t="shared" si="142"/>
        <v>82.682610892436585</v>
      </c>
      <c r="O339" s="367"/>
    </row>
    <row r="340" spans="1:16" s="15" customFormat="1" ht="11.1" customHeight="1" outlineLevel="1" x14ac:dyDescent="0.2">
      <c r="A340" s="119"/>
      <c r="B340" s="76" t="s">
        <v>12</v>
      </c>
      <c r="C340" s="82" t="s">
        <v>228</v>
      </c>
      <c r="D340" s="110"/>
      <c r="E340" s="194"/>
      <c r="F340" s="79" t="s">
        <v>8</v>
      </c>
      <c r="G340" s="169">
        <v>0</v>
      </c>
      <c r="H340" s="140">
        <f>ROUNDUP(0+M340,0)</f>
        <v>0</v>
      </c>
      <c r="I340" s="81" t="str">
        <f t="shared" si="141"/>
        <v>-</v>
      </c>
      <c r="J340" s="169">
        <v>0</v>
      </c>
      <c r="K340" s="164">
        <f t="shared" si="143"/>
        <v>0</v>
      </c>
      <c r="L340" s="141">
        <v>0</v>
      </c>
      <c r="M340" s="83">
        <v>0</v>
      </c>
      <c r="N340" s="81" t="str">
        <f t="shared" si="142"/>
        <v>-</v>
      </c>
      <c r="O340" s="367"/>
    </row>
    <row r="341" spans="1:16" s="15" customFormat="1" ht="11.1" customHeight="1" outlineLevel="1" x14ac:dyDescent="0.2">
      <c r="A341" s="119"/>
      <c r="B341" s="76" t="s">
        <v>23</v>
      </c>
      <c r="C341" s="82" t="s">
        <v>211</v>
      </c>
      <c r="D341" s="110"/>
      <c r="E341" s="194"/>
      <c r="F341" s="79" t="s">
        <v>22</v>
      </c>
      <c r="G341" s="169">
        <v>13433</v>
      </c>
      <c r="H341" s="169">
        <f>ROUNDUP(9718+M341,0)</f>
        <v>12645</v>
      </c>
      <c r="I341" s="81">
        <f t="shared" si="141"/>
        <v>94.133849475173079</v>
      </c>
      <c r="J341" s="169">
        <v>0</v>
      </c>
      <c r="K341" s="164">
        <f t="shared" si="143"/>
        <v>3715</v>
      </c>
      <c r="L341" s="141">
        <v>3715</v>
      </c>
      <c r="M341" s="83">
        <v>2926.4</v>
      </c>
      <c r="N341" s="81">
        <f>IF(L341&gt;0,M341/L341*100,"-")</f>
        <v>78.772543741588166</v>
      </c>
      <c r="O341" s="367"/>
    </row>
    <row r="342" spans="1:16" s="15" customFormat="1" ht="11.1" customHeight="1" outlineLevel="1" x14ac:dyDescent="0.2">
      <c r="A342" s="119"/>
      <c r="B342" s="76"/>
      <c r="C342" s="82" t="s">
        <v>212</v>
      </c>
      <c r="D342" s="110"/>
      <c r="E342" s="194"/>
      <c r="F342" s="107" t="s">
        <v>45</v>
      </c>
      <c r="G342" s="169">
        <v>0</v>
      </c>
      <c r="H342" s="140">
        <f>ROUNDUP(0+M342,0)</f>
        <v>0</v>
      </c>
      <c r="I342" s="81" t="str">
        <f t="shared" si="141"/>
        <v>-</v>
      </c>
      <c r="J342" s="169">
        <v>0</v>
      </c>
      <c r="K342" s="164">
        <f t="shared" si="143"/>
        <v>0</v>
      </c>
      <c r="L342" s="141">
        <v>0</v>
      </c>
      <c r="M342" s="83">
        <v>0</v>
      </c>
      <c r="N342" s="81" t="str">
        <f>IF(L342&gt;0,M342/L342*100,"-")</f>
        <v>-</v>
      </c>
      <c r="O342" s="367"/>
    </row>
    <row r="343" spans="1:16" s="15" customFormat="1" ht="11.1" customHeight="1" outlineLevel="1" x14ac:dyDescent="0.2">
      <c r="A343" s="119"/>
      <c r="B343" s="76"/>
      <c r="C343" s="82" t="s">
        <v>213</v>
      </c>
      <c r="D343" s="110"/>
      <c r="E343" s="194"/>
      <c r="F343" s="107" t="s">
        <v>46</v>
      </c>
      <c r="G343" s="169">
        <v>0</v>
      </c>
      <c r="H343" s="140">
        <f>ROUNDUP(0+M343,0)</f>
        <v>0</v>
      </c>
      <c r="I343" s="81" t="str">
        <f t="shared" si="141"/>
        <v>-</v>
      </c>
      <c r="J343" s="169">
        <v>0</v>
      </c>
      <c r="K343" s="164">
        <f t="shared" si="143"/>
        <v>0</v>
      </c>
      <c r="L343" s="141">
        <v>0</v>
      </c>
      <c r="M343" s="83">
        <v>0</v>
      </c>
      <c r="N343" s="81" t="str">
        <f t="shared" si="142"/>
        <v>-</v>
      </c>
      <c r="O343" s="367"/>
    </row>
    <row r="344" spans="1:16" s="15" customFormat="1" ht="3.95" customHeight="1" outlineLevel="1" x14ac:dyDescent="0.2">
      <c r="A344" s="159"/>
      <c r="B344" s="85"/>
      <c r="C344" s="86"/>
      <c r="D344" s="192"/>
      <c r="E344" s="193"/>
      <c r="F344" s="216"/>
      <c r="G344" s="171"/>
      <c r="H344" s="171"/>
      <c r="I344" s="88"/>
      <c r="J344" s="171"/>
      <c r="K344" s="171"/>
      <c r="L344" s="142"/>
      <c r="M344" s="167"/>
      <c r="N344" s="88"/>
      <c r="O344" s="355"/>
    </row>
    <row r="345" spans="1:16" s="15" customFormat="1" ht="3.95" customHeight="1" outlineLevel="1" x14ac:dyDescent="0.2">
      <c r="A345" s="72"/>
      <c r="B345" s="72"/>
      <c r="C345" s="73"/>
      <c r="D345" s="191"/>
      <c r="E345" s="191"/>
      <c r="F345" s="238"/>
      <c r="G345" s="236"/>
      <c r="H345" s="236"/>
      <c r="I345" s="237"/>
      <c r="J345" s="236"/>
      <c r="K345" s="236"/>
      <c r="L345" s="137"/>
      <c r="M345" s="243"/>
      <c r="N345" s="75"/>
      <c r="O345" s="354"/>
      <c r="P345" s="173"/>
    </row>
    <row r="346" spans="1:16" s="15" customFormat="1" ht="11.1" customHeight="1" outlineLevel="1" x14ac:dyDescent="0.2">
      <c r="A346" s="368" t="s">
        <v>248</v>
      </c>
      <c r="B346" s="76" t="s">
        <v>9</v>
      </c>
      <c r="C346" s="150" t="s">
        <v>56</v>
      </c>
      <c r="D346" s="360" t="s">
        <v>214</v>
      </c>
      <c r="E346" s="360" t="s">
        <v>55</v>
      </c>
      <c r="F346" s="78" t="s">
        <v>183</v>
      </c>
      <c r="G346" s="175">
        <f>SUM(G347:G352)</f>
        <v>366964</v>
      </c>
      <c r="H346" s="175">
        <f>SUM(H347:H352)</f>
        <v>327283</v>
      </c>
      <c r="I346" s="39">
        <f t="shared" ref="I346:I420" si="144">IF(G346&gt;0,H346/G346*100,"-")</f>
        <v>89.186677712255161</v>
      </c>
      <c r="J346" s="175">
        <f>SUM(J347:J352)</f>
        <v>173869</v>
      </c>
      <c r="K346" s="175">
        <f>SUM(K347:K352)</f>
        <v>5514</v>
      </c>
      <c r="L346" s="175">
        <f>SUM(L347:L352)</f>
        <v>179383</v>
      </c>
      <c r="M346" s="176">
        <f>SUM(M347:M352)</f>
        <v>167356.94</v>
      </c>
      <c r="N346" s="39">
        <f t="shared" ref="N346:N352" si="145">IF(L346&gt;0,M346/L346*100,"-")</f>
        <v>93.295875305909703</v>
      </c>
      <c r="O346" s="366" t="s">
        <v>510</v>
      </c>
      <c r="P346" s="173"/>
    </row>
    <row r="347" spans="1:16" s="15" customFormat="1" ht="11.1" customHeight="1" outlineLevel="1" x14ac:dyDescent="0.2">
      <c r="A347" s="368"/>
      <c r="B347" s="76" t="s">
        <v>10</v>
      </c>
      <c r="C347" s="150" t="s">
        <v>82</v>
      </c>
      <c r="D347" s="360"/>
      <c r="E347" s="360"/>
      <c r="F347" s="79" t="s">
        <v>15</v>
      </c>
      <c r="G347" s="169">
        <v>0</v>
      </c>
      <c r="H347" s="140">
        <f>ROUNDUP(0+M347,0)</f>
        <v>0</v>
      </c>
      <c r="I347" s="81" t="str">
        <f t="shared" si="144"/>
        <v>-</v>
      </c>
      <c r="J347" s="169">
        <v>0</v>
      </c>
      <c r="K347" s="164">
        <f t="shared" ref="K347:K352" si="146">L347-J347</f>
        <v>0</v>
      </c>
      <c r="L347" s="141">
        <v>0</v>
      </c>
      <c r="M347" s="89">
        <v>0</v>
      </c>
      <c r="N347" s="81" t="str">
        <f t="shared" si="145"/>
        <v>-</v>
      </c>
      <c r="O347" s="367"/>
      <c r="P347" s="173"/>
    </row>
    <row r="348" spans="1:16" s="15" customFormat="1" ht="11.1" customHeight="1" outlineLevel="1" x14ac:dyDescent="0.2">
      <c r="A348" s="368"/>
      <c r="B348" s="76" t="s">
        <v>11</v>
      </c>
      <c r="C348" s="82" t="s">
        <v>91</v>
      </c>
      <c r="D348" s="360"/>
      <c r="E348" s="360"/>
      <c r="F348" s="79" t="s">
        <v>7</v>
      </c>
      <c r="G348" s="169">
        <v>366964</v>
      </c>
      <c r="H348" s="169">
        <f>ROUNDUP(159926+M348,0)</f>
        <v>327283</v>
      </c>
      <c r="I348" s="81">
        <f t="shared" si="144"/>
        <v>89.186677712255161</v>
      </c>
      <c r="J348" s="169">
        <v>173869</v>
      </c>
      <c r="K348" s="164">
        <f t="shared" si="146"/>
        <v>5514</v>
      </c>
      <c r="L348" s="141">
        <v>179383</v>
      </c>
      <c r="M348" s="89">
        <v>167356.94</v>
      </c>
      <c r="N348" s="81">
        <f t="shared" si="145"/>
        <v>93.295875305909703</v>
      </c>
      <c r="O348" s="367"/>
      <c r="P348" s="173"/>
    </row>
    <row r="349" spans="1:16" s="15" customFormat="1" ht="11.1" customHeight="1" outlineLevel="1" x14ac:dyDescent="0.2">
      <c r="A349" s="119"/>
      <c r="B349" s="76" t="s">
        <v>12</v>
      </c>
      <c r="C349" s="82" t="s">
        <v>229</v>
      </c>
      <c r="D349" s="110"/>
      <c r="E349" s="110"/>
      <c r="F349" s="79" t="s">
        <v>8</v>
      </c>
      <c r="G349" s="169">
        <v>0</v>
      </c>
      <c r="H349" s="140">
        <f>ROUNDUP(0+M349,0)</f>
        <v>0</v>
      </c>
      <c r="I349" s="81" t="str">
        <f t="shared" si="144"/>
        <v>-</v>
      </c>
      <c r="J349" s="169">
        <v>0</v>
      </c>
      <c r="K349" s="164">
        <f t="shared" si="146"/>
        <v>0</v>
      </c>
      <c r="L349" s="141">
        <v>0</v>
      </c>
      <c r="M349" s="89">
        <v>0</v>
      </c>
      <c r="N349" s="81" t="str">
        <f t="shared" si="145"/>
        <v>-</v>
      </c>
      <c r="O349" s="367"/>
      <c r="P349" s="173"/>
    </row>
    <row r="350" spans="1:16" s="15" customFormat="1" ht="11.1" customHeight="1" outlineLevel="1" x14ac:dyDescent="0.2">
      <c r="A350" s="119"/>
      <c r="B350" s="76" t="s">
        <v>23</v>
      </c>
      <c r="C350" s="82" t="s">
        <v>215</v>
      </c>
      <c r="D350" s="110"/>
      <c r="E350" s="110"/>
      <c r="F350" s="79" t="s">
        <v>22</v>
      </c>
      <c r="G350" s="169">
        <v>0</v>
      </c>
      <c r="H350" s="140">
        <f>ROUNDUP(0+M350,0)</f>
        <v>0</v>
      </c>
      <c r="I350" s="81" t="str">
        <f t="shared" si="144"/>
        <v>-</v>
      </c>
      <c r="J350" s="169">
        <v>0</v>
      </c>
      <c r="K350" s="164">
        <f t="shared" si="146"/>
        <v>0</v>
      </c>
      <c r="L350" s="141">
        <v>0</v>
      </c>
      <c r="M350" s="89">
        <v>0</v>
      </c>
      <c r="N350" s="81" t="str">
        <f t="shared" si="145"/>
        <v>-</v>
      </c>
      <c r="O350" s="367"/>
      <c r="P350" s="173"/>
    </row>
    <row r="351" spans="1:16" s="15" customFormat="1" ht="11.1" customHeight="1" outlineLevel="1" x14ac:dyDescent="0.2">
      <c r="A351" s="119"/>
      <c r="B351" s="76"/>
      <c r="C351" s="82" t="s">
        <v>216</v>
      </c>
      <c r="D351" s="110"/>
      <c r="E351" s="110"/>
      <c r="F351" s="107" t="s">
        <v>45</v>
      </c>
      <c r="G351" s="169">
        <v>0</v>
      </c>
      <c r="H351" s="140">
        <f>ROUNDUP(0+M351,0)</f>
        <v>0</v>
      </c>
      <c r="I351" s="170" t="str">
        <f t="shared" si="144"/>
        <v>-</v>
      </c>
      <c r="J351" s="169">
        <v>0</v>
      </c>
      <c r="K351" s="164">
        <f t="shared" si="146"/>
        <v>0</v>
      </c>
      <c r="L351" s="141">
        <v>0</v>
      </c>
      <c r="M351" s="89">
        <v>0</v>
      </c>
      <c r="N351" s="81" t="str">
        <f t="shared" si="145"/>
        <v>-</v>
      </c>
      <c r="O351" s="367"/>
      <c r="P351" s="173"/>
    </row>
    <row r="352" spans="1:16" s="15" customFormat="1" ht="11.1" customHeight="1" outlineLevel="1" x14ac:dyDescent="0.2">
      <c r="A352" s="119"/>
      <c r="B352" s="76"/>
      <c r="C352" s="82"/>
      <c r="D352" s="110"/>
      <c r="E352" s="110"/>
      <c r="F352" s="107" t="s">
        <v>46</v>
      </c>
      <c r="G352" s="169">
        <v>0</v>
      </c>
      <c r="H352" s="140">
        <f>ROUNDUP(0+M352,0)</f>
        <v>0</v>
      </c>
      <c r="I352" s="170" t="str">
        <f t="shared" si="144"/>
        <v>-</v>
      </c>
      <c r="J352" s="169">
        <v>0</v>
      </c>
      <c r="K352" s="164">
        <f t="shared" si="146"/>
        <v>0</v>
      </c>
      <c r="L352" s="141">
        <v>0</v>
      </c>
      <c r="M352" s="89">
        <v>0</v>
      </c>
      <c r="N352" s="81" t="str">
        <f t="shared" si="145"/>
        <v>-</v>
      </c>
      <c r="O352" s="367"/>
      <c r="P352" s="173"/>
    </row>
    <row r="353" spans="1:16" s="15" customFormat="1" ht="3.95" customHeight="1" outlineLevel="1" x14ac:dyDescent="0.2">
      <c r="A353" s="159"/>
      <c r="B353" s="85"/>
      <c r="C353" s="178"/>
      <c r="D353" s="192"/>
      <c r="E353" s="192"/>
      <c r="F353" s="216"/>
      <c r="G353" s="171"/>
      <c r="H353" s="171"/>
      <c r="I353" s="179"/>
      <c r="J353" s="171"/>
      <c r="K353" s="171"/>
      <c r="L353" s="142"/>
      <c r="M353" s="180"/>
      <c r="N353" s="88"/>
      <c r="O353" s="353"/>
      <c r="P353" s="173"/>
    </row>
    <row r="354" spans="1:16" s="15" customFormat="1" ht="3.95" customHeight="1" outlineLevel="1" x14ac:dyDescent="0.2">
      <c r="A354" s="72"/>
      <c r="B354" s="72"/>
      <c r="C354" s="73"/>
      <c r="D354" s="249"/>
      <c r="E354" s="249"/>
      <c r="F354" s="238"/>
      <c r="G354" s="236"/>
      <c r="H354" s="236"/>
      <c r="I354" s="239"/>
      <c r="J354" s="236"/>
      <c r="K354" s="241"/>
      <c r="L354" s="137"/>
      <c r="M354" s="243"/>
      <c r="N354" s="157"/>
      <c r="O354" s="354"/>
    </row>
    <row r="355" spans="1:16" s="15" customFormat="1" ht="11.1" customHeight="1" outlineLevel="1" x14ac:dyDescent="0.2">
      <c r="A355" s="369" t="s">
        <v>249</v>
      </c>
      <c r="B355" s="76" t="s">
        <v>9</v>
      </c>
      <c r="C355" s="150" t="s">
        <v>95</v>
      </c>
      <c r="D355" s="360" t="s">
        <v>367</v>
      </c>
      <c r="E355" s="360" t="s">
        <v>250</v>
      </c>
      <c r="F355" s="240" t="s">
        <v>183</v>
      </c>
      <c r="G355" s="139">
        <f>SUM(G356:G361)</f>
        <v>86599</v>
      </c>
      <c r="H355" s="139">
        <f>SUM(H356:H361)</f>
        <v>32968</v>
      </c>
      <c r="I355" s="39">
        <f t="shared" ref="I355:I361" si="147">IF(G355&gt;0,H355/G355*100,"-")</f>
        <v>38.069723668864533</v>
      </c>
      <c r="J355" s="139">
        <f>SUM(J356:J361)</f>
        <v>0</v>
      </c>
      <c r="K355" s="139">
        <f>SUM(K356:K361)</f>
        <v>69279</v>
      </c>
      <c r="L355" s="139">
        <f>SUM(L356:L361)</f>
        <v>69279</v>
      </c>
      <c r="M355" s="38">
        <f>SUM(M356:M361)</f>
        <v>32967.93</v>
      </c>
      <c r="N355" s="39">
        <f t="shared" ref="N355:N361" si="148">IF(L355&gt;0,M355/L355*100,"-")</f>
        <v>47.587190923656522</v>
      </c>
      <c r="O355" s="366" t="s">
        <v>510</v>
      </c>
    </row>
    <row r="356" spans="1:16" s="15" customFormat="1" ht="11.1" customHeight="1" outlineLevel="1" x14ac:dyDescent="0.2">
      <c r="A356" s="369"/>
      <c r="B356" s="76" t="s">
        <v>10</v>
      </c>
      <c r="C356" s="150" t="s">
        <v>96</v>
      </c>
      <c r="D356" s="360"/>
      <c r="E356" s="360"/>
      <c r="F356" s="79" t="s">
        <v>15</v>
      </c>
      <c r="G356" s="169">
        <v>0</v>
      </c>
      <c r="H356" s="140">
        <f t="shared" ref="H356:H361" si="149">ROUNDUP(0+M356,0)</f>
        <v>0</v>
      </c>
      <c r="I356" s="81" t="str">
        <f t="shared" si="147"/>
        <v>-</v>
      </c>
      <c r="J356" s="169">
        <v>0</v>
      </c>
      <c r="K356" s="164">
        <f t="shared" ref="K356" si="150">L356-J356</f>
        <v>0</v>
      </c>
      <c r="L356" s="141">
        <v>0</v>
      </c>
      <c r="M356" s="89">
        <v>0</v>
      </c>
      <c r="N356" s="81" t="str">
        <f t="shared" si="148"/>
        <v>-</v>
      </c>
      <c r="O356" s="367"/>
    </row>
    <row r="357" spans="1:16" s="15" customFormat="1" ht="11.1" customHeight="1" outlineLevel="1" x14ac:dyDescent="0.2">
      <c r="A357" s="369"/>
      <c r="B357" s="76" t="s">
        <v>11</v>
      </c>
      <c r="C357" s="82" t="s">
        <v>97</v>
      </c>
      <c r="D357" s="360"/>
      <c r="E357" s="360"/>
      <c r="F357" s="79" t="s">
        <v>7</v>
      </c>
      <c r="G357" s="164">
        <v>86599</v>
      </c>
      <c r="H357" s="164">
        <f t="shared" si="149"/>
        <v>32968</v>
      </c>
      <c r="I357" s="81">
        <f t="shared" si="147"/>
        <v>38.069723668864533</v>
      </c>
      <c r="J357" s="164">
        <v>0</v>
      </c>
      <c r="K357" s="164">
        <f t="shared" ref="K357:K361" si="151">L357-J357</f>
        <v>69279</v>
      </c>
      <c r="L357" s="140">
        <v>69279</v>
      </c>
      <c r="M357" s="83">
        <v>32967.93</v>
      </c>
      <c r="N357" s="81">
        <f t="shared" si="148"/>
        <v>47.587190923656522</v>
      </c>
      <c r="O357" s="367"/>
    </row>
    <row r="358" spans="1:16" s="15" customFormat="1" ht="11.1" customHeight="1" outlineLevel="1" x14ac:dyDescent="0.2">
      <c r="A358" s="119"/>
      <c r="B358" s="76" t="s">
        <v>12</v>
      </c>
      <c r="C358" s="82" t="s">
        <v>369</v>
      </c>
      <c r="D358" s="110"/>
      <c r="E358" s="110"/>
      <c r="F358" s="79" t="s">
        <v>8</v>
      </c>
      <c r="G358" s="169">
        <v>0</v>
      </c>
      <c r="H358" s="140">
        <f t="shared" si="149"/>
        <v>0</v>
      </c>
      <c r="I358" s="81" t="str">
        <f t="shared" si="147"/>
        <v>-</v>
      </c>
      <c r="J358" s="169">
        <v>0</v>
      </c>
      <c r="K358" s="164">
        <f t="shared" si="151"/>
        <v>0</v>
      </c>
      <c r="L358" s="141">
        <v>0</v>
      </c>
      <c r="M358" s="89">
        <v>0</v>
      </c>
      <c r="N358" s="81" t="str">
        <f t="shared" si="148"/>
        <v>-</v>
      </c>
      <c r="O358" s="367"/>
    </row>
    <row r="359" spans="1:16" s="15" customFormat="1" ht="11.1" customHeight="1" outlineLevel="1" x14ac:dyDescent="0.2">
      <c r="A359" s="119"/>
      <c r="B359" s="76" t="s">
        <v>23</v>
      </c>
      <c r="C359" s="82" t="s">
        <v>370</v>
      </c>
      <c r="D359" s="110"/>
      <c r="E359" s="110"/>
      <c r="F359" s="79" t="s">
        <v>22</v>
      </c>
      <c r="G359" s="169">
        <v>0</v>
      </c>
      <c r="H359" s="140">
        <f t="shared" si="149"/>
        <v>0</v>
      </c>
      <c r="I359" s="81" t="str">
        <f t="shared" si="147"/>
        <v>-</v>
      </c>
      <c r="J359" s="169">
        <v>0</v>
      </c>
      <c r="K359" s="164">
        <f t="shared" si="151"/>
        <v>0</v>
      </c>
      <c r="L359" s="141">
        <v>0</v>
      </c>
      <c r="M359" s="89">
        <v>0</v>
      </c>
      <c r="N359" s="81" t="str">
        <f t="shared" si="148"/>
        <v>-</v>
      </c>
      <c r="O359" s="367"/>
    </row>
    <row r="360" spans="1:16" s="15" customFormat="1" ht="11.1" customHeight="1" outlineLevel="1" x14ac:dyDescent="0.2">
      <c r="A360" s="119"/>
      <c r="B360" s="76"/>
      <c r="C360" s="82" t="s">
        <v>371</v>
      </c>
      <c r="D360" s="110"/>
      <c r="E360" s="110"/>
      <c r="F360" s="107" t="s">
        <v>45</v>
      </c>
      <c r="G360" s="169">
        <v>0</v>
      </c>
      <c r="H360" s="140">
        <f t="shared" si="149"/>
        <v>0</v>
      </c>
      <c r="I360" s="170" t="str">
        <f t="shared" si="147"/>
        <v>-</v>
      </c>
      <c r="J360" s="169">
        <v>0</v>
      </c>
      <c r="K360" s="164">
        <f t="shared" si="151"/>
        <v>0</v>
      </c>
      <c r="L360" s="141">
        <v>0</v>
      </c>
      <c r="M360" s="89">
        <v>0</v>
      </c>
      <c r="N360" s="81" t="str">
        <f t="shared" si="148"/>
        <v>-</v>
      </c>
      <c r="O360" s="367"/>
    </row>
    <row r="361" spans="1:16" s="15" customFormat="1" ht="11.1" customHeight="1" outlineLevel="1" x14ac:dyDescent="0.2">
      <c r="A361" s="119"/>
      <c r="B361" s="76"/>
      <c r="C361" s="82"/>
      <c r="D361" s="110"/>
      <c r="E361" s="110"/>
      <c r="F361" s="107" t="s">
        <v>46</v>
      </c>
      <c r="G361" s="169">
        <v>0</v>
      </c>
      <c r="H361" s="140">
        <f t="shared" si="149"/>
        <v>0</v>
      </c>
      <c r="I361" s="170" t="str">
        <f t="shared" si="147"/>
        <v>-</v>
      </c>
      <c r="J361" s="169">
        <v>0</v>
      </c>
      <c r="K361" s="164">
        <f t="shared" si="151"/>
        <v>0</v>
      </c>
      <c r="L361" s="141">
        <v>0</v>
      </c>
      <c r="M361" s="89">
        <v>0</v>
      </c>
      <c r="N361" s="81" t="str">
        <f t="shared" si="148"/>
        <v>-</v>
      </c>
      <c r="O361" s="367"/>
    </row>
    <row r="362" spans="1:16" s="15" customFormat="1" ht="3.95" customHeight="1" outlineLevel="1" x14ac:dyDescent="0.2">
      <c r="A362" s="159"/>
      <c r="B362" s="85"/>
      <c r="C362" s="86"/>
      <c r="D362" s="192"/>
      <c r="E362" s="192"/>
      <c r="F362" s="216"/>
      <c r="G362" s="171"/>
      <c r="H362" s="171"/>
      <c r="I362" s="174"/>
      <c r="J362" s="171"/>
      <c r="K362" s="171"/>
      <c r="L362" s="142"/>
      <c r="M362" s="167"/>
      <c r="N362" s="88"/>
      <c r="O362" s="355"/>
    </row>
    <row r="363" spans="1:16" s="15" customFormat="1" ht="3.95" customHeight="1" outlineLevel="1" x14ac:dyDescent="0.2">
      <c r="A363" s="197"/>
      <c r="B363" s="72"/>
      <c r="C363" s="73"/>
      <c r="D363" s="191"/>
      <c r="E363" s="191"/>
      <c r="F363" s="238"/>
      <c r="G363" s="236"/>
      <c r="H363" s="236"/>
      <c r="I363" s="237"/>
      <c r="J363" s="236"/>
      <c r="K363" s="236"/>
      <c r="L363" s="137"/>
      <c r="M363" s="232"/>
      <c r="N363" s="75"/>
      <c r="O363" s="354"/>
    </row>
    <row r="364" spans="1:16" s="15" customFormat="1" ht="11.1" customHeight="1" outlineLevel="1" x14ac:dyDescent="0.2">
      <c r="A364" s="368" t="s">
        <v>251</v>
      </c>
      <c r="B364" s="76" t="s">
        <v>9</v>
      </c>
      <c r="C364" s="150" t="s">
        <v>95</v>
      </c>
      <c r="D364" s="360" t="s">
        <v>63</v>
      </c>
      <c r="E364" s="360" t="s">
        <v>232</v>
      </c>
      <c r="F364" s="78" t="s">
        <v>183</v>
      </c>
      <c r="G364" s="168">
        <f>SUM(G365:G370)</f>
        <v>57720</v>
      </c>
      <c r="H364" s="168">
        <f>SUM(H365:H370)</f>
        <v>57351</v>
      </c>
      <c r="I364" s="39">
        <f t="shared" ref="I364:I370" si="152">IF(G364&gt;0,H364/G364*100,"-")</f>
        <v>99.360706860706856</v>
      </c>
      <c r="J364" s="168">
        <f>SUM(J365:J370)</f>
        <v>35827</v>
      </c>
      <c r="K364" s="168">
        <f>SUM(K365:K370)</f>
        <v>1495</v>
      </c>
      <c r="L364" s="168">
        <f>SUM(L365:L370)</f>
        <v>37322</v>
      </c>
      <c r="M364" s="38">
        <f>SUM(M365:M370)</f>
        <v>36952.06</v>
      </c>
      <c r="N364" s="39">
        <f>IF(L364&gt;0,M364/L364*100,"-")</f>
        <v>99.008788382187447</v>
      </c>
      <c r="O364" s="366" t="s">
        <v>513</v>
      </c>
    </row>
    <row r="365" spans="1:16" s="15" customFormat="1" ht="11.1" customHeight="1" outlineLevel="1" x14ac:dyDescent="0.2">
      <c r="A365" s="368"/>
      <c r="B365" s="76" t="s">
        <v>10</v>
      </c>
      <c r="C365" s="150" t="s">
        <v>96</v>
      </c>
      <c r="D365" s="360"/>
      <c r="E365" s="360"/>
      <c r="F365" s="79" t="s">
        <v>15</v>
      </c>
      <c r="G365" s="169">
        <v>0</v>
      </c>
      <c r="H365" s="140">
        <f>ROUNDUP(0+M365,0)</f>
        <v>0</v>
      </c>
      <c r="I365" s="81" t="str">
        <f t="shared" si="152"/>
        <v>-</v>
      </c>
      <c r="J365" s="169">
        <v>0</v>
      </c>
      <c r="K365" s="164">
        <f t="shared" ref="K365" si="153">L365-J365</f>
        <v>0</v>
      </c>
      <c r="L365" s="141">
        <v>0</v>
      </c>
      <c r="M365" s="89">
        <v>0</v>
      </c>
      <c r="N365" s="81" t="str">
        <f>IF(L365&gt;0,M365/L365*100,"-")</f>
        <v>-</v>
      </c>
      <c r="O365" s="367"/>
    </row>
    <row r="366" spans="1:16" s="15" customFormat="1" ht="11.1" customHeight="1" outlineLevel="1" x14ac:dyDescent="0.2">
      <c r="A366" s="368"/>
      <c r="B366" s="76" t="s">
        <v>11</v>
      </c>
      <c r="C366" s="82" t="s">
        <v>97</v>
      </c>
      <c r="D366" s="360"/>
      <c r="E366" s="360"/>
      <c r="F366" s="79" t="s">
        <v>7</v>
      </c>
      <c r="G366" s="164">
        <v>57720</v>
      </c>
      <c r="H366" s="164">
        <f>ROUNDUP(20398+M366,0)</f>
        <v>57351</v>
      </c>
      <c r="I366" s="81">
        <f t="shared" si="152"/>
        <v>99.360706860706856</v>
      </c>
      <c r="J366" s="169">
        <v>35827</v>
      </c>
      <c r="K366" s="164">
        <f t="shared" ref="K366:K370" si="154">L366-J366</f>
        <v>1495</v>
      </c>
      <c r="L366" s="141">
        <v>37322</v>
      </c>
      <c r="M366" s="83">
        <v>36952.06</v>
      </c>
      <c r="N366" s="81">
        <f t="shared" ref="N366:N367" si="155">IF(L366&gt;0,M366/L366*100,"-")</f>
        <v>99.008788382187447</v>
      </c>
      <c r="O366" s="367"/>
    </row>
    <row r="367" spans="1:16" s="15" customFormat="1" ht="11.1" customHeight="1" outlineLevel="1" x14ac:dyDescent="0.2">
      <c r="A367" s="119"/>
      <c r="B367" s="76" t="s">
        <v>12</v>
      </c>
      <c r="C367" s="82" t="s">
        <v>237</v>
      </c>
      <c r="D367" s="110"/>
      <c r="E367" s="110"/>
      <c r="F367" s="79" t="s">
        <v>8</v>
      </c>
      <c r="G367" s="169">
        <v>0</v>
      </c>
      <c r="H367" s="140">
        <f>ROUNDUP(0+M367,0)</f>
        <v>0</v>
      </c>
      <c r="I367" s="81" t="str">
        <f t="shared" si="152"/>
        <v>-</v>
      </c>
      <c r="J367" s="169">
        <v>0</v>
      </c>
      <c r="K367" s="164">
        <f t="shared" si="154"/>
        <v>0</v>
      </c>
      <c r="L367" s="141">
        <v>0</v>
      </c>
      <c r="M367" s="89">
        <v>0</v>
      </c>
      <c r="N367" s="81" t="str">
        <f t="shared" si="155"/>
        <v>-</v>
      </c>
      <c r="O367" s="367"/>
    </row>
    <row r="368" spans="1:16" s="15" customFormat="1" ht="11.1" customHeight="1" outlineLevel="1" x14ac:dyDescent="0.2">
      <c r="A368" s="119"/>
      <c r="B368" s="76" t="s">
        <v>23</v>
      </c>
      <c r="C368" s="82" t="s">
        <v>234</v>
      </c>
      <c r="D368" s="110"/>
      <c r="E368" s="110"/>
      <c r="F368" s="79" t="s">
        <v>22</v>
      </c>
      <c r="G368" s="169">
        <v>0</v>
      </c>
      <c r="H368" s="140">
        <f>ROUNDUP(0+M368,0)</f>
        <v>0</v>
      </c>
      <c r="I368" s="81" t="str">
        <f t="shared" si="152"/>
        <v>-</v>
      </c>
      <c r="J368" s="169">
        <v>0</v>
      </c>
      <c r="K368" s="164">
        <f t="shared" si="154"/>
        <v>0</v>
      </c>
      <c r="L368" s="141">
        <v>0</v>
      </c>
      <c r="M368" s="89">
        <v>0</v>
      </c>
      <c r="N368" s="81" t="str">
        <f>IF(L368&gt;0,M368/L368*100,"-")</f>
        <v>-</v>
      </c>
      <c r="O368" s="367"/>
    </row>
    <row r="369" spans="1:15" s="15" customFormat="1" ht="11.1" customHeight="1" outlineLevel="1" x14ac:dyDescent="0.2">
      <c r="A369" s="119"/>
      <c r="B369" s="76"/>
      <c r="C369" s="82" t="s">
        <v>235</v>
      </c>
      <c r="D369" s="110"/>
      <c r="E369" s="110"/>
      <c r="F369" s="107" t="s">
        <v>45</v>
      </c>
      <c r="G369" s="169">
        <v>0</v>
      </c>
      <c r="H369" s="140">
        <f>ROUNDUP(0+M369,0)</f>
        <v>0</v>
      </c>
      <c r="I369" s="170" t="str">
        <f t="shared" si="152"/>
        <v>-</v>
      </c>
      <c r="J369" s="169">
        <v>0</v>
      </c>
      <c r="K369" s="164">
        <f t="shared" si="154"/>
        <v>0</v>
      </c>
      <c r="L369" s="141">
        <v>0</v>
      </c>
      <c r="M369" s="89">
        <v>0</v>
      </c>
      <c r="N369" s="81" t="str">
        <f>IF(L369&gt;0,M369/L369*100,"-")</f>
        <v>-</v>
      </c>
      <c r="O369" s="367"/>
    </row>
    <row r="370" spans="1:15" s="15" customFormat="1" ht="11.1" customHeight="1" outlineLevel="1" x14ac:dyDescent="0.2">
      <c r="A370" s="119"/>
      <c r="B370" s="76"/>
      <c r="C370" s="82" t="s">
        <v>236</v>
      </c>
      <c r="D370" s="110"/>
      <c r="E370" s="110"/>
      <c r="F370" s="107" t="s">
        <v>46</v>
      </c>
      <c r="G370" s="169">
        <v>0</v>
      </c>
      <c r="H370" s="140">
        <f>ROUNDUP(0+M370,0)</f>
        <v>0</v>
      </c>
      <c r="I370" s="170" t="str">
        <f t="shared" si="152"/>
        <v>-</v>
      </c>
      <c r="J370" s="169">
        <v>0</v>
      </c>
      <c r="K370" s="164">
        <f t="shared" si="154"/>
        <v>0</v>
      </c>
      <c r="L370" s="141">
        <v>0</v>
      </c>
      <c r="M370" s="89">
        <v>0</v>
      </c>
      <c r="N370" s="81" t="str">
        <f>IF(L370&gt;0,M370/L370*100,"-")</f>
        <v>-</v>
      </c>
      <c r="O370" s="367"/>
    </row>
    <row r="371" spans="1:15" s="15" customFormat="1" ht="3.95" customHeight="1" outlineLevel="1" x14ac:dyDescent="0.2">
      <c r="A371" s="159"/>
      <c r="B371" s="85"/>
      <c r="C371" s="86"/>
      <c r="D371" s="192"/>
      <c r="E371" s="192"/>
      <c r="F371" s="216"/>
      <c r="G371" s="166"/>
      <c r="H371" s="166"/>
      <c r="I371" s="179"/>
      <c r="J371" s="171"/>
      <c r="K371" s="166"/>
      <c r="L371" s="142"/>
      <c r="M371" s="167"/>
      <c r="N371" s="88"/>
      <c r="O371" s="353"/>
    </row>
    <row r="372" spans="1:15" s="15" customFormat="1" ht="3.95" customHeight="1" outlineLevel="1" x14ac:dyDescent="0.2">
      <c r="A372" s="251"/>
      <c r="B372" s="72"/>
      <c r="C372" s="73"/>
      <c r="D372" s="249"/>
      <c r="E372" s="249"/>
      <c r="F372" s="238"/>
      <c r="G372" s="236"/>
      <c r="H372" s="236"/>
      <c r="I372" s="75"/>
      <c r="J372" s="236"/>
      <c r="K372" s="236"/>
      <c r="L372" s="137"/>
      <c r="M372" s="232"/>
      <c r="N372" s="75"/>
      <c r="O372" s="351"/>
    </row>
    <row r="373" spans="1:15" s="15" customFormat="1" ht="11.1" customHeight="1" outlineLevel="1" x14ac:dyDescent="0.2">
      <c r="A373" s="368" t="s">
        <v>252</v>
      </c>
      <c r="B373" s="76" t="s">
        <v>9</v>
      </c>
      <c r="C373" s="150" t="s">
        <v>95</v>
      </c>
      <c r="D373" s="360" t="s">
        <v>214</v>
      </c>
      <c r="E373" s="360" t="s">
        <v>250</v>
      </c>
      <c r="F373" s="78" t="s">
        <v>183</v>
      </c>
      <c r="G373" s="168">
        <f>SUM(G374:G379)</f>
        <v>85263</v>
      </c>
      <c r="H373" s="168">
        <f>SUM(H374:H379)</f>
        <v>48971</v>
      </c>
      <c r="I373" s="39">
        <f t="shared" ref="I373:I379" si="156">IF(G373&gt;0,H373/G373*100,"-")</f>
        <v>57.435229818326825</v>
      </c>
      <c r="J373" s="168">
        <f>SUM(J374:J379)</f>
        <v>45265</v>
      </c>
      <c r="K373" s="168">
        <f>SUM(K374:K379)</f>
        <v>22733</v>
      </c>
      <c r="L373" s="168">
        <f>SUM(L374:L379)</f>
        <v>67998</v>
      </c>
      <c r="M373" s="38">
        <f>SUM(M374:M379)</f>
        <v>48758.58</v>
      </c>
      <c r="N373" s="39">
        <f t="shared" ref="N373:N379" si="157">IF(L373&gt;0,M373/L373*100,"-")</f>
        <v>71.705903114797493</v>
      </c>
      <c r="O373" s="366" t="s">
        <v>510</v>
      </c>
    </row>
    <row r="374" spans="1:15" s="15" customFormat="1" ht="11.1" customHeight="1" outlineLevel="1" x14ac:dyDescent="0.2">
      <c r="A374" s="368"/>
      <c r="B374" s="76" t="s">
        <v>10</v>
      </c>
      <c r="C374" s="150" t="s">
        <v>96</v>
      </c>
      <c r="D374" s="360"/>
      <c r="E374" s="360"/>
      <c r="F374" s="79" t="s">
        <v>15</v>
      </c>
      <c r="G374" s="169">
        <v>0</v>
      </c>
      <c r="H374" s="140">
        <f>ROUNDUP(0+M374,0)</f>
        <v>0</v>
      </c>
      <c r="I374" s="81" t="str">
        <f t="shared" si="156"/>
        <v>-</v>
      </c>
      <c r="J374" s="169">
        <v>0</v>
      </c>
      <c r="K374" s="164">
        <f t="shared" ref="K374" si="158">L374-J374</f>
        <v>0</v>
      </c>
      <c r="L374" s="141">
        <v>0</v>
      </c>
      <c r="M374" s="89">
        <v>0</v>
      </c>
      <c r="N374" s="81" t="str">
        <f t="shared" si="157"/>
        <v>-</v>
      </c>
      <c r="O374" s="367"/>
    </row>
    <row r="375" spans="1:15" s="15" customFormat="1" ht="11.1" customHeight="1" outlineLevel="1" x14ac:dyDescent="0.2">
      <c r="A375" s="368"/>
      <c r="B375" s="76" t="s">
        <v>11</v>
      </c>
      <c r="C375" s="82" t="s">
        <v>97</v>
      </c>
      <c r="D375" s="360"/>
      <c r="E375" s="360"/>
      <c r="F375" s="79" t="s">
        <v>7</v>
      </c>
      <c r="G375" s="169">
        <v>85263</v>
      </c>
      <c r="H375" s="169">
        <f>ROUNDUP(212+M375,0)</f>
        <v>48971</v>
      </c>
      <c r="I375" s="81">
        <f t="shared" si="156"/>
        <v>57.435229818326825</v>
      </c>
      <c r="J375" s="169">
        <v>45265</v>
      </c>
      <c r="K375" s="164">
        <f t="shared" ref="K375:K379" si="159">L375-J375</f>
        <v>22733</v>
      </c>
      <c r="L375" s="141">
        <v>67998</v>
      </c>
      <c r="M375" s="83">
        <v>48758.58</v>
      </c>
      <c r="N375" s="81">
        <f t="shared" si="157"/>
        <v>71.705903114797493</v>
      </c>
      <c r="O375" s="367"/>
    </row>
    <row r="376" spans="1:15" s="15" customFormat="1" ht="11.1" customHeight="1" outlineLevel="1" x14ac:dyDescent="0.2">
      <c r="A376" s="217"/>
      <c r="B376" s="76" t="s">
        <v>12</v>
      </c>
      <c r="C376" s="82" t="s">
        <v>261</v>
      </c>
      <c r="D376" s="110"/>
      <c r="E376" s="110"/>
      <c r="F376" s="79" t="s">
        <v>8</v>
      </c>
      <c r="G376" s="169">
        <v>0</v>
      </c>
      <c r="H376" s="140">
        <f>ROUNDUP(0+M376,0)</f>
        <v>0</v>
      </c>
      <c r="I376" s="81" t="str">
        <f t="shared" si="156"/>
        <v>-</v>
      </c>
      <c r="J376" s="169">
        <v>0</v>
      </c>
      <c r="K376" s="164">
        <f t="shared" si="159"/>
        <v>0</v>
      </c>
      <c r="L376" s="141">
        <v>0</v>
      </c>
      <c r="M376" s="89">
        <v>0</v>
      </c>
      <c r="N376" s="81" t="str">
        <f t="shared" si="157"/>
        <v>-</v>
      </c>
      <c r="O376" s="367"/>
    </row>
    <row r="377" spans="1:15" s="15" customFormat="1" ht="11.1" customHeight="1" outlineLevel="1" x14ac:dyDescent="0.2">
      <c r="A377" s="217"/>
      <c r="B377" s="76" t="s">
        <v>23</v>
      </c>
      <c r="C377" s="82" t="s">
        <v>240</v>
      </c>
      <c r="D377" s="110"/>
      <c r="E377" s="110"/>
      <c r="F377" s="79" t="s">
        <v>22</v>
      </c>
      <c r="G377" s="169">
        <v>0</v>
      </c>
      <c r="H377" s="140">
        <f>ROUNDUP(0+M377,0)</f>
        <v>0</v>
      </c>
      <c r="I377" s="81" t="str">
        <f t="shared" si="156"/>
        <v>-</v>
      </c>
      <c r="J377" s="169">
        <v>0</v>
      </c>
      <c r="K377" s="164">
        <f t="shared" si="159"/>
        <v>0</v>
      </c>
      <c r="L377" s="141">
        <v>0</v>
      </c>
      <c r="M377" s="89">
        <v>0</v>
      </c>
      <c r="N377" s="81" t="str">
        <f t="shared" si="157"/>
        <v>-</v>
      </c>
      <c r="O377" s="367"/>
    </row>
    <row r="378" spans="1:15" s="15" customFormat="1" ht="11.1" customHeight="1" outlineLevel="1" x14ac:dyDescent="0.2">
      <c r="A378" s="217"/>
      <c r="B378" s="76"/>
      <c r="C378" s="82" t="s">
        <v>241</v>
      </c>
      <c r="D378" s="110"/>
      <c r="E378" s="110"/>
      <c r="F378" s="107" t="s">
        <v>45</v>
      </c>
      <c r="G378" s="169">
        <v>0</v>
      </c>
      <c r="H378" s="140">
        <f>ROUNDUP(0+M378,0)</f>
        <v>0</v>
      </c>
      <c r="I378" s="170" t="str">
        <f t="shared" si="156"/>
        <v>-</v>
      </c>
      <c r="J378" s="169">
        <v>0</v>
      </c>
      <c r="K378" s="164">
        <f t="shared" si="159"/>
        <v>0</v>
      </c>
      <c r="L378" s="141">
        <v>0</v>
      </c>
      <c r="M378" s="89">
        <v>0</v>
      </c>
      <c r="N378" s="81" t="str">
        <f t="shared" si="157"/>
        <v>-</v>
      </c>
      <c r="O378" s="367"/>
    </row>
    <row r="379" spans="1:15" s="15" customFormat="1" ht="11.1" customHeight="1" outlineLevel="1" x14ac:dyDescent="0.2">
      <c r="A379" s="217"/>
      <c r="B379" s="76"/>
      <c r="C379" s="82"/>
      <c r="D379" s="110"/>
      <c r="E379" s="110"/>
      <c r="F379" s="107" t="s">
        <v>46</v>
      </c>
      <c r="G379" s="169">
        <v>0</v>
      </c>
      <c r="H379" s="140">
        <f>ROUNDUP(0+M379,0)</f>
        <v>0</v>
      </c>
      <c r="I379" s="170" t="str">
        <f t="shared" si="156"/>
        <v>-</v>
      </c>
      <c r="J379" s="169">
        <v>0</v>
      </c>
      <c r="K379" s="164">
        <f t="shared" si="159"/>
        <v>0</v>
      </c>
      <c r="L379" s="141">
        <v>0</v>
      </c>
      <c r="M379" s="89">
        <v>0</v>
      </c>
      <c r="N379" s="81" t="str">
        <f t="shared" si="157"/>
        <v>-</v>
      </c>
      <c r="O379" s="367"/>
    </row>
    <row r="380" spans="1:15" s="15" customFormat="1" ht="3.95" customHeight="1" outlineLevel="1" x14ac:dyDescent="0.2">
      <c r="A380" s="250"/>
      <c r="B380" s="85"/>
      <c r="C380" s="86"/>
      <c r="D380" s="229"/>
      <c r="E380" s="229"/>
      <c r="F380" s="216"/>
      <c r="G380" s="171"/>
      <c r="H380" s="171"/>
      <c r="I380" s="88"/>
      <c r="J380" s="171"/>
      <c r="K380" s="171"/>
      <c r="L380" s="142"/>
      <c r="M380" s="167"/>
      <c r="N380" s="88"/>
      <c r="O380" s="353"/>
    </row>
    <row r="381" spans="1:15" s="15" customFormat="1" ht="3.95" customHeight="1" outlineLevel="1" x14ac:dyDescent="0.2">
      <c r="A381" s="197"/>
      <c r="B381" s="72"/>
      <c r="C381" s="73"/>
      <c r="D381" s="191"/>
      <c r="E381" s="191"/>
      <c r="F381" s="238"/>
      <c r="G381" s="241"/>
      <c r="H381" s="241"/>
      <c r="I381" s="239"/>
      <c r="J381" s="236"/>
      <c r="K381" s="241"/>
      <c r="L381" s="137"/>
      <c r="M381" s="232"/>
      <c r="N381" s="75"/>
      <c r="O381" s="351"/>
    </row>
    <row r="382" spans="1:15" s="15" customFormat="1" ht="11.1" customHeight="1" outlineLevel="1" x14ac:dyDescent="0.2">
      <c r="A382" s="368" t="s">
        <v>253</v>
      </c>
      <c r="B382" s="76" t="s">
        <v>9</v>
      </c>
      <c r="C382" s="150" t="s">
        <v>95</v>
      </c>
      <c r="D382" s="360" t="s">
        <v>63</v>
      </c>
      <c r="E382" s="360" t="s">
        <v>233</v>
      </c>
      <c r="F382" s="240" t="s">
        <v>183</v>
      </c>
      <c r="G382" s="139">
        <f>SUM(G383:G388)</f>
        <v>76523</v>
      </c>
      <c r="H382" s="139">
        <f>SUM(H383:H388)</f>
        <v>76320</v>
      </c>
      <c r="I382" s="39">
        <f t="shared" ref="I382:I388" si="160">IF(G382&gt;0,H382/G382*100,"-")</f>
        <v>99.7347202801772</v>
      </c>
      <c r="J382" s="139">
        <f>SUM(J383:J388)</f>
        <v>7650</v>
      </c>
      <c r="K382" s="139">
        <f>SUM(K383:K388)</f>
        <v>5035</v>
      </c>
      <c r="L382" s="139">
        <f>SUM(L383:L388)</f>
        <v>12685</v>
      </c>
      <c r="M382" s="38">
        <f>SUM(M383:M388)</f>
        <v>12481.51</v>
      </c>
      <c r="N382" s="39">
        <f t="shared" ref="N382:N388" si="161">IF(L382&gt;0,M382/L382*100,"-")</f>
        <v>98.395821836815131</v>
      </c>
      <c r="O382" s="366" t="s">
        <v>513</v>
      </c>
    </row>
    <row r="383" spans="1:15" s="15" customFormat="1" ht="11.1" customHeight="1" outlineLevel="1" x14ac:dyDescent="0.2">
      <c r="A383" s="368"/>
      <c r="B383" s="76" t="s">
        <v>10</v>
      </c>
      <c r="C383" s="150" t="s">
        <v>96</v>
      </c>
      <c r="D383" s="360"/>
      <c r="E383" s="360"/>
      <c r="F383" s="79" t="s">
        <v>15</v>
      </c>
      <c r="G383" s="169">
        <v>0</v>
      </c>
      <c r="H383" s="140">
        <f>ROUNDUP(0+M383,0)</f>
        <v>0</v>
      </c>
      <c r="I383" s="81" t="str">
        <f t="shared" si="160"/>
        <v>-</v>
      </c>
      <c r="J383" s="169">
        <v>0</v>
      </c>
      <c r="K383" s="164">
        <f t="shared" ref="K383" si="162">L383-J383</f>
        <v>0</v>
      </c>
      <c r="L383" s="141">
        <v>0</v>
      </c>
      <c r="M383" s="89">
        <v>0</v>
      </c>
      <c r="N383" s="81" t="str">
        <f t="shared" si="161"/>
        <v>-</v>
      </c>
      <c r="O383" s="367"/>
    </row>
    <row r="384" spans="1:15" s="15" customFormat="1" ht="11.1" customHeight="1" outlineLevel="1" x14ac:dyDescent="0.2">
      <c r="A384" s="368"/>
      <c r="B384" s="76" t="s">
        <v>11</v>
      </c>
      <c r="C384" s="82" t="s">
        <v>97</v>
      </c>
      <c r="D384" s="360"/>
      <c r="E384" s="360"/>
      <c r="F384" s="79" t="s">
        <v>7</v>
      </c>
      <c r="G384" s="164">
        <v>76523</v>
      </c>
      <c r="H384" s="164">
        <f>ROUNDUP(63838+M384,0)</f>
        <v>76320</v>
      </c>
      <c r="I384" s="81">
        <f t="shared" si="160"/>
        <v>99.7347202801772</v>
      </c>
      <c r="J384" s="164">
        <v>7650</v>
      </c>
      <c r="K384" s="164">
        <f t="shared" ref="K384:K388" si="163">L384-J384</f>
        <v>5035</v>
      </c>
      <c r="L384" s="140">
        <v>12685</v>
      </c>
      <c r="M384" s="83">
        <v>12481.51</v>
      </c>
      <c r="N384" s="81">
        <f t="shared" si="161"/>
        <v>98.395821836815131</v>
      </c>
      <c r="O384" s="367"/>
    </row>
    <row r="385" spans="1:15" s="15" customFormat="1" ht="11.1" customHeight="1" outlineLevel="1" x14ac:dyDescent="0.2">
      <c r="A385" s="119"/>
      <c r="B385" s="76" t="s">
        <v>12</v>
      </c>
      <c r="C385" s="82" t="s">
        <v>238</v>
      </c>
      <c r="D385" s="110"/>
      <c r="E385" s="110"/>
      <c r="F385" s="79" t="s">
        <v>8</v>
      </c>
      <c r="G385" s="169">
        <v>0</v>
      </c>
      <c r="H385" s="140">
        <f>ROUNDUP(0+M385,0)</f>
        <v>0</v>
      </c>
      <c r="I385" s="81" t="str">
        <f t="shared" si="160"/>
        <v>-</v>
      </c>
      <c r="J385" s="169">
        <v>0</v>
      </c>
      <c r="K385" s="164">
        <f t="shared" si="163"/>
        <v>0</v>
      </c>
      <c r="L385" s="141">
        <v>0</v>
      </c>
      <c r="M385" s="89">
        <v>0</v>
      </c>
      <c r="N385" s="81" t="str">
        <f t="shared" si="161"/>
        <v>-</v>
      </c>
      <c r="O385" s="367"/>
    </row>
    <row r="386" spans="1:15" s="15" customFormat="1" ht="11.1" customHeight="1" outlineLevel="1" x14ac:dyDescent="0.2">
      <c r="A386" s="119"/>
      <c r="B386" s="76" t="s">
        <v>23</v>
      </c>
      <c r="C386" s="82" t="s">
        <v>240</v>
      </c>
      <c r="D386" s="110"/>
      <c r="E386" s="110"/>
      <c r="F386" s="79" t="s">
        <v>22</v>
      </c>
      <c r="G386" s="169">
        <v>0</v>
      </c>
      <c r="H386" s="140">
        <f>ROUNDUP(0+M386,0)</f>
        <v>0</v>
      </c>
      <c r="I386" s="81" t="str">
        <f t="shared" si="160"/>
        <v>-</v>
      </c>
      <c r="J386" s="169">
        <v>0</v>
      </c>
      <c r="K386" s="164">
        <f t="shared" si="163"/>
        <v>0</v>
      </c>
      <c r="L386" s="141">
        <v>0</v>
      </c>
      <c r="M386" s="89">
        <v>0</v>
      </c>
      <c r="N386" s="81" t="str">
        <f t="shared" si="161"/>
        <v>-</v>
      </c>
      <c r="O386" s="367"/>
    </row>
    <row r="387" spans="1:15" s="15" customFormat="1" ht="11.1" customHeight="1" outlineLevel="1" x14ac:dyDescent="0.2">
      <c r="A387" s="119"/>
      <c r="B387" s="76"/>
      <c r="C387" s="82" t="s">
        <v>241</v>
      </c>
      <c r="D387" s="110"/>
      <c r="E387" s="110"/>
      <c r="F387" s="107" t="s">
        <v>45</v>
      </c>
      <c r="G387" s="169">
        <v>0</v>
      </c>
      <c r="H387" s="140">
        <f>ROUNDUP(0+M387,0)</f>
        <v>0</v>
      </c>
      <c r="I387" s="170" t="str">
        <f t="shared" si="160"/>
        <v>-</v>
      </c>
      <c r="J387" s="169">
        <v>0</v>
      </c>
      <c r="K387" s="164">
        <f t="shared" si="163"/>
        <v>0</v>
      </c>
      <c r="L387" s="141">
        <v>0</v>
      </c>
      <c r="M387" s="89">
        <v>0</v>
      </c>
      <c r="N387" s="81" t="str">
        <f t="shared" si="161"/>
        <v>-</v>
      </c>
      <c r="O387" s="367"/>
    </row>
    <row r="388" spans="1:15" s="15" customFormat="1" ht="11.1" customHeight="1" outlineLevel="1" x14ac:dyDescent="0.2">
      <c r="A388" s="119"/>
      <c r="B388" s="76"/>
      <c r="C388" s="82"/>
      <c r="D388" s="110"/>
      <c r="E388" s="110"/>
      <c r="F388" s="107" t="s">
        <v>46</v>
      </c>
      <c r="G388" s="169">
        <v>0</v>
      </c>
      <c r="H388" s="140">
        <f>ROUNDUP(0+M388,0)</f>
        <v>0</v>
      </c>
      <c r="I388" s="170" t="str">
        <f t="shared" si="160"/>
        <v>-</v>
      </c>
      <c r="J388" s="169">
        <v>0</v>
      </c>
      <c r="K388" s="164">
        <f t="shared" si="163"/>
        <v>0</v>
      </c>
      <c r="L388" s="141">
        <v>0</v>
      </c>
      <c r="M388" s="89">
        <v>0</v>
      </c>
      <c r="N388" s="81" t="str">
        <f t="shared" si="161"/>
        <v>-</v>
      </c>
      <c r="O388" s="367"/>
    </row>
    <row r="389" spans="1:15" s="15" customFormat="1" ht="3.95" customHeight="1" outlineLevel="1" x14ac:dyDescent="0.2">
      <c r="A389" s="159"/>
      <c r="B389" s="85"/>
      <c r="C389" s="86"/>
      <c r="D389" s="192"/>
      <c r="E389" s="192"/>
      <c r="F389" s="216"/>
      <c r="G389" s="171"/>
      <c r="H389" s="171"/>
      <c r="I389" s="174"/>
      <c r="J389" s="171"/>
      <c r="K389" s="171"/>
      <c r="L389" s="142"/>
      <c r="M389" s="167"/>
      <c r="N389" s="88"/>
      <c r="O389" s="353"/>
    </row>
    <row r="390" spans="1:15" s="15" customFormat="1" ht="3.95" customHeight="1" outlineLevel="1" x14ac:dyDescent="0.2">
      <c r="A390" s="251"/>
      <c r="B390" s="72"/>
      <c r="C390" s="73"/>
      <c r="D390" s="249"/>
      <c r="E390" s="249"/>
      <c r="F390" s="238"/>
      <c r="G390" s="236"/>
      <c r="H390" s="236"/>
      <c r="I390" s="75"/>
      <c r="J390" s="236"/>
      <c r="K390" s="236"/>
      <c r="L390" s="137"/>
      <c r="M390" s="232"/>
      <c r="N390" s="75"/>
      <c r="O390" s="351"/>
    </row>
    <row r="391" spans="1:15" s="15" customFormat="1" ht="11.1" customHeight="1" outlineLevel="1" x14ac:dyDescent="0.2">
      <c r="A391" s="368" t="s">
        <v>254</v>
      </c>
      <c r="B391" s="76" t="s">
        <v>9</v>
      </c>
      <c r="C391" s="150" t="s">
        <v>95</v>
      </c>
      <c r="D391" s="360" t="s">
        <v>214</v>
      </c>
      <c r="E391" s="360" t="s">
        <v>233</v>
      </c>
      <c r="F391" s="78" t="s">
        <v>183</v>
      </c>
      <c r="G391" s="168">
        <f>SUM(G392:G397)</f>
        <v>88126</v>
      </c>
      <c r="H391" s="168">
        <f>SUM(H392:H397)</f>
        <v>42409</v>
      </c>
      <c r="I391" s="39">
        <f t="shared" ref="I391:I397" si="164">IF(G391&gt;0,H391/G391*100,"-")</f>
        <v>48.123141865056851</v>
      </c>
      <c r="J391" s="168">
        <f>SUM(J392:J397)</f>
        <v>51875</v>
      </c>
      <c r="K391" s="168">
        <f>SUM(K392:K397)</f>
        <v>15958</v>
      </c>
      <c r="L391" s="168">
        <f>SUM(L392:L397)</f>
        <v>67833</v>
      </c>
      <c r="M391" s="38">
        <f>SUM(M392:M397)</f>
        <v>39740.720000000001</v>
      </c>
      <c r="N391" s="39">
        <f t="shared" ref="N391:N397" si="165">IF(L391&gt;0,M391/L391*100,"-")</f>
        <v>58.58611590228945</v>
      </c>
      <c r="O391" s="366" t="s">
        <v>510</v>
      </c>
    </row>
    <row r="392" spans="1:15" s="15" customFormat="1" ht="11.1" customHeight="1" outlineLevel="1" x14ac:dyDescent="0.2">
      <c r="A392" s="368"/>
      <c r="B392" s="76" t="s">
        <v>10</v>
      </c>
      <c r="C392" s="150" t="s">
        <v>96</v>
      </c>
      <c r="D392" s="360"/>
      <c r="E392" s="360"/>
      <c r="F392" s="79" t="s">
        <v>15</v>
      </c>
      <c r="G392" s="169">
        <v>0</v>
      </c>
      <c r="H392" s="140">
        <f>ROUNDUP(0+M392,0)</f>
        <v>0</v>
      </c>
      <c r="I392" s="81" t="str">
        <f t="shared" si="164"/>
        <v>-</v>
      </c>
      <c r="J392" s="169">
        <v>0</v>
      </c>
      <c r="K392" s="164">
        <f t="shared" ref="K392" si="166">L392-J392</f>
        <v>0</v>
      </c>
      <c r="L392" s="141">
        <v>0</v>
      </c>
      <c r="M392" s="89">
        <v>0</v>
      </c>
      <c r="N392" s="81" t="str">
        <f t="shared" si="165"/>
        <v>-</v>
      </c>
      <c r="O392" s="367"/>
    </row>
    <row r="393" spans="1:15" s="15" customFormat="1" ht="11.1" customHeight="1" outlineLevel="1" x14ac:dyDescent="0.2">
      <c r="A393" s="368"/>
      <c r="B393" s="76" t="s">
        <v>11</v>
      </c>
      <c r="C393" s="82" t="s">
        <v>97</v>
      </c>
      <c r="D393" s="360"/>
      <c r="E393" s="360"/>
      <c r="F393" s="79" t="s">
        <v>7</v>
      </c>
      <c r="G393" s="169">
        <v>88126</v>
      </c>
      <c r="H393" s="169">
        <f>ROUNDUP(2668+M393,0)</f>
        <v>42409</v>
      </c>
      <c r="I393" s="81">
        <f t="shared" si="164"/>
        <v>48.123141865056851</v>
      </c>
      <c r="J393" s="169">
        <v>51875</v>
      </c>
      <c r="K393" s="164">
        <f t="shared" ref="K393:K397" si="167">L393-J393</f>
        <v>15958</v>
      </c>
      <c r="L393" s="141">
        <v>67833</v>
      </c>
      <c r="M393" s="83">
        <v>39740.720000000001</v>
      </c>
      <c r="N393" s="81">
        <f t="shared" si="165"/>
        <v>58.58611590228945</v>
      </c>
      <c r="O393" s="367"/>
    </row>
    <row r="394" spans="1:15" s="15" customFormat="1" ht="11.1" customHeight="1" outlineLevel="1" x14ac:dyDescent="0.2">
      <c r="A394" s="217"/>
      <c r="B394" s="76" t="s">
        <v>12</v>
      </c>
      <c r="C394" s="82" t="s">
        <v>260</v>
      </c>
      <c r="D394" s="110"/>
      <c r="E394" s="110"/>
      <c r="F394" s="79" t="s">
        <v>8</v>
      </c>
      <c r="G394" s="169">
        <v>0</v>
      </c>
      <c r="H394" s="140">
        <f>ROUNDUP(0+M394,0)</f>
        <v>0</v>
      </c>
      <c r="I394" s="81" t="str">
        <f t="shared" si="164"/>
        <v>-</v>
      </c>
      <c r="J394" s="169">
        <v>0</v>
      </c>
      <c r="K394" s="164">
        <f t="shared" si="167"/>
        <v>0</v>
      </c>
      <c r="L394" s="141">
        <v>0</v>
      </c>
      <c r="M394" s="89">
        <v>0</v>
      </c>
      <c r="N394" s="81" t="str">
        <f t="shared" si="165"/>
        <v>-</v>
      </c>
      <c r="O394" s="367"/>
    </row>
    <row r="395" spans="1:15" s="15" customFormat="1" ht="11.1" customHeight="1" outlineLevel="1" x14ac:dyDescent="0.2">
      <c r="A395" s="217"/>
      <c r="B395" s="76" t="s">
        <v>23</v>
      </c>
      <c r="C395" s="82" t="s">
        <v>240</v>
      </c>
      <c r="D395" s="110"/>
      <c r="E395" s="110"/>
      <c r="F395" s="79" t="s">
        <v>22</v>
      </c>
      <c r="G395" s="169">
        <v>0</v>
      </c>
      <c r="H395" s="140">
        <f>ROUNDUP(0+M395,0)</f>
        <v>0</v>
      </c>
      <c r="I395" s="81" t="str">
        <f t="shared" si="164"/>
        <v>-</v>
      </c>
      <c r="J395" s="169">
        <v>0</v>
      </c>
      <c r="K395" s="164">
        <f t="shared" si="167"/>
        <v>0</v>
      </c>
      <c r="L395" s="141">
        <v>0</v>
      </c>
      <c r="M395" s="89">
        <v>0</v>
      </c>
      <c r="N395" s="81" t="str">
        <f t="shared" si="165"/>
        <v>-</v>
      </c>
      <c r="O395" s="367"/>
    </row>
    <row r="396" spans="1:15" s="15" customFormat="1" ht="11.1" customHeight="1" outlineLevel="1" x14ac:dyDescent="0.2">
      <c r="A396" s="217"/>
      <c r="B396" s="76"/>
      <c r="C396" s="82" t="s">
        <v>241</v>
      </c>
      <c r="D396" s="110"/>
      <c r="E396" s="110"/>
      <c r="F396" s="107" t="s">
        <v>45</v>
      </c>
      <c r="G396" s="169">
        <v>0</v>
      </c>
      <c r="H396" s="140">
        <f>ROUNDUP(0+M396,0)</f>
        <v>0</v>
      </c>
      <c r="I396" s="170" t="str">
        <f t="shared" si="164"/>
        <v>-</v>
      </c>
      <c r="J396" s="169">
        <v>0</v>
      </c>
      <c r="K396" s="164">
        <f t="shared" si="167"/>
        <v>0</v>
      </c>
      <c r="L396" s="141">
        <v>0</v>
      </c>
      <c r="M396" s="89">
        <v>0</v>
      </c>
      <c r="N396" s="81" t="str">
        <f t="shared" si="165"/>
        <v>-</v>
      </c>
      <c r="O396" s="367"/>
    </row>
    <row r="397" spans="1:15" s="15" customFormat="1" ht="11.1" customHeight="1" outlineLevel="1" x14ac:dyDescent="0.2">
      <c r="A397" s="217"/>
      <c r="B397" s="76"/>
      <c r="C397" s="82"/>
      <c r="D397" s="110"/>
      <c r="E397" s="110"/>
      <c r="F397" s="107" t="s">
        <v>46</v>
      </c>
      <c r="G397" s="169">
        <v>0</v>
      </c>
      <c r="H397" s="140">
        <f>ROUNDUP(0+M397,0)</f>
        <v>0</v>
      </c>
      <c r="I397" s="170" t="str">
        <f t="shared" si="164"/>
        <v>-</v>
      </c>
      <c r="J397" s="169">
        <v>0</v>
      </c>
      <c r="K397" s="164">
        <f t="shared" si="167"/>
        <v>0</v>
      </c>
      <c r="L397" s="141">
        <v>0</v>
      </c>
      <c r="M397" s="89">
        <v>0</v>
      </c>
      <c r="N397" s="81" t="str">
        <f t="shared" si="165"/>
        <v>-</v>
      </c>
      <c r="O397" s="367"/>
    </row>
    <row r="398" spans="1:15" s="15" customFormat="1" ht="3.95" customHeight="1" outlineLevel="1" x14ac:dyDescent="0.2">
      <c r="A398" s="250"/>
      <c r="B398" s="85"/>
      <c r="C398" s="86"/>
      <c r="D398" s="229"/>
      <c r="E398" s="229"/>
      <c r="F398" s="216"/>
      <c r="G398" s="166"/>
      <c r="H398" s="183"/>
      <c r="I398" s="88"/>
      <c r="J398" s="183"/>
      <c r="K398" s="166"/>
      <c r="L398" s="184"/>
      <c r="M398" s="167"/>
      <c r="N398" s="88"/>
      <c r="O398" s="353"/>
    </row>
    <row r="399" spans="1:15" s="15" customFormat="1" ht="3.95" customHeight="1" outlineLevel="1" x14ac:dyDescent="0.2">
      <c r="A399" s="251"/>
      <c r="B399" s="72"/>
      <c r="C399" s="73"/>
      <c r="D399" s="191"/>
      <c r="E399" s="191"/>
      <c r="F399" s="238"/>
      <c r="G399" s="236"/>
      <c r="H399" s="236"/>
      <c r="I399" s="75"/>
      <c r="J399" s="236"/>
      <c r="K399" s="236"/>
      <c r="L399" s="137"/>
      <c r="M399" s="232"/>
      <c r="N399" s="75"/>
      <c r="O399" s="351"/>
    </row>
    <row r="400" spans="1:15" s="15" customFormat="1" ht="11.1" customHeight="1" outlineLevel="1" x14ac:dyDescent="0.2">
      <c r="A400" s="368" t="s">
        <v>255</v>
      </c>
      <c r="B400" s="76" t="s">
        <v>9</v>
      </c>
      <c r="C400" s="150" t="s">
        <v>95</v>
      </c>
      <c r="D400" s="360" t="s">
        <v>214</v>
      </c>
      <c r="E400" s="360" t="s">
        <v>233</v>
      </c>
      <c r="F400" s="78" t="s">
        <v>183</v>
      </c>
      <c r="G400" s="168">
        <f>SUM(G401:G406)</f>
        <v>80259</v>
      </c>
      <c r="H400" s="168">
        <f>SUM(H401:H406)</f>
        <v>46903</v>
      </c>
      <c r="I400" s="39">
        <f t="shared" ref="I400:I406" si="168">IF(G400&gt;0,H400/G400*100,"-")</f>
        <v>58.439551950560066</v>
      </c>
      <c r="J400" s="168">
        <f>SUM(J401:J406)</f>
        <v>34206</v>
      </c>
      <c r="K400" s="168">
        <f>SUM(K401:K406)</f>
        <v>7183</v>
      </c>
      <c r="L400" s="168">
        <f>SUM(L401:L406)</f>
        <v>41389</v>
      </c>
      <c r="M400" s="38">
        <f>SUM(M401:M406)</f>
        <v>24084.76</v>
      </c>
      <c r="N400" s="39">
        <f t="shared" ref="N400:N406" si="169">IF(L400&gt;0,M400/L400*100,"-")</f>
        <v>58.191210224938992</v>
      </c>
      <c r="O400" s="366" t="s">
        <v>510</v>
      </c>
    </row>
    <row r="401" spans="1:15" s="15" customFormat="1" ht="11.1" customHeight="1" outlineLevel="1" x14ac:dyDescent="0.2">
      <c r="A401" s="368"/>
      <c r="B401" s="76" t="s">
        <v>10</v>
      </c>
      <c r="C401" s="150" t="s">
        <v>96</v>
      </c>
      <c r="D401" s="360"/>
      <c r="E401" s="360"/>
      <c r="F401" s="79" t="s">
        <v>15</v>
      </c>
      <c r="G401" s="169">
        <v>0</v>
      </c>
      <c r="H401" s="140">
        <f>ROUNDUP(0+M401,0)</f>
        <v>0</v>
      </c>
      <c r="I401" s="81" t="str">
        <f t="shared" si="168"/>
        <v>-</v>
      </c>
      <c r="J401" s="169">
        <v>0</v>
      </c>
      <c r="K401" s="164">
        <f t="shared" ref="K401" si="170">L401-J401</f>
        <v>0</v>
      </c>
      <c r="L401" s="141">
        <v>0</v>
      </c>
      <c r="M401" s="89">
        <v>0</v>
      </c>
      <c r="N401" s="81" t="str">
        <f t="shared" si="169"/>
        <v>-</v>
      </c>
      <c r="O401" s="367"/>
    </row>
    <row r="402" spans="1:15" s="15" customFormat="1" ht="11.1" customHeight="1" outlineLevel="1" x14ac:dyDescent="0.2">
      <c r="A402" s="368"/>
      <c r="B402" s="76" t="s">
        <v>11</v>
      </c>
      <c r="C402" s="82" t="s">
        <v>97</v>
      </c>
      <c r="D402" s="360"/>
      <c r="E402" s="360"/>
      <c r="F402" s="79" t="s">
        <v>7</v>
      </c>
      <c r="G402" s="169">
        <v>80259</v>
      </c>
      <c r="H402" s="169">
        <f>ROUNDUP(22818+M402,0)</f>
        <v>46903</v>
      </c>
      <c r="I402" s="81">
        <f t="shared" si="168"/>
        <v>58.439551950560066</v>
      </c>
      <c r="J402" s="169">
        <v>34206</v>
      </c>
      <c r="K402" s="164">
        <f t="shared" ref="K402:K406" si="171">L402-J402</f>
        <v>7183</v>
      </c>
      <c r="L402" s="141">
        <v>41389</v>
      </c>
      <c r="M402" s="83">
        <v>24084.76</v>
      </c>
      <c r="N402" s="81">
        <f t="shared" si="169"/>
        <v>58.191210224938992</v>
      </c>
      <c r="O402" s="367"/>
    </row>
    <row r="403" spans="1:15" s="15" customFormat="1" ht="11.1" customHeight="1" outlineLevel="1" x14ac:dyDescent="0.2">
      <c r="A403" s="217"/>
      <c r="B403" s="76" t="s">
        <v>12</v>
      </c>
      <c r="C403" s="82" t="s">
        <v>262</v>
      </c>
      <c r="D403" s="110"/>
      <c r="E403" s="110"/>
      <c r="F403" s="79" t="s">
        <v>8</v>
      </c>
      <c r="G403" s="169">
        <v>0</v>
      </c>
      <c r="H403" s="140">
        <f>ROUNDUP(0+M403,0)</f>
        <v>0</v>
      </c>
      <c r="I403" s="81" t="str">
        <f t="shared" si="168"/>
        <v>-</v>
      </c>
      <c r="J403" s="169">
        <v>0</v>
      </c>
      <c r="K403" s="164">
        <f t="shared" si="171"/>
        <v>0</v>
      </c>
      <c r="L403" s="141">
        <v>0</v>
      </c>
      <c r="M403" s="89">
        <v>0</v>
      </c>
      <c r="N403" s="81" t="str">
        <f t="shared" si="169"/>
        <v>-</v>
      </c>
      <c r="O403" s="367"/>
    </row>
    <row r="404" spans="1:15" s="15" customFormat="1" ht="11.1" customHeight="1" outlineLevel="1" x14ac:dyDescent="0.2">
      <c r="A404" s="217"/>
      <c r="B404" s="76" t="s">
        <v>23</v>
      </c>
      <c r="C404" s="82" t="s">
        <v>240</v>
      </c>
      <c r="D404" s="110"/>
      <c r="E404" s="110"/>
      <c r="F404" s="79" t="s">
        <v>22</v>
      </c>
      <c r="G404" s="169">
        <v>0</v>
      </c>
      <c r="H404" s="140">
        <f>ROUNDUP(0+M404,0)</f>
        <v>0</v>
      </c>
      <c r="I404" s="81" t="str">
        <f t="shared" si="168"/>
        <v>-</v>
      </c>
      <c r="J404" s="169">
        <v>0</v>
      </c>
      <c r="K404" s="164">
        <f t="shared" si="171"/>
        <v>0</v>
      </c>
      <c r="L404" s="141">
        <v>0</v>
      </c>
      <c r="M404" s="89">
        <v>0</v>
      </c>
      <c r="N404" s="81" t="str">
        <f t="shared" si="169"/>
        <v>-</v>
      </c>
      <c r="O404" s="367"/>
    </row>
    <row r="405" spans="1:15" s="15" customFormat="1" ht="11.1" customHeight="1" outlineLevel="1" x14ac:dyDescent="0.2">
      <c r="A405" s="217"/>
      <c r="B405" s="76"/>
      <c r="C405" s="82" t="s">
        <v>241</v>
      </c>
      <c r="D405" s="110"/>
      <c r="E405" s="110"/>
      <c r="F405" s="107" t="s">
        <v>45</v>
      </c>
      <c r="G405" s="169">
        <v>0</v>
      </c>
      <c r="H405" s="140">
        <f>ROUNDUP(0+M405,0)</f>
        <v>0</v>
      </c>
      <c r="I405" s="170" t="str">
        <f t="shared" si="168"/>
        <v>-</v>
      </c>
      <c r="J405" s="169">
        <v>0</v>
      </c>
      <c r="K405" s="164">
        <f t="shared" si="171"/>
        <v>0</v>
      </c>
      <c r="L405" s="141">
        <v>0</v>
      </c>
      <c r="M405" s="89">
        <v>0</v>
      </c>
      <c r="N405" s="81" t="str">
        <f t="shared" si="169"/>
        <v>-</v>
      </c>
      <c r="O405" s="367"/>
    </row>
    <row r="406" spans="1:15" s="15" customFormat="1" ht="11.1" customHeight="1" outlineLevel="1" x14ac:dyDescent="0.2">
      <c r="A406" s="217"/>
      <c r="B406" s="76"/>
      <c r="C406" s="82"/>
      <c r="D406" s="110"/>
      <c r="E406" s="110"/>
      <c r="F406" s="107" t="s">
        <v>46</v>
      </c>
      <c r="G406" s="169">
        <v>0</v>
      </c>
      <c r="H406" s="140">
        <f>ROUNDUP(0+M406,0)</f>
        <v>0</v>
      </c>
      <c r="I406" s="170" t="str">
        <f t="shared" si="168"/>
        <v>-</v>
      </c>
      <c r="J406" s="169">
        <v>0</v>
      </c>
      <c r="K406" s="164">
        <f t="shared" si="171"/>
        <v>0</v>
      </c>
      <c r="L406" s="141">
        <v>0</v>
      </c>
      <c r="M406" s="89">
        <v>0</v>
      </c>
      <c r="N406" s="81" t="str">
        <f t="shared" si="169"/>
        <v>-</v>
      </c>
      <c r="O406" s="367"/>
    </row>
    <row r="407" spans="1:15" s="15" customFormat="1" ht="3.95" customHeight="1" outlineLevel="1" x14ac:dyDescent="0.2">
      <c r="A407" s="250"/>
      <c r="B407" s="85"/>
      <c r="C407" s="86"/>
      <c r="D407" s="229"/>
      <c r="E407" s="229"/>
      <c r="F407" s="216"/>
      <c r="G407" s="171"/>
      <c r="H407" s="171"/>
      <c r="I407" s="88"/>
      <c r="J407" s="171"/>
      <c r="K407" s="171"/>
      <c r="L407" s="142"/>
      <c r="M407" s="167"/>
      <c r="N407" s="88"/>
      <c r="O407" s="353"/>
    </row>
    <row r="408" spans="1:15" s="15" customFormat="1" ht="3.95" customHeight="1" outlineLevel="1" x14ac:dyDescent="0.2">
      <c r="A408" s="197"/>
      <c r="B408" s="72"/>
      <c r="C408" s="73"/>
      <c r="D408" s="191"/>
      <c r="E408" s="191"/>
      <c r="F408" s="238"/>
      <c r="G408" s="236"/>
      <c r="H408" s="236"/>
      <c r="I408" s="237"/>
      <c r="J408" s="236"/>
      <c r="K408" s="236"/>
      <c r="L408" s="137"/>
      <c r="M408" s="232"/>
      <c r="N408" s="75"/>
      <c r="O408" s="351"/>
    </row>
    <row r="409" spans="1:15" s="15" customFormat="1" ht="11.1" customHeight="1" outlineLevel="1" x14ac:dyDescent="0.2">
      <c r="A409" s="368" t="s">
        <v>256</v>
      </c>
      <c r="B409" s="76" t="s">
        <v>9</v>
      </c>
      <c r="C409" s="150" t="s">
        <v>95</v>
      </c>
      <c r="D409" s="360" t="s">
        <v>355</v>
      </c>
      <c r="E409" s="360" t="s">
        <v>222</v>
      </c>
      <c r="F409" s="78" t="s">
        <v>183</v>
      </c>
      <c r="G409" s="168">
        <f>SUM(G410:G415)</f>
        <v>80463</v>
      </c>
      <c r="H409" s="168">
        <f>SUM(H410:H415)</f>
        <v>2237</v>
      </c>
      <c r="I409" s="39">
        <f t="shared" ref="I409:I415" si="172">IF(G409&gt;0,H409/G409*100,"-")</f>
        <v>2.7801598250127388</v>
      </c>
      <c r="J409" s="168">
        <f>SUM(J410:J415)</f>
        <v>0</v>
      </c>
      <c r="K409" s="168">
        <f>SUM(K410:K415)</f>
        <v>64370</v>
      </c>
      <c r="L409" s="168">
        <f>SUM(L410:L415)</f>
        <v>64370</v>
      </c>
      <c r="M409" s="38">
        <f>SUM(M410:M415)</f>
        <v>2236.6</v>
      </c>
      <c r="N409" s="39">
        <f t="shared" ref="N409:N415" si="173">IF(L409&gt;0,M409/L409*100,"-")</f>
        <v>3.474599968929625</v>
      </c>
      <c r="O409" s="366" t="s">
        <v>510</v>
      </c>
    </row>
    <row r="410" spans="1:15" s="15" customFormat="1" ht="11.1" customHeight="1" outlineLevel="1" x14ac:dyDescent="0.2">
      <c r="A410" s="368"/>
      <c r="B410" s="76" t="s">
        <v>10</v>
      </c>
      <c r="C410" s="150" t="s">
        <v>96</v>
      </c>
      <c r="D410" s="360"/>
      <c r="E410" s="360"/>
      <c r="F410" s="79" t="s">
        <v>15</v>
      </c>
      <c r="G410" s="169">
        <v>0</v>
      </c>
      <c r="H410" s="140">
        <f t="shared" ref="H410:H415" si="174">ROUNDUP(0+M410,0)</f>
        <v>0</v>
      </c>
      <c r="I410" s="81" t="str">
        <f t="shared" si="172"/>
        <v>-</v>
      </c>
      <c r="J410" s="169">
        <v>0</v>
      </c>
      <c r="K410" s="164">
        <f t="shared" ref="K410:K415" si="175">L410-J410</f>
        <v>0</v>
      </c>
      <c r="L410" s="141">
        <v>0</v>
      </c>
      <c r="M410" s="89">
        <v>0</v>
      </c>
      <c r="N410" s="81" t="str">
        <f t="shared" si="173"/>
        <v>-</v>
      </c>
      <c r="O410" s="367"/>
    </row>
    <row r="411" spans="1:15" s="15" customFormat="1" ht="11.1" customHeight="1" outlineLevel="1" x14ac:dyDescent="0.2">
      <c r="A411" s="368"/>
      <c r="B411" s="76" t="s">
        <v>11</v>
      </c>
      <c r="C411" s="82" t="s">
        <v>97</v>
      </c>
      <c r="D411" s="360"/>
      <c r="E411" s="360"/>
      <c r="F411" s="79" t="s">
        <v>7</v>
      </c>
      <c r="G411" s="169">
        <v>80463</v>
      </c>
      <c r="H411" s="169">
        <f t="shared" si="174"/>
        <v>2237</v>
      </c>
      <c r="I411" s="81">
        <f t="shared" si="172"/>
        <v>2.7801598250127388</v>
      </c>
      <c r="J411" s="169">
        <v>0</v>
      </c>
      <c r="K411" s="164">
        <f t="shared" si="175"/>
        <v>64370</v>
      </c>
      <c r="L411" s="141">
        <v>64370</v>
      </c>
      <c r="M411" s="83">
        <v>2236.6</v>
      </c>
      <c r="N411" s="81">
        <f t="shared" si="173"/>
        <v>3.474599968929625</v>
      </c>
      <c r="O411" s="367"/>
    </row>
    <row r="412" spans="1:15" s="15" customFormat="1" ht="11.1" customHeight="1" outlineLevel="1" x14ac:dyDescent="0.2">
      <c r="A412" s="217"/>
      <c r="B412" s="76" t="s">
        <v>12</v>
      </c>
      <c r="C412" s="82" t="s">
        <v>446</v>
      </c>
      <c r="D412" s="110"/>
      <c r="E412" s="110"/>
      <c r="F412" s="79" t="s">
        <v>8</v>
      </c>
      <c r="G412" s="169">
        <v>0</v>
      </c>
      <c r="H412" s="140">
        <f t="shared" si="174"/>
        <v>0</v>
      </c>
      <c r="I412" s="81" t="str">
        <f t="shared" si="172"/>
        <v>-</v>
      </c>
      <c r="J412" s="169">
        <v>0</v>
      </c>
      <c r="K412" s="164">
        <f t="shared" si="175"/>
        <v>0</v>
      </c>
      <c r="L412" s="141">
        <v>0</v>
      </c>
      <c r="M412" s="89">
        <v>0</v>
      </c>
      <c r="N412" s="81" t="str">
        <f t="shared" si="173"/>
        <v>-</v>
      </c>
      <c r="O412" s="367"/>
    </row>
    <row r="413" spans="1:15" s="15" customFormat="1" ht="11.1" customHeight="1" outlineLevel="1" x14ac:dyDescent="0.2">
      <c r="A413" s="217"/>
      <c r="B413" s="76" t="s">
        <v>23</v>
      </c>
      <c r="C413" s="82" t="s">
        <v>447</v>
      </c>
      <c r="D413" s="110"/>
      <c r="E413" s="110"/>
      <c r="F413" s="79" t="s">
        <v>22</v>
      </c>
      <c r="G413" s="169">
        <v>0</v>
      </c>
      <c r="H413" s="140">
        <f t="shared" si="174"/>
        <v>0</v>
      </c>
      <c r="I413" s="81" t="str">
        <f t="shared" si="172"/>
        <v>-</v>
      </c>
      <c r="J413" s="169">
        <v>0</v>
      </c>
      <c r="K413" s="164">
        <f t="shared" si="175"/>
        <v>0</v>
      </c>
      <c r="L413" s="141">
        <v>0</v>
      </c>
      <c r="M413" s="89">
        <v>0</v>
      </c>
      <c r="N413" s="81" t="str">
        <f t="shared" si="173"/>
        <v>-</v>
      </c>
      <c r="O413" s="367"/>
    </row>
    <row r="414" spans="1:15" s="15" customFormat="1" ht="11.1" customHeight="1" outlineLevel="1" x14ac:dyDescent="0.2">
      <c r="A414" s="217"/>
      <c r="B414" s="76"/>
      <c r="C414" s="82" t="s">
        <v>448</v>
      </c>
      <c r="D414" s="110"/>
      <c r="E414" s="110"/>
      <c r="F414" s="107" t="s">
        <v>45</v>
      </c>
      <c r="G414" s="169">
        <v>0</v>
      </c>
      <c r="H414" s="140">
        <f t="shared" si="174"/>
        <v>0</v>
      </c>
      <c r="I414" s="170" t="str">
        <f t="shared" si="172"/>
        <v>-</v>
      </c>
      <c r="J414" s="169">
        <v>0</v>
      </c>
      <c r="K414" s="164">
        <f t="shared" si="175"/>
        <v>0</v>
      </c>
      <c r="L414" s="141">
        <v>0</v>
      </c>
      <c r="M414" s="89">
        <v>0</v>
      </c>
      <c r="N414" s="81" t="str">
        <f t="shared" si="173"/>
        <v>-</v>
      </c>
      <c r="O414" s="367"/>
    </row>
    <row r="415" spans="1:15" s="15" customFormat="1" ht="11.1" customHeight="1" outlineLevel="1" x14ac:dyDescent="0.2">
      <c r="A415" s="217"/>
      <c r="B415" s="76"/>
      <c r="C415" s="82"/>
      <c r="D415" s="110"/>
      <c r="E415" s="110"/>
      <c r="F415" s="107" t="s">
        <v>46</v>
      </c>
      <c r="G415" s="169">
        <v>0</v>
      </c>
      <c r="H415" s="140">
        <f t="shared" si="174"/>
        <v>0</v>
      </c>
      <c r="I415" s="170" t="str">
        <f t="shared" si="172"/>
        <v>-</v>
      </c>
      <c r="J415" s="169">
        <v>0</v>
      </c>
      <c r="K415" s="164">
        <f t="shared" si="175"/>
        <v>0</v>
      </c>
      <c r="L415" s="141">
        <v>0</v>
      </c>
      <c r="M415" s="89">
        <v>0</v>
      </c>
      <c r="N415" s="81" t="str">
        <f t="shared" si="173"/>
        <v>-</v>
      </c>
      <c r="O415" s="367"/>
    </row>
    <row r="416" spans="1:15" s="15" customFormat="1" ht="3.95" customHeight="1" outlineLevel="1" x14ac:dyDescent="0.2">
      <c r="A416" s="233"/>
      <c r="B416" s="85"/>
      <c r="C416" s="86"/>
      <c r="D416" s="192"/>
      <c r="E416" s="192"/>
      <c r="F416" s="216"/>
      <c r="G416" s="171"/>
      <c r="H416" s="171"/>
      <c r="I416" s="88"/>
      <c r="J416" s="171"/>
      <c r="K416" s="171"/>
      <c r="L416" s="142"/>
      <c r="M416" s="167"/>
      <c r="N416" s="88"/>
      <c r="O416" s="353"/>
    </row>
    <row r="417" spans="1:15" s="15" customFormat="1" ht="3.95" customHeight="1" outlineLevel="1" x14ac:dyDescent="0.2">
      <c r="A417" s="197"/>
      <c r="B417" s="72"/>
      <c r="C417" s="73"/>
      <c r="D417" s="191"/>
      <c r="E417" s="191"/>
      <c r="F417" s="238"/>
      <c r="G417" s="236"/>
      <c r="H417" s="236"/>
      <c r="I417" s="237"/>
      <c r="J417" s="236"/>
      <c r="K417" s="236"/>
      <c r="L417" s="137"/>
      <c r="M417" s="232"/>
      <c r="N417" s="75"/>
      <c r="O417" s="351"/>
    </row>
    <row r="418" spans="1:15" s="15" customFormat="1" ht="11.1" customHeight="1" outlineLevel="1" x14ac:dyDescent="0.2">
      <c r="A418" s="368" t="s">
        <v>382</v>
      </c>
      <c r="B418" s="76" t="s">
        <v>9</v>
      </c>
      <c r="C418" s="150" t="s">
        <v>95</v>
      </c>
      <c r="D418" s="360" t="s">
        <v>63</v>
      </c>
      <c r="E418" s="360" t="s">
        <v>233</v>
      </c>
      <c r="F418" s="78" t="s">
        <v>183</v>
      </c>
      <c r="G418" s="168">
        <f>SUM(G419:G424)</f>
        <v>45828</v>
      </c>
      <c r="H418" s="168">
        <f>SUM(H419:H424)</f>
        <v>45828</v>
      </c>
      <c r="I418" s="39">
        <f t="shared" si="144"/>
        <v>100</v>
      </c>
      <c r="J418" s="168">
        <f>SUM(J419:J424)</f>
        <v>57557</v>
      </c>
      <c r="K418" s="168">
        <f>SUM(K419:K424)</f>
        <v>-11729</v>
      </c>
      <c r="L418" s="168">
        <f>SUM(L419:L424)</f>
        <v>45828</v>
      </c>
      <c r="M418" s="38">
        <f>SUM(M419:M424)</f>
        <v>45828</v>
      </c>
      <c r="N418" s="39">
        <f t="shared" ref="N418:N451" si="176">IF(L418&gt;0,M418/L418*100,"-")</f>
        <v>100</v>
      </c>
      <c r="O418" s="366" t="s">
        <v>513</v>
      </c>
    </row>
    <row r="419" spans="1:15" s="15" customFormat="1" ht="11.1" customHeight="1" outlineLevel="1" x14ac:dyDescent="0.2">
      <c r="A419" s="368"/>
      <c r="B419" s="76" t="s">
        <v>10</v>
      </c>
      <c r="C419" s="150" t="s">
        <v>96</v>
      </c>
      <c r="D419" s="360"/>
      <c r="E419" s="360"/>
      <c r="F419" s="79" t="s">
        <v>15</v>
      </c>
      <c r="G419" s="169">
        <v>0</v>
      </c>
      <c r="H419" s="140">
        <f t="shared" ref="H419:H424" si="177">ROUNDUP(0+M419,0)</f>
        <v>0</v>
      </c>
      <c r="I419" s="81" t="str">
        <f t="shared" si="144"/>
        <v>-</v>
      </c>
      <c r="J419" s="169">
        <v>0</v>
      </c>
      <c r="K419" s="164">
        <f t="shared" ref="K419" si="178">L419-J419</f>
        <v>0</v>
      </c>
      <c r="L419" s="141">
        <v>0</v>
      </c>
      <c r="M419" s="89">
        <v>0</v>
      </c>
      <c r="N419" s="81" t="str">
        <f t="shared" si="176"/>
        <v>-</v>
      </c>
      <c r="O419" s="367"/>
    </row>
    <row r="420" spans="1:15" s="15" customFormat="1" ht="11.1" customHeight="1" outlineLevel="1" x14ac:dyDescent="0.2">
      <c r="A420" s="368"/>
      <c r="B420" s="76" t="s">
        <v>11</v>
      </c>
      <c r="C420" s="82" t="s">
        <v>97</v>
      </c>
      <c r="D420" s="360"/>
      <c r="E420" s="360"/>
      <c r="F420" s="79" t="s">
        <v>7</v>
      </c>
      <c r="G420" s="169">
        <v>45828</v>
      </c>
      <c r="H420" s="169">
        <f t="shared" si="177"/>
        <v>45828</v>
      </c>
      <c r="I420" s="81">
        <f t="shared" si="144"/>
        <v>100</v>
      </c>
      <c r="J420" s="169">
        <v>57557</v>
      </c>
      <c r="K420" s="164">
        <f t="shared" ref="K420:K424" si="179">L420-J420</f>
        <v>-11729</v>
      </c>
      <c r="L420" s="141">
        <v>45828</v>
      </c>
      <c r="M420" s="83">
        <v>45828</v>
      </c>
      <c r="N420" s="81">
        <f t="shared" si="176"/>
        <v>100</v>
      </c>
      <c r="O420" s="367"/>
    </row>
    <row r="421" spans="1:15" s="15" customFormat="1" ht="11.1" customHeight="1" outlineLevel="1" x14ac:dyDescent="0.2">
      <c r="A421" s="217"/>
      <c r="B421" s="76" t="s">
        <v>12</v>
      </c>
      <c r="C421" s="82" t="s">
        <v>242</v>
      </c>
      <c r="D421" s="110"/>
      <c r="E421" s="110"/>
      <c r="F421" s="79" t="s">
        <v>8</v>
      </c>
      <c r="G421" s="169">
        <v>0</v>
      </c>
      <c r="H421" s="140">
        <f t="shared" si="177"/>
        <v>0</v>
      </c>
      <c r="I421" s="81" t="str">
        <f t="shared" ref="I421:I424" si="180">IF(G421&gt;0,H421/G421*100,"-")</f>
        <v>-</v>
      </c>
      <c r="J421" s="169">
        <v>0</v>
      </c>
      <c r="K421" s="164">
        <f t="shared" si="179"/>
        <v>0</v>
      </c>
      <c r="L421" s="141">
        <v>0</v>
      </c>
      <c r="M421" s="89">
        <v>0</v>
      </c>
      <c r="N421" s="81" t="str">
        <f t="shared" si="176"/>
        <v>-</v>
      </c>
      <c r="O421" s="367"/>
    </row>
    <row r="422" spans="1:15" s="15" customFormat="1" ht="11.1" customHeight="1" outlineLevel="1" x14ac:dyDescent="0.2">
      <c r="A422" s="217"/>
      <c r="B422" s="76" t="s">
        <v>23</v>
      </c>
      <c r="C422" s="82" t="s">
        <v>243</v>
      </c>
      <c r="D422" s="110"/>
      <c r="E422" s="110"/>
      <c r="F422" s="79" t="s">
        <v>22</v>
      </c>
      <c r="G422" s="169">
        <v>0</v>
      </c>
      <c r="H422" s="140">
        <f t="shared" si="177"/>
        <v>0</v>
      </c>
      <c r="I422" s="81" t="str">
        <f t="shared" si="180"/>
        <v>-</v>
      </c>
      <c r="J422" s="169">
        <v>0</v>
      </c>
      <c r="K422" s="164">
        <f t="shared" si="179"/>
        <v>0</v>
      </c>
      <c r="L422" s="141">
        <v>0</v>
      </c>
      <c r="M422" s="89">
        <v>0</v>
      </c>
      <c r="N422" s="81" t="str">
        <f t="shared" si="176"/>
        <v>-</v>
      </c>
      <c r="O422" s="367"/>
    </row>
    <row r="423" spans="1:15" s="15" customFormat="1" ht="11.1" customHeight="1" outlineLevel="1" x14ac:dyDescent="0.2">
      <c r="A423" s="217"/>
      <c r="B423" s="76"/>
      <c r="C423" s="82" t="s">
        <v>244</v>
      </c>
      <c r="D423" s="110"/>
      <c r="E423" s="110"/>
      <c r="F423" s="107" t="s">
        <v>45</v>
      </c>
      <c r="G423" s="169">
        <v>0</v>
      </c>
      <c r="H423" s="140">
        <f t="shared" si="177"/>
        <v>0</v>
      </c>
      <c r="I423" s="170" t="str">
        <f t="shared" si="180"/>
        <v>-</v>
      </c>
      <c r="J423" s="169">
        <v>0</v>
      </c>
      <c r="K423" s="164">
        <f t="shared" si="179"/>
        <v>0</v>
      </c>
      <c r="L423" s="141">
        <v>0</v>
      </c>
      <c r="M423" s="89">
        <v>0</v>
      </c>
      <c r="N423" s="81" t="str">
        <f t="shared" si="176"/>
        <v>-</v>
      </c>
      <c r="O423" s="367"/>
    </row>
    <row r="424" spans="1:15" s="15" customFormat="1" ht="11.1" customHeight="1" outlineLevel="1" x14ac:dyDescent="0.2">
      <c r="A424" s="217"/>
      <c r="B424" s="76"/>
      <c r="C424" s="82"/>
      <c r="D424" s="110"/>
      <c r="E424" s="110"/>
      <c r="F424" s="107" t="s">
        <v>46</v>
      </c>
      <c r="G424" s="169">
        <v>0</v>
      </c>
      <c r="H424" s="140">
        <f t="shared" si="177"/>
        <v>0</v>
      </c>
      <c r="I424" s="170" t="str">
        <f t="shared" si="180"/>
        <v>-</v>
      </c>
      <c r="J424" s="169">
        <v>0</v>
      </c>
      <c r="K424" s="164">
        <f t="shared" si="179"/>
        <v>0</v>
      </c>
      <c r="L424" s="141">
        <v>0</v>
      </c>
      <c r="M424" s="89">
        <v>0</v>
      </c>
      <c r="N424" s="81" t="str">
        <f t="shared" si="176"/>
        <v>-</v>
      </c>
      <c r="O424" s="367"/>
    </row>
    <row r="425" spans="1:15" s="15" customFormat="1" ht="3.95" customHeight="1" outlineLevel="1" x14ac:dyDescent="0.2">
      <c r="A425" s="233"/>
      <c r="B425" s="85"/>
      <c r="C425" s="86"/>
      <c r="D425" s="192"/>
      <c r="E425" s="192"/>
      <c r="F425" s="216"/>
      <c r="G425" s="171"/>
      <c r="H425" s="171"/>
      <c r="I425" s="88"/>
      <c r="J425" s="171"/>
      <c r="K425" s="171"/>
      <c r="L425" s="142"/>
      <c r="M425" s="167"/>
      <c r="N425" s="88"/>
      <c r="O425" s="353"/>
    </row>
    <row r="426" spans="1:15" s="15" customFormat="1" ht="3.95" customHeight="1" outlineLevel="1" x14ac:dyDescent="0.2">
      <c r="A426" s="251"/>
      <c r="B426" s="72"/>
      <c r="C426" s="73"/>
      <c r="D426" s="249"/>
      <c r="E426" s="249"/>
      <c r="F426" s="238"/>
      <c r="G426" s="236"/>
      <c r="H426" s="236"/>
      <c r="I426" s="75"/>
      <c r="J426" s="236"/>
      <c r="K426" s="236"/>
      <c r="L426" s="137"/>
      <c r="M426" s="232"/>
      <c r="N426" s="75"/>
      <c r="O426" s="354"/>
    </row>
    <row r="427" spans="1:15" s="15" customFormat="1" ht="11.1" customHeight="1" outlineLevel="1" x14ac:dyDescent="0.2">
      <c r="A427" s="368" t="s">
        <v>385</v>
      </c>
      <c r="B427" s="76" t="s">
        <v>9</v>
      </c>
      <c r="C427" s="150" t="s">
        <v>95</v>
      </c>
      <c r="D427" s="360" t="s">
        <v>355</v>
      </c>
      <c r="E427" s="360" t="s">
        <v>232</v>
      </c>
      <c r="F427" s="78" t="s">
        <v>183</v>
      </c>
      <c r="G427" s="168">
        <f>SUM(G428:G433)</f>
        <v>60055</v>
      </c>
      <c r="H427" s="168">
        <f>SUM(H428:H433)</f>
        <v>12898</v>
      </c>
      <c r="I427" s="39">
        <f t="shared" ref="I427:I433" si="181">IF(G427&gt;0,H427/G427*100,"-")</f>
        <v>21.476979435517443</v>
      </c>
      <c r="J427" s="168">
        <f>SUM(J428:J433)</f>
        <v>0</v>
      </c>
      <c r="K427" s="168">
        <f>SUM(K428:K433)</f>
        <v>48044</v>
      </c>
      <c r="L427" s="168">
        <f>SUM(L428:L433)</f>
        <v>48044</v>
      </c>
      <c r="M427" s="38">
        <f>SUM(M428:M433)</f>
        <v>12897.2</v>
      </c>
      <c r="N427" s="39">
        <f t="shared" ref="N427:N433" si="182">IF(L427&gt;0,M427/L427*100,"-")</f>
        <v>26.844559154108733</v>
      </c>
      <c r="O427" s="366" t="s">
        <v>510</v>
      </c>
    </row>
    <row r="428" spans="1:15" s="15" customFormat="1" ht="11.1" customHeight="1" outlineLevel="1" x14ac:dyDescent="0.2">
      <c r="A428" s="368"/>
      <c r="B428" s="76" t="s">
        <v>10</v>
      </c>
      <c r="C428" s="150" t="s">
        <v>96</v>
      </c>
      <c r="D428" s="360"/>
      <c r="E428" s="360"/>
      <c r="F428" s="79" t="s">
        <v>15</v>
      </c>
      <c r="G428" s="169">
        <v>0</v>
      </c>
      <c r="H428" s="140">
        <f t="shared" ref="H428:H433" si="183">ROUNDUP(0+M428,0)</f>
        <v>0</v>
      </c>
      <c r="I428" s="81" t="str">
        <f t="shared" si="181"/>
        <v>-</v>
      </c>
      <c r="J428" s="169">
        <v>0</v>
      </c>
      <c r="K428" s="164">
        <f t="shared" ref="K428:K433" si="184">L428-J428</f>
        <v>0</v>
      </c>
      <c r="L428" s="141">
        <v>0</v>
      </c>
      <c r="M428" s="89">
        <v>0</v>
      </c>
      <c r="N428" s="81" t="str">
        <f t="shared" si="182"/>
        <v>-</v>
      </c>
      <c r="O428" s="367"/>
    </row>
    <row r="429" spans="1:15" s="15" customFormat="1" ht="11.1" customHeight="1" outlineLevel="1" x14ac:dyDescent="0.2">
      <c r="A429" s="368"/>
      <c r="B429" s="76" t="s">
        <v>11</v>
      </c>
      <c r="C429" s="82" t="s">
        <v>97</v>
      </c>
      <c r="D429" s="360"/>
      <c r="E429" s="360"/>
      <c r="F429" s="79" t="s">
        <v>7</v>
      </c>
      <c r="G429" s="169">
        <v>60055</v>
      </c>
      <c r="H429" s="169">
        <f t="shared" si="183"/>
        <v>12898</v>
      </c>
      <c r="I429" s="81">
        <f t="shared" si="181"/>
        <v>21.476979435517443</v>
      </c>
      <c r="J429" s="169">
        <v>0</v>
      </c>
      <c r="K429" s="164">
        <f t="shared" si="184"/>
        <v>48044</v>
      </c>
      <c r="L429" s="141">
        <v>48044</v>
      </c>
      <c r="M429" s="83">
        <v>12897.2</v>
      </c>
      <c r="N429" s="81">
        <f t="shared" si="182"/>
        <v>26.844559154108733</v>
      </c>
      <c r="O429" s="367"/>
    </row>
    <row r="430" spans="1:15" s="15" customFormat="1" ht="11.1" customHeight="1" outlineLevel="1" x14ac:dyDescent="0.2">
      <c r="A430" s="217"/>
      <c r="B430" s="76" t="s">
        <v>12</v>
      </c>
      <c r="C430" s="82" t="s">
        <v>449</v>
      </c>
      <c r="D430" s="110"/>
      <c r="E430" s="110"/>
      <c r="F430" s="79" t="s">
        <v>8</v>
      </c>
      <c r="G430" s="169">
        <v>0</v>
      </c>
      <c r="H430" s="140">
        <f t="shared" si="183"/>
        <v>0</v>
      </c>
      <c r="I430" s="81" t="str">
        <f t="shared" si="181"/>
        <v>-</v>
      </c>
      <c r="J430" s="169">
        <v>0</v>
      </c>
      <c r="K430" s="164">
        <f t="shared" si="184"/>
        <v>0</v>
      </c>
      <c r="L430" s="141">
        <v>0</v>
      </c>
      <c r="M430" s="89">
        <v>0</v>
      </c>
      <c r="N430" s="81" t="str">
        <f t="shared" si="182"/>
        <v>-</v>
      </c>
      <c r="O430" s="367"/>
    </row>
    <row r="431" spans="1:15" s="15" customFormat="1" ht="11.1" customHeight="1" outlineLevel="1" x14ac:dyDescent="0.2">
      <c r="A431" s="217"/>
      <c r="B431" s="76" t="s">
        <v>23</v>
      </c>
      <c r="C431" s="82" t="s">
        <v>450</v>
      </c>
      <c r="D431" s="110"/>
      <c r="E431" s="110"/>
      <c r="F431" s="79" t="s">
        <v>22</v>
      </c>
      <c r="G431" s="169">
        <v>0</v>
      </c>
      <c r="H431" s="140">
        <f t="shared" si="183"/>
        <v>0</v>
      </c>
      <c r="I431" s="81" t="str">
        <f t="shared" si="181"/>
        <v>-</v>
      </c>
      <c r="J431" s="169">
        <v>0</v>
      </c>
      <c r="K431" s="164">
        <f t="shared" si="184"/>
        <v>0</v>
      </c>
      <c r="L431" s="141">
        <v>0</v>
      </c>
      <c r="M431" s="89">
        <v>0</v>
      </c>
      <c r="N431" s="81" t="str">
        <f t="shared" si="182"/>
        <v>-</v>
      </c>
      <c r="O431" s="367"/>
    </row>
    <row r="432" spans="1:15" s="15" customFormat="1" ht="11.1" customHeight="1" outlineLevel="1" x14ac:dyDescent="0.2">
      <c r="A432" s="217"/>
      <c r="B432" s="76"/>
      <c r="C432" s="82" t="s">
        <v>451</v>
      </c>
      <c r="D432" s="110"/>
      <c r="E432" s="110"/>
      <c r="F432" s="107" t="s">
        <v>45</v>
      </c>
      <c r="G432" s="169">
        <v>0</v>
      </c>
      <c r="H432" s="140">
        <f t="shared" si="183"/>
        <v>0</v>
      </c>
      <c r="I432" s="170" t="str">
        <f t="shared" si="181"/>
        <v>-</v>
      </c>
      <c r="J432" s="169">
        <v>0</v>
      </c>
      <c r="K432" s="164">
        <f t="shared" si="184"/>
        <v>0</v>
      </c>
      <c r="L432" s="141">
        <v>0</v>
      </c>
      <c r="M432" s="89">
        <v>0</v>
      </c>
      <c r="N432" s="81" t="str">
        <f t="shared" si="182"/>
        <v>-</v>
      </c>
      <c r="O432" s="367"/>
    </row>
    <row r="433" spans="1:15" s="15" customFormat="1" ht="11.1" customHeight="1" outlineLevel="1" x14ac:dyDescent="0.2">
      <c r="A433" s="217"/>
      <c r="B433" s="76"/>
      <c r="C433" s="82"/>
      <c r="D433" s="110"/>
      <c r="E433" s="110"/>
      <c r="F433" s="107" t="s">
        <v>46</v>
      </c>
      <c r="G433" s="169">
        <v>0</v>
      </c>
      <c r="H433" s="140">
        <f t="shared" si="183"/>
        <v>0</v>
      </c>
      <c r="I433" s="170" t="str">
        <f t="shared" si="181"/>
        <v>-</v>
      </c>
      <c r="J433" s="169">
        <v>0</v>
      </c>
      <c r="K433" s="164">
        <f t="shared" si="184"/>
        <v>0</v>
      </c>
      <c r="L433" s="141">
        <v>0</v>
      </c>
      <c r="M433" s="89">
        <v>0</v>
      </c>
      <c r="N433" s="81" t="str">
        <f t="shared" si="182"/>
        <v>-</v>
      </c>
      <c r="O433" s="367"/>
    </row>
    <row r="434" spans="1:15" s="15" customFormat="1" ht="3.95" customHeight="1" outlineLevel="1" x14ac:dyDescent="0.2">
      <c r="A434" s="250"/>
      <c r="B434" s="85"/>
      <c r="C434" s="86"/>
      <c r="D434" s="192"/>
      <c r="E434" s="192"/>
      <c r="F434" s="216"/>
      <c r="G434" s="171"/>
      <c r="H434" s="171"/>
      <c r="I434" s="88"/>
      <c r="J434" s="171"/>
      <c r="K434" s="171"/>
      <c r="L434" s="142"/>
      <c r="M434" s="167"/>
      <c r="N434" s="88"/>
      <c r="O434" s="353"/>
    </row>
    <row r="435" spans="1:15" s="15" customFormat="1" ht="3.95" customHeight="1" outlineLevel="1" x14ac:dyDescent="0.2">
      <c r="A435" s="251"/>
      <c r="B435" s="72"/>
      <c r="C435" s="73"/>
      <c r="D435" s="249"/>
      <c r="E435" s="249"/>
      <c r="F435" s="238"/>
      <c r="G435" s="236"/>
      <c r="H435" s="236"/>
      <c r="I435" s="75"/>
      <c r="J435" s="236"/>
      <c r="K435" s="236"/>
      <c r="L435" s="137"/>
      <c r="M435" s="232"/>
      <c r="N435" s="75"/>
      <c r="O435" s="354"/>
    </row>
    <row r="436" spans="1:15" s="15" customFormat="1" ht="11.1" customHeight="1" outlineLevel="1" x14ac:dyDescent="0.2">
      <c r="A436" s="368" t="s">
        <v>452</v>
      </c>
      <c r="B436" s="76" t="s">
        <v>9</v>
      </c>
      <c r="C436" s="150" t="s">
        <v>95</v>
      </c>
      <c r="D436" s="360" t="s">
        <v>214</v>
      </c>
      <c r="E436" s="360" t="s">
        <v>232</v>
      </c>
      <c r="F436" s="78" t="s">
        <v>183</v>
      </c>
      <c r="G436" s="168">
        <f>SUM(G437:G442)</f>
        <v>60431</v>
      </c>
      <c r="H436" s="168">
        <f>SUM(H437:H442)</f>
        <v>27549</v>
      </c>
      <c r="I436" s="39">
        <f t="shared" ref="I436:I469" si="185">IF(G436&gt;0,H436/G436*100,"-")</f>
        <v>45.587529579189493</v>
      </c>
      <c r="J436" s="168">
        <f>SUM(J437:J442)</f>
        <v>27727</v>
      </c>
      <c r="K436" s="168">
        <f>SUM(K437:K442)</f>
        <v>13452</v>
      </c>
      <c r="L436" s="168">
        <f>SUM(L437:L442)</f>
        <v>41179</v>
      </c>
      <c r="M436" s="38">
        <f>SUM(M437:M442)</f>
        <v>20382.38</v>
      </c>
      <c r="N436" s="39">
        <f t="shared" si="176"/>
        <v>49.497025182738781</v>
      </c>
      <c r="O436" s="366" t="s">
        <v>510</v>
      </c>
    </row>
    <row r="437" spans="1:15" s="15" customFormat="1" ht="11.1" customHeight="1" outlineLevel="1" x14ac:dyDescent="0.2">
      <c r="A437" s="368"/>
      <c r="B437" s="76" t="s">
        <v>10</v>
      </c>
      <c r="C437" s="150" t="s">
        <v>96</v>
      </c>
      <c r="D437" s="360"/>
      <c r="E437" s="360"/>
      <c r="F437" s="79" t="s">
        <v>15</v>
      </c>
      <c r="G437" s="169">
        <v>0</v>
      </c>
      <c r="H437" s="140">
        <f>ROUNDUP(0+M437,0)</f>
        <v>0</v>
      </c>
      <c r="I437" s="81" t="str">
        <f t="shared" ref="I437" si="186">IF(G437&gt;0,H437/G437*100,"-")</f>
        <v>-</v>
      </c>
      <c r="J437" s="169">
        <v>0</v>
      </c>
      <c r="K437" s="164">
        <f t="shared" ref="K437" si="187">L437-J437</f>
        <v>0</v>
      </c>
      <c r="L437" s="141">
        <v>0</v>
      </c>
      <c r="M437" s="89">
        <v>0</v>
      </c>
      <c r="N437" s="81" t="str">
        <f t="shared" si="176"/>
        <v>-</v>
      </c>
      <c r="O437" s="367"/>
    </row>
    <row r="438" spans="1:15" s="15" customFormat="1" ht="11.1" customHeight="1" outlineLevel="1" x14ac:dyDescent="0.2">
      <c r="A438" s="368"/>
      <c r="B438" s="76" t="s">
        <v>11</v>
      </c>
      <c r="C438" s="82" t="s">
        <v>97</v>
      </c>
      <c r="D438" s="360"/>
      <c r="E438" s="360"/>
      <c r="F438" s="79" t="s">
        <v>7</v>
      </c>
      <c r="G438" s="169">
        <v>60431</v>
      </c>
      <c r="H438" s="169">
        <f>ROUNDUP(7166+M438,0)</f>
        <v>27549</v>
      </c>
      <c r="I438" s="81">
        <f t="shared" si="185"/>
        <v>45.587529579189493</v>
      </c>
      <c r="J438" s="169">
        <v>27727</v>
      </c>
      <c r="K438" s="164">
        <f t="shared" ref="K438:K442" si="188">L438-J438</f>
        <v>13452</v>
      </c>
      <c r="L438" s="141">
        <v>41179</v>
      </c>
      <c r="M438" s="83">
        <v>20382.38</v>
      </c>
      <c r="N438" s="81">
        <f t="shared" si="176"/>
        <v>49.497025182738781</v>
      </c>
      <c r="O438" s="367"/>
    </row>
    <row r="439" spans="1:15" s="15" customFormat="1" ht="11.1" customHeight="1" outlineLevel="1" x14ac:dyDescent="0.2">
      <c r="A439" s="217"/>
      <c r="B439" s="76" t="s">
        <v>12</v>
      </c>
      <c r="C439" s="82" t="s">
        <v>263</v>
      </c>
      <c r="D439" s="110"/>
      <c r="E439" s="110"/>
      <c r="F439" s="79" t="s">
        <v>8</v>
      </c>
      <c r="G439" s="169">
        <v>0</v>
      </c>
      <c r="H439" s="140">
        <f>ROUNDUP(0+M439,0)</f>
        <v>0</v>
      </c>
      <c r="I439" s="81" t="str">
        <f t="shared" si="185"/>
        <v>-</v>
      </c>
      <c r="J439" s="169">
        <v>0</v>
      </c>
      <c r="K439" s="164">
        <f t="shared" si="188"/>
        <v>0</v>
      </c>
      <c r="L439" s="141">
        <v>0</v>
      </c>
      <c r="M439" s="89">
        <v>0</v>
      </c>
      <c r="N439" s="81" t="str">
        <f t="shared" si="176"/>
        <v>-</v>
      </c>
      <c r="O439" s="367"/>
    </row>
    <row r="440" spans="1:15" s="15" customFormat="1" ht="11.1" customHeight="1" outlineLevel="1" x14ac:dyDescent="0.2">
      <c r="A440" s="217"/>
      <c r="B440" s="76" t="s">
        <v>23</v>
      </c>
      <c r="C440" s="82" t="s">
        <v>372</v>
      </c>
      <c r="D440" s="110"/>
      <c r="E440" s="110"/>
      <c r="F440" s="79" t="s">
        <v>22</v>
      </c>
      <c r="G440" s="169">
        <v>0</v>
      </c>
      <c r="H440" s="140">
        <f>ROUNDUP(0+M440,0)</f>
        <v>0</v>
      </c>
      <c r="I440" s="81" t="str">
        <f t="shared" si="185"/>
        <v>-</v>
      </c>
      <c r="J440" s="169">
        <v>0</v>
      </c>
      <c r="K440" s="164">
        <f t="shared" si="188"/>
        <v>0</v>
      </c>
      <c r="L440" s="141">
        <v>0</v>
      </c>
      <c r="M440" s="89">
        <v>0</v>
      </c>
      <c r="N440" s="81" t="str">
        <f t="shared" si="176"/>
        <v>-</v>
      </c>
      <c r="O440" s="367"/>
    </row>
    <row r="441" spans="1:15" s="15" customFormat="1" ht="11.1" customHeight="1" outlineLevel="1" x14ac:dyDescent="0.2">
      <c r="A441" s="217"/>
      <c r="B441" s="76"/>
      <c r="C441" s="82" t="s">
        <v>373</v>
      </c>
      <c r="D441" s="110"/>
      <c r="E441" s="110"/>
      <c r="F441" s="107" t="s">
        <v>45</v>
      </c>
      <c r="G441" s="169">
        <v>0</v>
      </c>
      <c r="H441" s="140">
        <f>ROUNDUP(0+M441,0)</f>
        <v>0</v>
      </c>
      <c r="I441" s="170" t="str">
        <f t="shared" si="185"/>
        <v>-</v>
      </c>
      <c r="J441" s="169">
        <v>0</v>
      </c>
      <c r="K441" s="164">
        <f t="shared" si="188"/>
        <v>0</v>
      </c>
      <c r="L441" s="141">
        <v>0</v>
      </c>
      <c r="M441" s="89">
        <v>0</v>
      </c>
      <c r="N441" s="81" t="str">
        <f t="shared" si="176"/>
        <v>-</v>
      </c>
      <c r="O441" s="367"/>
    </row>
    <row r="442" spans="1:15" s="15" customFormat="1" ht="11.1" customHeight="1" outlineLevel="1" x14ac:dyDescent="0.2">
      <c r="A442" s="217"/>
      <c r="B442" s="76"/>
      <c r="C442" s="82"/>
      <c r="D442" s="110"/>
      <c r="E442" s="110"/>
      <c r="F442" s="107" t="s">
        <v>46</v>
      </c>
      <c r="G442" s="169">
        <v>0</v>
      </c>
      <c r="H442" s="140">
        <f>ROUNDUP(0+M442,0)</f>
        <v>0</v>
      </c>
      <c r="I442" s="170" t="str">
        <f t="shared" si="185"/>
        <v>-</v>
      </c>
      <c r="J442" s="169">
        <v>0</v>
      </c>
      <c r="K442" s="164">
        <f t="shared" si="188"/>
        <v>0</v>
      </c>
      <c r="L442" s="141">
        <v>0</v>
      </c>
      <c r="M442" s="89">
        <v>0</v>
      </c>
      <c r="N442" s="81" t="str">
        <f t="shared" si="176"/>
        <v>-</v>
      </c>
      <c r="O442" s="367"/>
    </row>
    <row r="443" spans="1:15" s="15" customFormat="1" ht="3.95" customHeight="1" outlineLevel="1" x14ac:dyDescent="0.2">
      <c r="A443" s="250"/>
      <c r="B443" s="85"/>
      <c r="C443" s="86"/>
      <c r="D443" s="192"/>
      <c r="E443" s="192"/>
      <c r="F443" s="216"/>
      <c r="G443" s="171"/>
      <c r="H443" s="171"/>
      <c r="I443" s="88"/>
      <c r="J443" s="171"/>
      <c r="K443" s="171"/>
      <c r="L443" s="142"/>
      <c r="M443" s="167"/>
      <c r="N443" s="88"/>
      <c r="O443" s="353"/>
    </row>
    <row r="444" spans="1:15" s="15" customFormat="1" ht="3.95" customHeight="1" outlineLevel="1" x14ac:dyDescent="0.2">
      <c r="A444" s="72"/>
      <c r="B444" s="72"/>
      <c r="C444" s="73"/>
      <c r="D444" s="249"/>
      <c r="E444" s="249"/>
      <c r="F444" s="238"/>
      <c r="G444" s="236"/>
      <c r="H444" s="236"/>
      <c r="I444" s="75"/>
      <c r="J444" s="236"/>
      <c r="K444" s="236"/>
      <c r="L444" s="137"/>
      <c r="M444" s="232"/>
      <c r="N444" s="75"/>
      <c r="O444" s="354"/>
    </row>
    <row r="445" spans="1:15" s="15" customFormat="1" ht="11.1" customHeight="1" outlineLevel="1" x14ac:dyDescent="0.2">
      <c r="A445" s="368" t="s">
        <v>453</v>
      </c>
      <c r="B445" s="76" t="s">
        <v>9</v>
      </c>
      <c r="C445" s="150" t="s">
        <v>95</v>
      </c>
      <c r="D445" s="360" t="s">
        <v>64</v>
      </c>
      <c r="E445" s="360" t="s">
        <v>222</v>
      </c>
      <c r="F445" s="78" t="s">
        <v>183</v>
      </c>
      <c r="G445" s="168">
        <f>SUM(G446:G451)</f>
        <v>116153</v>
      </c>
      <c r="H445" s="168">
        <f>SUM(H446:H451)</f>
        <v>111338</v>
      </c>
      <c r="I445" s="39">
        <f t="shared" si="185"/>
        <v>95.854605563351797</v>
      </c>
      <c r="J445" s="168">
        <f>SUM(J446:J451)</f>
        <v>103811</v>
      </c>
      <c r="K445" s="168">
        <f>SUM(K446:K451)</f>
        <v>3497</v>
      </c>
      <c r="L445" s="168">
        <f>SUM(L446:L451)</f>
        <v>107308</v>
      </c>
      <c r="M445" s="38">
        <f>SUM(M446:M451)</f>
        <v>102492.2</v>
      </c>
      <c r="N445" s="39">
        <f t="shared" si="176"/>
        <v>95.51217057442129</v>
      </c>
      <c r="O445" s="366" t="s">
        <v>514</v>
      </c>
    </row>
    <row r="446" spans="1:15" s="15" customFormat="1" ht="11.1" customHeight="1" outlineLevel="1" x14ac:dyDescent="0.2">
      <c r="A446" s="368"/>
      <c r="B446" s="76" t="s">
        <v>10</v>
      </c>
      <c r="C446" s="150" t="s">
        <v>103</v>
      </c>
      <c r="D446" s="360"/>
      <c r="E446" s="360"/>
      <c r="F446" s="79" t="s">
        <v>15</v>
      </c>
      <c r="G446" s="169">
        <v>0</v>
      </c>
      <c r="H446" s="140">
        <f>ROUNDUP(0+M446,0)</f>
        <v>0</v>
      </c>
      <c r="I446" s="81" t="str">
        <f t="shared" ref="I446" si="189">IF(G446&gt;0,H446/G446*100,"-")</f>
        <v>-</v>
      </c>
      <c r="J446" s="169">
        <v>0</v>
      </c>
      <c r="K446" s="164">
        <f t="shared" ref="K446" si="190">L446-J446</f>
        <v>0</v>
      </c>
      <c r="L446" s="141">
        <v>0</v>
      </c>
      <c r="M446" s="89">
        <v>0</v>
      </c>
      <c r="N446" s="81" t="str">
        <f t="shared" si="176"/>
        <v>-</v>
      </c>
      <c r="O446" s="367"/>
    </row>
    <row r="447" spans="1:15" s="15" customFormat="1" ht="11.1" customHeight="1" outlineLevel="1" x14ac:dyDescent="0.2">
      <c r="A447" s="368"/>
      <c r="B447" s="76" t="s">
        <v>11</v>
      </c>
      <c r="C447" s="82" t="s">
        <v>104</v>
      </c>
      <c r="D447" s="360"/>
      <c r="E447" s="360"/>
      <c r="F447" s="79" t="s">
        <v>7</v>
      </c>
      <c r="G447" s="169">
        <v>116153</v>
      </c>
      <c r="H447" s="169">
        <f>ROUNDUP(8845+M447,0)</f>
        <v>111338</v>
      </c>
      <c r="I447" s="81">
        <f t="shared" si="185"/>
        <v>95.854605563351797</v>
      </c>
      <c r="J447" s="169">
        <v>103811</v>
      </c>
      <c r="K447" s="164">
        <f t="shared" ref="K447:K451" si="191">L447-J447</f>
        <v>3497</v>
      </c>
      <c r="L447" s="141">
        <v>107308</v>
      </c>
      <c r="M447" s="83">
        <v>102492.2</v>
      </c>
      <c r="N447" s="81">
        <f t="shared" si="176"/>
        <v>95.51217057442129</v>
      </c>
      <c r="O447" s="367"/>
    </row>
    <row r="448" spans="1:15" s="15" customFormat="1" ht="11.1" customHeight="1" outlineLevel="1" x14ac:dyDescent="0.2">
      <c r="A448" s="119"/>
      <c r="B448" s="76" t="s">
        <v>12</v>
      </c>
      <c r="C448" s="82" t="s">
        <v>259</v>
      </c>
      <c r="D448" s="110"/>
      <c r="E448" s="110"/>
      <c r="F448" s="79" t="s">
        <v>8</v>
      </c>
      <c r="G448" s="169">
        <v>0</v>
      </c>
      <c r="H448" s="140">
        <f>ROUNDUP(0+M448,0)</f>
        <v>0</v>
      </c>
      <c r="I448" s="81" t="str">
        <f t="shared" si="185"/>
        <v>-</v>
      </c>
      <c r="J448" s="169">
        <v>0</v>
      </c>
      <c r="K448" s="164">
        <f t="shared" si="191"/>
        <v>0</v>
      </c>
      <c r="L448" s="141">
        <v>0</v>
      </c>
      <c r="M448" s="89">
        <v>0</v>
      </c>
      <c r="N448" s="81" t="str">
        <f t="shared" si="176"/>
        <v>-</v>
      </c>
      <c r="O448" s="367"/>
    </row>
    <row r="449" spans="1:15" s="15" customFormat="1" ht="11.1" customHeight="1" outlineLevel="1" x14ac:dyDescent="0.2">
      <c r="A449" s="119"/>
      <c r="B449" s="76" t="s">
        <v>23</v>
      </c>
      <c r="C449" s="82" t="s">
        <v>374</v>
      </c>
      <c r="D449" s="110"/>
      <c r="E449" s="110"/>
      <c r="F449" s="79" t="s">
        <v>22</v>
      </c>
      <c r="G449" s="169">
        <v>0</v>
      </c>
      <c r="H449" s="140">
        <f>ROUNDUP(0+M449,0)</f>
        <v>0</v>
      </c>
      <c r="I449" s="81" t="str">
        <f t="shared" si="185"/>
        <v>-</v>
      </c>
      <c r="J449" s="169">
        <v>0</v>
      </c>
      <c r="K449" s="164">
        <f t="shared" si="191"/>
        <v>0</v>
      </c>
      <c r="L449" s="141">
        <v>0</v>
      </c>
      <c r="M449" s="89">
        <v>0</v>
      </c>
      <c r="N449" s="81" t="str">
        <f t="shared" si="176"/>
        <v>-</v>
      </c>
      <c r="O449" s="367"/>
    </row>
    <row r="450" spans="1:15" s="15" customFormat="1" ht="11.1" customHeight="1" outlineLevel="1" x14ac:dyDescent="0.2">
      <c r="A450" s="119"/>
      <c r="B450" s="76"/>
      <c r="C450" s="82" t="s">
        <v>375</v>
      </c>
      <c r="D450" s="110"/>
      <c r="E450" s="110"/>
      <c r="F450" s="107" t="s">
        <v>45</v>
      </c>
      <c r="G450" s="169">
        <v>0</v>
      </c>
      <c r="H450" s="140">
        <f>ROUNDUP(0+M450,0)</f>
        <v>0</v>
      </c>
      <c r="I450" s="170" t="str">
        <f t="shared" si="185"/>
        <v>-</v>
      </c>
      <c r="J450" s="169">
        <v>0</v>
      </c>
      <c r="K450" s="164">
        <f t="shared" si="191"/>
        <v>0</v>
      </c>
      <c r="L450" s="141">
        <v>0</v>
      </c>
      <c r="M450" s="89">
        <v>0</v>
      </c>
      <c r="N450" s="81" t="str">
        <f t="shared" si="176"/>
        <v>-</v>
      </c>
      <c r="O450" s="367"/>
    </row>
    <row r="451" spans="1:15" s="15" customFormat="1" ht="11.1" customHeight="1" outlineLevel="1" x14ac:dyDescent="0.2">
      <c r="A451" s="119"/>
      <c r="B451" s="76"/>
      <c r="C451" s="82" t="s">
        <v>376</v>
      </c>
      <c r="D451" s="110"/>
      <c r="E451" s="110"/>
      <c r="F451" s="107" t="s">
        <v>46</v>
      </c>
      <c r="G451" s="169">
        <v>0</v>
      </c>
      <c r="H451" s="140">
        <f>ROUNDUP(0+M451,0)</f>
        <v>0</v>
      </c>
      <c r="I451" s="170" t="str">
        <f t="shared" si="185"/>
        <v>-</v>
      </c>
      <c r="J451" s="169">
        <v>0</v>
      </c>
      <c r="K451" s="164">
        <f t="shared" si="191"/>
        <v>0</v>
      </c>
      <c r="L451" s="141">
        <v>0</v>
      </c>
      <c r="M451" s="89">
        <v>0</v>
      </c>
      <c r="N451" s="81" t="str">
        <f t="shared" si="176"/>
        <v>-</v>
      </c>
      <c r="O451" s="367"/>
    </row>
    <row r="452" spans="1:15" s="15" customFormat="1" ht="3.95" customHeight="1" outlineLevel="1" x14ac:dyDescent="0.2">
      <c r="A452" s="85"/>
      <c r="B452" s="85"/>
      <c r="C452" s="86"/>
      <c r="D452" s="229"/>
      <c r="E452" s="229"/>
      <c r="F452" s="216"/>
      <c r="G452" s="171"/>
      <c r="H452" s="171"/>
      <c r="I452" s="88"/>
      <c r="J452" s="171"/>
      <c r="K452" s="171"/>
      <c r="L452" s="142"/>
      <c r="M452" s="167"/>
      <c r="N452" s="88"/>
      <c r="O452" s="353"/>
    </row>
    <row r="453" spans="1:15" s="15" customFormat="1" ht="3.95" customHeight="1" outlineLevel="1" x14ac:dyDescent="0.2">
      <c r="A453" s="72"/>
      <c r="B453" s="72"/>
      <c r="C453" s="73"/>
      <c r="D453" s="249"/>
      <c r="E453" s="249"/>
      <c r="F453" s="238"/>
      <c r="G453" s="236"/>
      <c r="H453" s="236"/>
      <c r="I453" s="75"/>
      <c r="J453" s="236"/>
      <c r="K453" s="236"/>
      <c r="L453" s="137"/>
      <c r="M453" s="232"/>
      <c r="N453" s="75"/>
      <c r="O453" s="354"/>
    </row>
    <row r="454" spans="1:15" s="15" customFormat="1" ht="11.1" customHeight="1" outlineLevel="1" x14ac:dyDescent="0.2">
      <c r="A454" s="368" t="s">
        <v>454</v>
      </c>
      <c r="B454" s="76" t="s">
        <v>9</v>
      </c>
      <c r="C454" s="150" t="s">
        <v>95</v>
      </c>
      <c r="D454" s="360" t="s">
        <v>367</v>
      </c>
      <c r="E454" s="360" t="s">
        <v>222</v>
      </c>
      <c r="F454" s="78" t="s">
        <v>183</v>
      </c>
      <c r="G454" s="168">
        <f>SUM(G455:G460)</f>
        <v>170317</v>
      </c>
      <c r="H454" s="168">
        <f>SUM(H455:H460)</f>
        <v>0</v>
      </c>
      <c r="I454" s="39">
        <f t="shared" ref="I454:I460" si="192">IF(G454&gt;0,H454/G454*100,"-")</f>
        <v>0</v>
      </c>
      <c r="J454" s="168">
        <f>SUM(J455:J460)</f>
        <v>0</v>
      </c>
      <c r="K454" s="168">
        <f>SUM(K455:K460)</f>
        <v>136254</v>
      </c>
      <c r="L454" s="168">
        <f>SUM(L455:L460)</f>
        <v>136254</v>
      </c>
      <c r="M454" s="38">
        <f>SUM(M455:M460)</f>
        <v>0</v>
      </c>
      <c r="N454" s="39">
        <f t="shared" ref="N454:N460" si="193">IF(L454&gt;0,M454/L454*100,"-")</f>
        <v>0</v>
      </c>
      <c r="O454" s="366" t="s">
        <v>510</v>
      </c>
    </row>
    <row r="455" spans="1:15" s="15" customFormat="1" ht="11.1" customHeight="1" outlineLevel="1" x14ac:dyDescent="0.2">
      <c r="A455" s="368"/>
      <c r="B455" s="76" t="s">
        <v>10</v>
      </c>
      <c r="C455" s="150" t="s">
        <v>103</v>
      </c>
      <c r="D455" s="360"/>
      <c r="E455" s="360"/>
      <c r="F455" s="79" t="s">
        <v>15</v>
      </c>
      <c r="G455" s="169">
        <v>0</v>
      </c>
      <c r="H455" s="140">
        <f t="shared" ref="H455:H460" si="194">ROUNDUP(0+M455,0)</f>
        <v>0</v>
      </c>
      <c r="I455" s="81" t="str">
        <f t="shared" si="192"/>
        <v>-</v>
      </c>
      <c r="J455" s="169">
        <v>0</v>
      </c>
      <c r="K455" s="164">
        <f t="shared" ref="K455:K460" si="195">L455-J455</f>
        <v>0</v>
      </c>
      <c r="L455" s="141">
        <v>0</v>
      </c>
      <c r="M455" s="89">
        <v>0</v>
      </c>
      <c r="N455" s="81" t="str">
        <f t="shared" si="193"/>
        <v>-</v>
      </c>
      <c r="O455" s="367"/>
    </row>
    <row r="456" spans="1:15" s="15" customFormat="1" ht="11.1" customHeight="1" outlineLevel="1" x14ac:dyDescent="0.2">
      <c r="A456" s="368"/>
      <c r="B456" s="76" t="s">
        <v>11</v>
      </c>
      <c r="C456" s="82" t="s">
        <v>104</v>
      </c>
      <c r="D456" s="360"/>
      <c r="E456" s="360"/>
      <c r="F456" s="79" t="s">
        <v>7</v>
      </c>
      <c r="G456" s="169">
        <v>170317</v>
      </c>
      <c r="H456" s="169">
        <f t="shared" si="194"/>
        <v>0</v>
      </c>
      <c r="I456" s="81">
        <f t="shared" si="192"/>
        <v>0</v>
      </c>
      <c r="J456" s="169">
        <v>0</v>
      </c>
      <c r="K456" s="164">
        <f t="shared" si="195"/>
        <v>136254</v>
      </c>
      <c r="L456" s="141">
        <v>136254</v>
      </c>
      <c r="M456" s="83">
        <v>0</v>
      </c>
      <c r="N456" s="81">
        <f t="shared" si="193"/>
        <v>0</v>
      </c>
      <c r="O456" s="367"/>
    </row>
    <row r="457" spans="1:15" s="15" customFormat="1" ht="11.1" customHeight="1" outlineLevel="1" x14ac:dyDescent="0.2">
      <c r="A457" s="119"/>
      <c r="B457" s="76" t="s">
        <v>12</v>
      </c>
      <c r="C457" s="82" t="s">
        <v>455</v>
      </c>
      <c r="D457" s="110"/>
      <c r="E457" s="110"/>
      <c r="F457" s="79" t="s">
        <v>8</v>
      </c>
      <c r="G457" s="169">
        <v>0</v>
      </c>
      <c r="H457" s="140">
        <f t="shared" si="194"/>
        <v>0</v>
      </c>
      <c r="I457" s="81" t="str">
        <f t="shared" si="192"/>
        <v>-</v>
      </c>
      <c r="J457" s="169">
        <v>0</v>
      </c>
      <c r="K457" s="164">
        <f t="shared" si="195"/>
        <v>0</v>
      </c>
      <c r="L457" s="141">
        <v>0</v>
      </c>
      <c r="M457" s="89">
        <v>0</v>
      </c>
      <c r="N457" s="81" t="str">
        <f t="shared" si="193"/>
        <v>-</v>
      </c>
      <c r="O457" s="367"/>
    </row>
    <row r="458" spans="1:15" s="15" customFormat="1" ht="11.1" customHeight="1" outlineLevel="1" x14ac:dyDescent="0.2">
      <c r="A458" s="119"/>
      <c r="B458" s="76" t="s">
        <v>23</v>
      </c>
      <c r="C458" s="82" t="s">
        <v>456</v>
      </c>
      <c r="D458" s="110"/>
      <c r="E458" s="110"/>
      <c r="F458" s="79" t="s">
        <v>22</v>
      </c>
      <c r="G458" s="169">
        <v>0</v>
      </c>
      <c r="H458" s="140">
        <f t="shared" si="194"/>
        <v>0</v>
      </c>
      <c r="I458" s="81" t="str">
        <f t="shared" si="192"/>
        <v>-</v>
      </c>
      <c r="J458" s="169">
        <v>0</v>
      </c>
      <c r="K458" s="164">
        <f t="shared" si="195"/>
        <v>0</v>
      </c>
      <c r="L458" s="141">
        <v>0</v>
      </c>
      <c r="M458" s="89">
        <v>0</v>
      </c>
      <c r="N458" s="81" t="str">
        <f t="shared" si="193"/>
        <v>-</v>
      </c>
      <c r="O458" s="367"/>
    </row>
    <row r="459" spans="1:15" s="15" customFormat="1" ht="11.1" customHeight="1" outlineLevel="1" x14ac:dyDescent="0.2">
      <c r="A459" s="119"/>
      <c r="B459" s="76"/>
      <c r="C459" s="82" t="s">
        <v>457</v>
      </c>
      <c r="D459" s="110"/>
      <c r="E459" s="110"/>
      <c r="F459" s="107" t="s">
        <v>45</v>
      </c>
      <c r="G459" s="169">
        <v>0</v>
      </c>
      <c r="H459" s="140">
        <f t="shared" si="194"/>
        <v>0</v>
      </c>
      <c r="I459" s="170" t="str">
        <f t="shared" si="192"/>
        <v>-</v>
      </c>
      <c r="J459" s="169">
        <v>0</v>
      </c>
      <c r="K459" s="164">
        <f t="shared" si="195"/>
        <v>0</v>
      </c>
      <c r="L459" s="141">
        <v>0</v>
      </c>
      <c r="M459" s="89">
        <v>0</v>
      </c>
      <c r="N459" s="81" t="str">
        <f t="shared" si="193"/>
        <v>-</v>
      </c>
      <c r="O459" s="367"/>
    </row>
    <row r="460" spans="1:15" s="15" customFormat="1" ht="11.1" customHeight="1" outlineLevel="1" x14ac:dyDescent="0.2">
      <c r="A460" s="119"/>
      <c r="B460" s="76"/>
      <c r="C460" s="82"/>
      <c r="D460" s="110"/>
      <c r="E460" s="110"/>
      <c r="F460" s="107" t="s">
        <v>46</v>
      </c>
      <c r="G460" s="169">
        <v>0</v>
      </c>
      <c r="H460" s="140">
        <f t="shared" si="194"/>
        <v>0</v>
      </c>
      <c r="I460" s="170" t="str">
        <f t="shared" si="192"/>
        <v>-</v>
      </c>
      <c r="J460" s="169">
        <v>0</v>
      </c>
      <c r="K460" s="164">
        <f t="shared" si="195"/>
        <v>0</v>
      </c>
      <c r="L460" s="141">
        <v>0</v>
      </c>
      <c r="M460" s="89">
        <v>0</v>
      </c>
      <c r="N460" s="81" t="str">
        <f t="shared" si="193"/>
        <v>-</v>
      </c>
      <c r="O460" s="367"/>
    </row>
    <row r="461" spans="1:15" s="15" customFormat="1" ht="3.95" customHeight="1" outlineLevel="1" x14ac:dyDescent="0.2">
      <c r="A461" s="85"/>
      <c r="B461" s="85"/>
      <c r="C461" s="86"/>
      <c r="D461" s="229"/>
      <c r="E461" s="229"/>
      <c r="F461" s="216"/>
      <c r="G461" s="171"/>
      <c r="H461" s="171"/>
      <c r="I461" s="88"/>
      <c r="J461" s="171"/>
      <c r="K461" s="171"/>
      <c r="L461" s="142"/>
      <c r="M461" s="167"/>
      <c r="N461" s="88"/>
      <c r="O461" s="353"/>
    </row>
    <row r="462" spans="1:15" s="15" customFormat="1" ht="3.95" customHeight="1" outlineLevel="1" x14ac:dyDescent="0.2">
      <c r="A462" s="72"/>
      <c r="B462" s="72"/>
      <c r="C462" s="73"/>
      <c r="D462" s="249"/>
      <c r="E462" s="249"/>
      <c r="F462" s="238"/>
      <c r="G462" s="236"/>
      <c r="H462" s="236"/>
      <c r="I462" s="75"/>
      <c r="J462" s="236"/>
      <c r="K462" s="236"/>
      <c r="L462" s="137"/>
      <c r="M462" s="232"/>
      <c r="N462" s="75"/>
      <c r="O462" s="351"/>
    </row>
    <row r="463" spans="1:15" s="15" customFormat="1" ht="11.1" customHeight="1" outlineLevel="1" x14ac:dyDescent="0.2">
      <c r="A463" s="368" t="s">
        <v>458</v>
      </c>
      <c r="B463" s="76" t="s">
        <v>9</v>
      </c>
      <c r="C463" s="150" t="s">
        <v>95</v>
      </c>
      <c r="D463" s="360" t="s">
        <v>64</v>
      </c>
      <c r="E463" s="360" t="s">
        <v>222</v>
      </c>
      <c r="F463" s="78" t="s">
        <v>183</v>
      </c>
      <c r="G463" s="168">
        <f>SUM(G464:G469)</f>
        <v>676215</v>
      </c>
      <c r="H463" s="168">
        <f>SUM(H464:H469)</f>
        <v>634502</v>
      </c>
      <c r="I463" s="39">
        <f t="shared" si="185"/>
        <v>93.831399776698248</v>
      </c>
      <c r="J463" s="168">
        <f>SUM(J464:J469)</f>
        <v>597796</v>
      </c>
      <c r="K463" s="168">
        <f>SUM(K464:K469)</f>
        <v>62684</v>
      </c>
      <c r="L463" s="168">
        <f>SUM(L464:L469)</f>
        <v>660480</v>
      </c>
      <c r="M463" s="38">
        <f>SUM(M464:M469)</f>
        <v>618766.27</v>
      </c>
      <c r="N463" s="39">
        <f t="shared" ref="N463:N469" si="196">IF(L463&gt;0,M463/L463*100,"-")</f>
        <v>93.68433109253877</v>
      </c>
      <c r="O463" s="366" t="s">
        <v>515</v>
      </c>
    </row>
    <row r="464" spans="1:15" s="15" customFormat="1" ht="11.1" customHeight="1" outlineLevel="1" x14ac:dyDescent="0.2">
      <c r="A464" s="368"/>
      <c r="B464" s="76" t="s">
        <v>10</v>
      </c>
      <c r="C464" s="150" t="s">
        <v>103</v>
      </c>
      <c r="D464" s="360"/>
      <c r="E464" s="360"/>
      <c r="F464" s="79" t="s">
        <v>15</v>
      </c>
      <c r="G464" s="169">
        <v>0</v>
      </c>
      <c r="H464" s="140">
        <f>ROUNDUP(0+M464,0)</f>
        <v>0</v>
      </c>
      <c r="I464" s="81" t="str">
        <f t="shared" ref="I464" si="197">IF(G464&gt;0,H464/G464*100,"-")</f>
        <v>-</v>
      </c>
      <c r="J464" s="169">
        <v>0</v>
      </c>
      <c r="K464" s="164">
        <f t="shared" ref="K464" si="198">L464-J464</f>
        <v>0</v>
      </c>
      <c r="L464" s="141">
        <v>0</v>
      </c>
      <c r="M464" s="89">
        <v>0</v>
      </c>
      <c r="N464" s="81" t="str">
        <f t="shared" si="196"/>
        <v>-</v>
      </c>
      <c r="O464" s="367"/>
    </row>
    <row r="465" spans="1:15" s="15" customFormat="1" ht="11.1" customHeight="1" outlineLevel="1" x14ac:dyDescent="0.2">
      <c r="A465" s="368"/>
      <c r="B465" s="76" t="s">
        <v>11</v>
      </c>
      <c r="C465" s="82" t="s">
        <v>104</v>
      </c>
      <c r="D465" s="360"/>
      <c r="E465" s="360"/>
      <c r="F465" s="79" t="s">
        <v>7</v>
      </c>
      <c r="G465" s="169">
        <v>676215</v>
      </c>
      <c r="H465" s="169">
        <f>ROUNDUP(15735+M465,0)</f>
        <v>634502</v>
      </c>
      <c r="I465" s="81">
        <f t="shared" si="185"/>
        <v>93.831399776698248</v>
      </c>
      <c r="J465" s="169">
        <v>597796</v>
      </c>
      <c r="K465" s="164">
        <f t="shared" ref="K465:K469" si="199">L465-J465</f>
        <v>62684</v>
      </c>
      <c r="L465" s="141">
        <v>660480</v>
      </c>
      <c r="M465" s="83">
        <v>618766.27</v>
      </c>
      <c r="N465" s="81">
        <f t="shared" si="196"/>
        <v>93.68433109253877</v>
      </c>
      <c r="O465" s="367"/>
    </row>
    <row r="466" spans="1:15" s="15" customFormat="1" ht="11.1" customHeight="1" outlineLevel="1" x14ac:dyDescent="0.2">
      <c r="A466" s="119"/>
      <c r="B466" s="76" t="s">
        <v>12</v>
      </c>
      <c r="C466" s="82" t="s">
        <v>257</v>
      </c>
      <c r="D466" s="110"/>
      <c r="E466" s="110"/>
      <c r="F466" s="79" t="s">
        <v>8</v>
      </c>
      <c r="G466" s="169">
        <v>0</v>
      </c>
      <c r="H466" s="140">
        <f>ROUNDUP(0+M466,0)</f>
        <v>0</v>
      </c>
      <c r="I466" s="81" t="str">
        <f t="shared" si="185"/>
        <v>-</v>
      </c>
      <c r="J466" s="169">
        <v>0</v>
      </c>
      <c r="K466" s="164">
        <f t="shared" si="199"/>
        <v>0</v>
      </c>
      <c r="L466" s="141">
        <v>0</v>
      </c>
      <c r="M466" s="89">
        <v>0</v>
      </c>
      <c r="N466" s="81" t="str">
        <f t="shared" si="196"/>
        <v>-</v>
      </c>
      <c r="O466" s="367"/>
    </row>
    <row r="467" spans="1:15" s="15" customFormat="1" ht="11.1" customHeight="1" outlineLevel="1" x14ac:dyDescent="0.2">
      <c r="A467" s="119"/>
      <c r="B467" s="76"/>
      <c r="C467" s="82" t="s">
        <v>258</v>
      </c>
      <c r="D467" s="110"/>
      <c r="E467" s="110"/>
      <c r="F467" s="79" t="s">
        <v>22</v>
      </c>
      <c r="G467" s="169">
        <v>0</v>
      </c>
      <c r="H467" s="140">
        <f>ROUNDUP(0+M467,0)</f>
        <v>0</v>
      </c>
      <c r="I467" s="81" t="str">
        <f t="shared" si="185"/>
        <v>-</v>
      </c>
      <c r="J467" s="169">
        <v>0</v>
      </c>
      <c r="K467" s="164">
        <f t="shared" si="199"/>
        <v>0</v>
      </c>
      <c r="L467" s="141">
        <v>0</v>
      </c>
      <c r="M467" s="89">
        <v>0</v>
      </c>
      <c r="N467" s="81" t="str">
        <f t="shared" si="196"/>
        <v>-</v>
      </c>
      <c r="O467" s="367"/>
    </row>
    <row r="468" spans="1:15" s="15" customFormat="1" ht="11.1" customHeight="1" outlineLevel="1" x14ac:dyDescent="0.2">
      <c r="A468" s="119"/>
      <c r="B468" s="76" t="s">
        <v>23</v>
      </c>
      <c r="C468" s="82" t="s">
        <v>377</v>
      </c>
      <c r="D468" s="110"/>
      <c r="E468" s="110"/>
      <c r="F468" s="107" t="s">
        <v>45</v>
      </c>
      <c r="G468" s="169">
        <v>0</v>
      </c>
      <c r="H468" s="140">
        <f>ROUNDUP(0+M468,0)</f>
        <v>0</v>
      </c>
      <c r="I468" s="170" t="str">
        <f t="shared" si="185"/>
        <v>-</v>
      </c>
      <c r="J468" s="169">
        <v>0</v>
      </c>
      <c r="K468" s="164">
        <f t="shared" si="199"/>
        <v>0</v>
      </c>
      <c r="L468" s="141">
        <v>0</v>
      </c>
      <c r="M468" s="89">
        <v>0</v>
      </c>
      <c r="N468" s="81" t="str">
        <f t="shared" si="196"/>
        <v>-</v>
      </c>
      <c r="O468" s="367"/>
    </row>
    <row r="469" spans="1:15" s="15" customFormat="1" ht="11.1" customHeight="1" outlineLevel="1" x14ac:dyDescent="0.2">
      <c r="A469" s="119"/>
      <c r="B469" s="76"/>
      <c r="C469" s="82" t="s">
        <v>378</v>
      </c>
      <c r="D469" s="110"/>
      <c r="E469" s="110"/>
      <c r="F469" s="107" t="s">
        <v>46</v>
      </c>
      <c r="G469" s="169">
        <v>0</v>
      </c>
      <c r="H469" s="140">
        <f>ROUNDUP(0+M469,0)</f>
        <v>0</v>
      </c>
      <c r="I469" s="170" t="str">
        <f t="shared" si="185"/>
        <v>-</v>
      </c>
      <c r="J469" s="169">
        <v>0</v>
      </c>
      <c r="K469" s="164">
        <f t="shared" si="199"/>
        <v>0</v>
      </c>
      <c r="L469" s="141">
        <v>0</v>
      </c>
      <c r="M469" s="89">
        <v>0</v>
      </c>
      <c r="N469" s="81" t="str">
        <f t="shared" si="196"/>
        <v>-</v>
      </c>
      <c r="O469" s="367"/>
    </row>
    <row r="470" spans="1:15" s="15" customFormat="1" ht="11.1" customHeight="1" outlineLevel="1" x14ac:dyDescent="0.2">
      <c r="A470" s="76"/>
      <c r="B470" s="76"/>
      <c r="C470" s="82" t="s">
        <v>379</v>
      </c>
      <c r="D470" s="110"/>
      <c r="E470" s="110"/>
      <c r="F470" s="107"/>
      <c r="G470" s="169"/>
      <c r="H470" s="169"/>
      <c r="I470" s="81"/>
      <c r="J470" s="169"/>
      <c r="K470" s="169"/>
      <c r="L470" s="141"/>
      <c r="M470" s="83"/>
      <c r="N470" s="81"/>
      <c r="O470" s="352"/>
    </row>
    <row r="471" spans="1:15" s="15" customFormat="1" ht="3.95" customHeight="1" outlineLevel="1" x14ac:dyDescent="0.2">
      <c r="A471" s="85"/>
      <c r="B471" s="85"/>
      <c r="C471" s="86"/>
      <c r="D471" s="229"/>
      <c r="E471" s="229"/>
      <c r="F471" s="216"/>
      <c r="G471" s="171"/>
      <c r="H471" s="171"/>
      <c r="I471" s="88"/>
      <c r="J471" s="171"/>
      <c r="K471" s="171"/>
      <c r="L471" s="142"/>
      <c r="M471" s="167"/>
      <c r="N471" s="88"/>
      <c r="O471" s="353"/>
    </row>
    <row r="472" spans="1:15" s="15" customFormat="1" ht="3.95" customHeight="1" outlineLevel="1" x14ac:dyDescent="0.2">
      <c r="A472" s="72"/>
      <c r="B472" s="72"/>
      <c r="C472" s="73"/>
      <c r="D472" s="249"/>
      <c r="E472" s="249"/>
      <c r="F472" s="238"/>
      <c r="G472" s="236"/>
      <c r="H472" s="236"/>
      <c r="I472" s="75"/>
      <c r="J472" s="236"/>
      <c r="K472" s="236"/>
      <c r="L472" s="137"/>
      <c r="M472" s="232"/>
      <c r="N472" s="75"/>
      <c r="O472" s="354"/>
    </row>
    <row r="473" spans="1:15" s="15" customFormat="1" ht="11.1" customHeight="1" outlineLevel="1" x14ac:dyDescent="0.2">
      <c r="A473" s="368" t="s">
        <v>459</v>
      </c>
      <c r="B473" s="76" t="s">
        <v>9</v>
      </c>
      <c r="C473" s="150" t="s">
        <v>95</v>
      </c>
      <c r="D473" s="360" t="s">
        <v>367</v>
      </c>
      <c r="E473" s="360" t="s">
        <v>222</v>
      </c>
      <c r="F473" s="78" t="s">
        <v>183</v>
      </c>
      <c r="G473" s="168">
        <f>SUM(G474:G479)</f>
        <v>335173</v>
      </c>
      <c r="H473" s="168">
        <f>SUM(H474:H479)</f>
        <v>0</v>
      </c>
      <c r="I473" s="39">
        <f t="shared" ref="I473:I479" si="200">IF(G473&gt;0,H473/G473*100,"-")</f>
        <v>0</v>
      </c>
      <c r="J473" s="168">
        <f>SUM(J474:J479)</f>
        <v>0</v>
      </c>
      <c r="K473" s="168">
        <f>SUM(K474:K479)</f>
        <v>268138</v>
      </c>
      <c r="L473" s="168">
        <f>SUM(L474:L479)</f>
        <v>268138</v>
      </c>
      <c r="M473" s="38">
        <f>SUM(M474:M479)</f>
        <v>0</v>
      </c>
      <c r="N473" s="39">
        <f t="shared" ref="N473:N479" si="201">IF(L473&gt;0,M473/L473*100,"-")</f>
        <v>0</v>
      </c>
      <c r="O473" s="366" t="s">
        <v>510</v>
      </c>
    </row>
    <row r="474" spans="1:15" s="15" customFormat="1" ht="11.1" customHeight="1" outlineLevel="1" x14ac:dyDescent="0.2">
      <c r="A474" s="368"/>
      <c r="B474" s="76" t="s">
        <v>10</v>
      </c>
      <c r="C474" s="150" t="s">
        <v>103</v>
      </c>
      <c r="D474" s="360"/>
      <c r="E474" s="360"/>
      <c r="F474" s="79" t="s">
        <v>15</v>
      </c>
      <c r="G474" s="169">
        <v>0</v>
      </c>
      <c r="H474" s="140">
        <f t="shared" ref="H474:H479" si="202">ROUNDUP(0+M474,0)</f>
        <v>0</v>
      </c>
      <c r="I474" s="81" t="str">
        <f t="shared" si="200"/>
        <v>-</v>
      </c>
      <c r="J474" s="169">
        <v>0</v>
      </c>
      <c r="K474" s="164">
        <f t="shared" ref="K474:K479" si="203">L474-J474</f>
        <v>0</v>
      </c>
      <c r="L474" s="141">
        <v>0</v>
      </c>
      <c r="M474" s="89">
        <v>0</v>
      </c>
      <c r="N474" s="81" t="str">
        <f t="shared" si="201"/>
        <v>-</v>
      </c>
      <c r="O474" s="367"/>
    </row>
    <row r="475" spans="1:15" s="15" customFormat="1" ht="11.1" customHeight="1" outlineLevel="1" x14ac:dyDescent="0.2">
      <c r="A475" s="368"/>
      <c r="B475" s="76" t="s">
        <v>11</v>
      </c>
      <c r="C475" s="82" t="s">
        <v>104</v>
      </c>
      <c r="D475" s="360"/>
      <c r="E475" s="360"/>
      <c r="F475" s="79" t="s">
        <v>7</v>
      </c>
      <c r="G475" s="169">
        <v>335173</v>
      </c>
      <c r="H475" s="169">
        <f t="shared" si="202"/>
        <v>0</v>
      </c>
      <c r="I475" s="81">
        <f t="shared" si="200"/>
        <v>0</v>
      </c>
      <c r="J475" s="169">
        <v>0</v>
      </c>
      <c r="K475" s="164">
        <f t="shared" si="203"/>
        <v>268138</v>
      </c>
      <c r="L475" s="141">
        <v>268138</v>
      </c>
      <c r="M475" s="83">
        <v>0</v>
      </c>
      <c r="N475" s="81">
        <f t="shared" si="201"/>
        <v>0</v>
      </c>
      <c r="O475" s="367"/>
    </row>
    <row r="476" spans="1:15" s="15" customFormat="1" ht="11.1" customHeight="1" outlineLevel="1" x14ac:dyDescent="0.2">
      <c r="A476" s="119"/>
      <c r="B476" s="76" t="s">
        <v>12</v>
      </c>
      <c r="C476" s="82" t="s">
        <v>460</v>
      </c>
      <c r="D476" s="110"/>
      <c r="E476" s="110"/>
      <c r="F476" s="79" t="s">
        <v>8</v>
      </c>
      <c r="G476" s="169">
        <v>0</v>
      </c>
      <c r="H476" s="140">
        <f t="shared" si="202"/>
        <v>0</v>
      </c>
      <c r="I476" s="81" t="str">
        <f t="shared" si="200"/>
        <v>-</v>
      </c>
      <c r="J476" s="169">
        <v>0</v>
      </c>
      <c r="K476" s="164">
        <f t="shared" si="203"/>
        <v>0</v>
      </c>
      <c r="L476" s="141">
        <v>0</v>
      </c>
      <c r="M476" s="89">
        <v>0</v>
      </c>
      <c r="N476" s="81" t="str">
        <f t="shared" si="201"/>
        <v>-</v>
      </c>
      <c r="O476" s="367"/>
    </row>
    <row r="477" spans="1:15" s="15" customFormat="1" ht="11.1" customHeight="1" outlineLevel="1" x14ac:dyDescent="0.2">
      <c r="A477" s="119"/>
      <c r="B477" s="76" t="s">
        <v>23</v>
      </c>
      <c r="C477" s="82" t="s">
        <v>447</v>
      </c>
      <c r="D477" s="110"/>
      <c r="E477" s="110"/>
      <c r="F477" s="79" t="s">
        <v>22</v>
      </c>
      <c r="G477" s="169">
        <v>0</v>
      </c>
      <c r="H477" s="140">
        <f t="shared" si="202"/>
        <v>0</v>
      </c>
      <c r="I477" s="81" t="str">
        <f t="shared" si="200"/>
        <v>-</v>
      </c>
      <c r="J477" s="169">
        <v>0</v>
      </c>
      <c r="K477" s="164">
        <f t="shared" si="203"/>
        <v>0</v>
      </c>
      <c r="L477" s="141">
        <v>0</v>
      </c>
      <c r="M477" s="89">
        <v>0</v>
      </c>
      <c r="N477" s="81" t="str">
        <f t="shared" si="201"/>
        <v>-</v>
      </c>
      <c r="O477" s="367"/>
    </row>
    <row r="478" spans="1:15" s="15" customFormat="1" ht="11.1" customHeight="1" outlineLevel="1" x14ac:dyDescent="0.2">
      <c r="A478" s="119"/>
      <c r="B478" s="76"/>
      <c r="C478" s="82" t="s">
        <v>461</v>
      </c>
      <c r="D478" s="110"/>
      <c r="E478" s="110"/>
      <c r="F478" s="107" t="s">
        <v>45</v>
      </c>
      <c r="G478" s="169">
        <v>0</v>
      </c>
      <c r="H478" s="140">
        <f t="shared" si="202"/>
        <v>0</v>
      </c>
      <c r="I478" s="170" t="str">
        <f t="shared" si="200"/>
        <v>-</v>
      </c>
      <c r="J478" s="169">
        <v>0</v>
      </c>
      <c r="K478" s="164">
        <f t="shared" si="203"/>
        <v>0</v>
      </c>
      <c r="L478" s="141">
        <v>0</v>
      </c>
      <c r="M478" s="89">
        <v>0</v>
      </c>
      <c r="N478" s="81" t="str">
        <f t="shared" si="201"/>
        <v>-</v>
      </c>
      <c r="O478" s="367"/>
    </row>
    <row r="479" spans="1:15" s="15" customFormat="1" ht="11.1" customHeight="1" outlineLevel="1" x14ac:dyDescent="0.2">
      <c r="A479" s="119"/>
      <c r="B479" s="76"/>
      <c r="C479" s="82"/>
      <c r="D479" s="110"/>
      <c r="E479" s="110"/>
      <c r="F479" s="107" t="s">
        <v>46</v>
      </c>
      <c r="G479" s="169">
        <v>0</v>
      </c>
      <c r="H479" s="140">
        <f t="shared" si="202"/>
        <v>0</v>
      </c>
      <c r="I479" s="170" t="str">
        <f t="shared" si="200"/>
        <v>-</v>
      </c>
      <c r="J479" s="169">
        <v>0</v>
      </c>
      <c r="K479" s="164">
        <f t="shared" si="203"/>
        <v>0</v>
      </c>
      <c r="L479" s="141">
        <v>0</v>
      </c>
      <c r="M479" s="89">
        <v>0</v>
      </c>
      <c r="N479" s="81" t="str">
        <f t="shared" si="201"/>
        <v>-</v>
      </c>
      <c r="O479" s="367"/>
    </row>
    <row r="480" spans="1:15" s="15" customFormat="1" ht="3.95" customHeight="1" outlineLevel="1" x14ac:dyDescent="0.2">
      <c r="A480" s="85"/>
      <c r="B480" s="85"/>
      <c r="C480" s="86"/>
      <c r="D480" s="229"/>
      <c r="E480" s="229"/>
      <c r="F480" s="216"/>
      <c r="G480" s="171"/>
      <c r="H480" s="171"/>
      <c r="I480" s="88"/>
      <c r="J480" s="171"/>
      <c r="K480" s="171"/>
      <c r="L480" s="142"/>
      <c r="M480" s="167"/>
      <c r="N480" s="88"/>
      <c r="O480" s="353"/>
    </row>
    <row r="481" spans="1:15" s="15" customFormat="1" ht="3.95" customHeight="1" outlineLevel="1" x14ac:dyDescent="0.2">
      <c r="A481" s="72"/>
      <c r="B481" s="72"/>
      <c r="C481" s="73"/>
      <c r="D481" s="249"/>
      <c r="E481" s="249"/>
      <c r="F481" s="238"/>
      <c r="G481" s="236"/>
      <c r="H481" s="236"/>
      <c r="I481" s="75"/>
      <c r="J481" s="236"/>
      <c r="K481" s="236"/>
      <c r="L481" s="137"/>
      <c r="M481" s="232"/>
      <c r="N481" s="75"/>
      <c r="O481" s="354"/>
    </row>
    <row r="482" spans="1:15" s="15" customFormat="1" ht="11.1" customHeight="1" outlineLevel="1" x14ac:dyDescent="0.2">
      <c r="A482" s="368" t="s">
        <v>462</v>
      </c>
      <c r="B482" s="76" t="s">
        <v>9</v>
      </c>
      <c r="C482" s="150" t="s">
        <v>95</v>
      </c>
      <c r="D482" s="360" t="s">
        <v>367</v>
      </c>
      <c r="E482" s="360" t="s">
        <v>222</v>
      </c>
      <c r="F482" s="78" t="s">
        <v>183</v>
      </c>
      <c r="G482" s="168">
        <f>SUM(G483:G488)</f>
        <v>587765</v>
      </c>
      <c r="H482" s="168">
        <f>SUM(H483:H488)</f>
        <v>7042</v>
      </c>
      <c r="I482" s="39">
        <f t="shared" ref="I482:I488" si="204">IF(G482&gt;0,H482/G482*100,"-")</f>
        <v>1.1980978792544639</v>
      </c>
      <c r="J482" s="168">
        <f>SUM(J483:J488)</f>
        <v>0</v>
      </c>
      <c r="K482" s="168">
        <f>SUM(K483:K488)</f>
        <v>470212</v>
      </c>
      <c r="L482" s="168">
        <f>SUM(L483:L488)</f>
        <v>470212</v>
      </c>
      <c r="M482" s="38">
        <f>SUM(M483:M488)</f>
        <v>7041.07</v>
      </c>
      <c r="N482" s="39">
        <f t="shared" ref="N482:N488" si="205">IF(L482&gt;0,M482/L482*100,"-")</f>
        <v>1.4974245659404692</v>
      </c>
      <c r="O482" s="366" t="s">
        <v>510</v>
      </c>
    </row>
    <row r="483" spans="1:15" s="15" customFormat="1" ht="11.1" customHeight="1" outlineLevel="1" x14ac:dyDescent="0.2">
      <c r="A483" s="368"/>
      <c r="B483" s="76" t="s">
        <v>10</v>
      </c>
      <c r="C483" s="150" t="s">
        <v>103</v>
      </c>
      <c r="D483" s="360"/>
      <c r="E483" s="360"/>
      <c r="F483" s="79" t="s">
        <v>15</v>
      </c>
      <c r="G483" s="169">
        <v>0</v>
      </c>
      <c r="H483" s="140">
        <f t="shared" ref="H483:H488" si="206">ROUNDUP(0+M483,0)</f>
        <v>0</v>
      </c>
      <c r="I483" s="81" t="str">
        <f t="shared" si="204"/>
        <v>-</v>
      </c>
      <c r="J483" s="169">
        <v>0</v>
      </c>
      <c r="K483" s="164">
        <f t="shared" ref="K483:K488" si="207">L483-J483</f>
        <v>0</v>
      </c>
      <c r="L483" s="141">
        <v>0</v>
      </c>
      <c r="M483" s="89">
        <v>0</v>
      </c>
      <c r="N483" s="81" t="str">
        <f t="shared" si="205"/>
        <v>-</v>
      </c>
      <c r="O483" s="367"/>
    </row>
    <row r="484" spans="1:15" s="15" customFormat="1" ht="11.1" customHeight="1" outlineLevel="1" x14ac:dyDescent="0.2">
      <c r="A484" s="368"/>
      <c r="B484" s="76" t="s">
        <v>11</v>
      </c>
      <c r="C484" s="82" t="s">
        <v>104</v>
      </c>
      <c r="D484" s="360"/>
      <c r="E484" s="360"/>
      <c r="F484" s="79" t="s">
        <v>7</v>
      </c>
      <c r="G484" s="169">
        <v>587765</v>
      </c>
      <c r="H484" s="169">
        <f t="shared" si="206"/>
        <v>7042</v>
      </c>
      <c r="I484" s="81">
        <f t="shared" si="204"/>
        <v>1.1980978792544639</v>
      </c>
      <c r="J484" s="169">
        <v>0</v>
      </c>
      <c r="K484" s="164">
        <f t="shared" si="207"/>
        <v>470212</v>
      </c>
      <c r="L484" s="141">
        <v>470212</v>
      </c>
      <c r="M484" s="83">
        <v>7041.07</v>
      </c>
      <c r="N484" s="81">
        <f t="shared" si="205"/>
        <v>1.4974245659404692</v>
      </c>
      <c r="O484" s="367"/>
    </row>
    <row r="485" spans="1:15" s="15" customFormat="1" ht="11.1" customHeight="1" outlineLevel="1" x14ac:dyDescent="0.2">
      <c r="A485" s="119"/>
      <c r="B485" s="76" t="s">
        <v>12</v>
      </c>
      <c r="C485" s="82" t="s">
        <v>463</v>
      </c>
      <c r="D485" s="110"/>
      <c r="E485" s="110"/>
      <c r="F485" s="79" t="s">
        <v>8</v>
      </c>
      <c r="G485" s="169">
        <v>0</v>
      </c>
      <c r="H485" s="140">
        <f t="shared" si="206"/>
        <v>0</v>
      </c>
      <c r="I485" s="81" t="str">
        <f t="shared" si="204"/>
        <v>-</v>
      </c>
      <c r="J485" s="169">
        <v>0</v>
      </c>
      <c r="K485" s="164">
        <f t="shared" si="207"/>
        <v>0</v>
      </c>
      <c r="L485" s="141">
        <v>0</v>
      </c>
      <c r="M485" s="89">
        <v>0</v>
      </c>
      <c r="N485" s="81" t="str">
        <f t="shared" si="205"/>
        <v>-</v>
      </c>
      <c r="O485" s="367"/>
    </row>
    <row r="486" spans="1:15" s="15" customFormat="1" ht="11.1" customHeight="1" outlineLevel="1" x14ac:dyDescent="0.2">
      <c r="A486" s="119"/>
      <c r="B486" s="76" t="s">
        <v>23</v>
      </c>
      <c r="C486" s="82" t="s">
        <v>464</v>
      </c>
      <c r="D486" s="110"/>
      <c r="E486" s="110"/>
      <c r="F486" s="79" t="s">
        <v>22</v>
      </c>
      <c r="G486" s="169">
        <v>0</v>
      </c>
      <c r="H486" s="140">
        <f t="shared" si="206"/>
        <v>0</v>
      </c>
      <c r="I486" s="81" t="str">
        <f t="shared" si="204"/>
        <v>-</v>
      </c>
      <c r="J486" s="169">
        <v>0</v>
      </c>
      <c r="K486" s="164">
        <f t="shared" si="207"/>
        <v>0</v>
      </c>
      <c r="L486" s="141">
        <v>0</v>
      </c>
      <c r="M486" s="89">
        <v>0</v>
      </c>
      <c r="N486" s="81" t="str">
        <f t="shared" si="205"/>
        <v>-</v>
      </c>
      <c r="O486" s="367"/>
    </row>
    <row r="487" spans="1:15" s="15" customFormat="1" ht="11.1" customHeight="1" outlineLevel="1" x14ac:dyDescent="0.2">
      <c r="A487" s="119"/>
      <c r="B487" s="76"/>
      <c r="C487" s="82" t="s">
        <v>465</v>
      </c>
      <c r="D487" s="110"/>
      <c r="E487" s="110"/>
      <c r="F487" s="107" t="s">
        <v>45</v>
      </c>
      <c r="G487" s="169">
        <v>0</v>
      </c>
      <c r="H487" s="140">
        <f t="shared" si="206"/>
        <v>0</v>
      </c>
      <c r="I487" s="170" t="str">
        <f t="shared" si="204"/>
        <v>-</v>
      </c>
      <c r="J487" s="169">
        <v>0</v>
      </c>
      <c r="K487" s="164">
        <f t="shared" si="207"/>
        <v>0</v>
      </c>
      <c r="L487" s="141">
        <v>0</v>
      </c>
      <c r="M487" s="89">
        <v>0</v>
      </c>
      <c r="N487" s="81" t="str">
        <f t="shared" si="205"/>
        <v>-</v>
      </c>
      <c r="O487" s="367"/>
    </row>
    <row r="488" spans="1:15" s="15" customFormat="1" ht="11.1" customHeight="1" outlineLevel="1" x14ac:dyDescent="0.2">
      <c r="A488" s="119"/>
      <c r="B488" s="76"/>
      <c r="C488" s="82"/>
      <c r="D488" s="110"/>
      <c r="E488" s="110"/>
      <c r="F488" s="107" t="s">
        <v>46</v>
      </c>
      <c r="G488" s="169">
        <v>0</v>
      </c>
      <c r="H488" s="140">
        <f t="shared" si="206"/>
        <v>0</v>
      </c>
      <c r="I488" s="170" t="str">
        <f t="shared" si="204"/>
        <v>-</v>
      </c>
      <c r="J488" s="169">
        <v>0</v>
      </c>
      <c r="K488" s="164">
        <f t="shared" si="207"/>
        <v>0</v>
      </c>
      <c r="L488" s="141">
        <v>0</v>
      </c>
      <c r="M488" s="89">
        <v>0</v>
      </c>
      <c r="N488" s="81" t="str">
        <f t="shared" si="205"/>
        <v>-</v>
      </c>
      <c r="O488" s="367"/>
    </row>
    <row r="489" spans="1:15" s="15" customFormat="1" ht="3.95" customHeight="1" outlineLevel="1" x14ac:dyDescent="0.2">
      <c r="A489" s="85"/>
      <c r="B489" s="85"/>
      <c r="C489" s="86"/>
      <c r="D489" s="229"/>
      <c r="E489" s="229"/>
      <c r="F489" s="216"/>
      <c r="G489" s="171"/>
      <c r="H489" s="171"/>
      <c r="I489" s="88"/>
      <c r="J489" s="171"/>
      <c r="K489" s="171"/>
      <c r="L489" s="142"/>
      <c r="M489" s="167"/>
      <c r="N489" s="88"/>
      <c r="O489" s="353"/>
    </row>
    <row r="490" spans="1:15" ht="3.95" customHeight="1" outlineLevel="1" x14ac:dyDescent="0.2">
      <c r="A490" s="252"/>
      <c r="B490" s="253"/>
      <c r="C490" s="254"/>
      <c r="D490" s="255"/>
      <c r="E490" s="255"/>
      <c r="F490" s="252"/>
      <c r="G490" s="256"/>
      <c r="H490" s="256"/>
      <c r="I490" s="252"/>
      <c r="J490" s="256"/>
      <c r="K490" s="256"/>
      <c r="L490" s="256"/>
      <c r="M490" s="257"/>
      <c r="N490" s="258"/>
      <c r="O490" s="346"/>
    </row>
    <row r="491" spans="1:15" ht="11.45" customHeight="1" outlineLevel="1" x14ac:dyDescent="0.2">
      <c r="A491" s="28" t="s">
        <v>83</v>
      </c>
      <c r="B491" s="370" t="s">
        <v>108</v>
      </c>
      <c r="C491" s="371"/>
      <c r="D491" s="29"/>
      <c r="E491" s="29"/>
      <c r="F491" s="30"/>
      <c r="G491" s="134">
        <f>SUM(G492:G497)</f>
        <v>1579630</v>
      </c>
      <c r="H491" s="134">
        <f>SUM(H492:H497)</f>
        <v>352754</v>
      </c>
      <c r="I491" s="32">
        <f>IF(G491&gt;0,H491/G491*100,"-")</f>
        <v>22.331432044212885</v>
      </c>
      <c r="J491" s="134">
        <f>SUM(J492:J497)</f>
        <v>680660</v>
      </c>
      <c r="K491" s="134">
        <f>SUM(K492:K497)</f>
        <v>109525</v>
      </c>
      <c r="L491" s="134">
        <f>SUM(L492:L497)</f>
        <v>790185</v>
      </c>
      <c r="M491" s="31">
        <f>SUM(M492:M497)</f>
        <v>104122.48000000001</v>
      </c>
      <c r="N491" s="32">
        <f t="shared" ref="N491:N497" si="208">IF(L491&gt;0,M491/L491*100,"-")</f>
        <v>13.176975012180694</v>
      </c>
      <c r="O491" s="347"/>
    </row>
    <row r="492" spans="1:15" ht="11.45" customHeight="1" outlineLevel="1" x14ac:dyDescent="0.2">
      <c r="A492" s="30"/>
      <c r="B492" s="33"/>
      <c r="C492" s="34"/>
      <c r="D492" s="29"/>
      <c r="E492" s="29"/>
      <c r="F492" s="35" t="s">
        <v>15</v>
      </c>
      <c r="G492" s="135">
        <f t="shared" ref="G492:H497" si="209">G501+G512+G523+G537+G550</f>
        <v>219151</v>
      </c>
      <c r="H492" s="135">
        <f t="shared" si="209"/>
        <v>44387</v>
      </c>
      <c r="I492" s="37">
        <f t="shared" ref="I492:I497" si="210">IF(G492&gt;0,H492/G492*100,"-")</f>
        <v>20.254071393696584</v>
      </c>
      <c r="J492" s="135">
        <f t="shared" ref="J492:M497" si="211">J501+J512+J523+J537+J550</f>
        <v>105722</v>
      </c>
      <c r="K492" s="135">
        <f t="shared" si="211"/>
        <v>16069</v>
      </c>
      <c r="L492" s="135">
        <f t="shared" si="211"/>
        <v>121791</v>
      </c>
      <c r="M492" s="36">
        <f t="shared" si="211"/>
        <v>22330.5</v>
      </c>
      <c r="N492" s="37">
        <f t="shared" si="208"/>
        <v>18.335098652609798</v>
      </c>
      <c r="O492" s="347"/>
    </row>
    <row r="493" spans="1:15" ht="11.45" customHeight="1" outlineLevel="1" x14ac:dyDescent="0.2">
      <c r="A493" s="30"/>
      <c r="B493" s="33"/>
      <c r="C493" s="34"/>
      <c r="D493" s="29"/>
      <c r="E493" s="29"/>
      <c r="F493" s="35" t="s">
        <v>7</v>
      </c>
      <c r="G493" s="135">
        <f t="shared" si="209"/>
        <v>1285333</v>
      </c>
      <c r="H493" s="135">
        <f t="shared" si="209"/>
        <v>295596</v>
      </c>
      <c r="I493" s="37">
        <f t="shared" si="210"/>
        <v>22.997620071996909</v>
      </c>
      <c r="J493" s="135">
        <f t="shared" si="211"/>
        <v>541558</v>
      </c>
      <c r="K493" s="135">
        <f t="shared" si="211"/>
        <v>92938</v>
      </c>
      <c r="L493" s="135">
        <f t="shared" si="211"/>
        <v>634496</v>
      </c>
      <c r="M493" s="36">
        <f t="shared" si="211"/>
        <v>75256.88</v>
      </c>
      <c r="N493" s="37">
        <f t="shared" si="208"/>
        <v>11.860891164010491</v>
      </c>
      <c r="O493" s="347"/>
    </row>
    <row r="494" spans="1:15" ht="11.45" customHeight="1" outlineLevel="1" x14ac:dyDescent="0.2">
      <c r="A494" s="30"/>
      <c r="B494" s="33"/>
      <c r="C494" s="34"/>
      <c r="D494" s="29"/>
      <c r="E494" s="29"/>
      <c r="F494" s="35" t="s">
        <v>8</v>
      </c>
      <c r="G494" s="135">
        <f t="shared" si="209"/>
        <v>0</v>
      </c>
      <c r="H494" s="135">
        <f t="shared" si="209"/>
        <v>0</v>
      </c>
      <c r="I494" s="37" t="str">
        <f t="shared" si="210"/>
        <v>-</v>
      </c>
      <c r="J494" s="135">
        <f t="shared" si="211"/>
        <v>0</v>
      </c>
      <c r="K494" s="135">
        <f t="shared" si="211"/>
        <v>0</v>
      </c>
      <c r="L494" s="135">
        <f t="shared" si="211"/>
        <v>0</v>
      </c>
      <c r="M494" s="36">
        <f t="shared" si="211"/>
        <v>0</v>
      </c>
      <c r="N494" s="37" t="str">
        <f t="shared" si="208"/>
        <v>-</v>
      </c>
      <c r="O494" s="347"/>
    </row>
    <row r="495" spans="1:15" ht="11.45" customHeight="1" outlineLevel="1" x14ac:dyDescent="0.2">
      <c r="A495" s="30"/>
      <c r="B495" s="33"/>
      <c r="C495" s="34"/>
      <c r="D495" s="29"/>
      <c r="E495" s="29"/>
      <c r="F495" s="35" t="s">
        <v>22</v>
      </c>
      <c r="G495" s="135">
        <f t="shared" si="209"/>
        <v>75146</v>
      </c>
      <c r="H495" s="135">
        <f t="shared" si="209"/>
        <v>12771</v>
      </c>
      <c r="I495" s="37">
        <f t="shared" si="210"/>
        <v>16.994916562425146</v>
      </c>
      <c r="J495" s="135">
        <f t="shared" si="211"/>
        <v>33380</v>
      </c>
      <c r="K495" s="135">
        <f t="shared" si="211"/>
        <v>518</v>
      </c>
      <c r="L495" s="135">
        <f t="shared" si="211"/>
        <v>33898</v>
      </c>
      <c r="M495" s="36">
        <f t="shared" si="211"/>
        <v>6535.1</v>
      </c>
      <c r="N495" s="37">
        <f t="shared" si="208"/>
        <v>19.278718508466579</v>
      </c>
      <c r="O495" s="347"/>
    </row>
    <row r="496" spans="1:15" ht="11.45" customHeight="1" outlineLevel="1" x14ac:dyDescent="0.2">
      <c r="A496" s="30"/>
      <c r="B496" s="33"/>
      <c r="C496" s="34"/>
      <c r="D496" s="29"/>
      <c r="E496" s="29"/>
      <c r="F496" s="35" t="s">
        <v>45</v>
      </c>
      <c r="G496" s="135">
        <f t="shared" si="209"/>
        <v>0</v>
      </c>
      <c r="H496" s="135">
        <f t="shared" si="209"/>
        <v>0</v>
      </c>
      <c r="I496" s="37" t="str">
        <f t="shared" si="210"/>
        <v>-</v>
      </c>
      <c r="J496" s="135">
        <f t="shared" si="211"/>
        <v>0</v>
      </c>
      <c r="K496" s="135">
        <f t="shared" si="211"/>
        <v>0</v>
      </c>
      <c r="L496" s="135">
        <f t="shared" si="211"/>
        <v>0</v>
      </c>
      <c r="M496" s="36">
        <f t="shared" si="211"/>
        <v>0</v>
      </c>
      <c r="N496" s="37" t="str">
        <f t="shared" si="208"/>
        <v>-</v>
      </c>
      <c r="O496" s="347"/>
    </row>
    <row r="497" spans="1:15" ht="11.45" customHeight="1" outlineLevel="1" x14ac:dyDescent="0.2">
      <c r="A497" s="30"/>
      <c r="B497" s="33"/>
      <c r="C497" s="34"/>
      <c r="D497" s="29"/>
      <c r="E497" s="29"/>
      <c r="F497" s="35" t="s">
        <v>46</v>
      </c>
      <c r="G497" s="135">
        <f t="shared" si="209"/>
        <v>0</v>
      </c>
      <c r="H497" s="135">
        <f t="shared" si="209"/>
        <v>0</v>
      </c>
      <c r="I497" s="37" t="str">
        <f t="shared" si="210"/>
        <v>-</v>
      </c>
      <c r="J497" s="135">
        <f t="shared" si="211"/>
        <v>0</v>
      </c>
      <c r="K497" s="135">
        <f t="shared" si="211"/>
        <v>0</v>
      </c>
      <c r="L497" s="135">
        <f t="shared" si="211"/>
        <v>0</v>
      </c>
      <c r="M497" s="36">
        <f t="shared" si="211"/>
        <v>0</v>
      </c>
      <c r="N497" s="37" t="str">
        <f t="shared" si="208"/>
        <v>-</v>
      </c>
      <c r="O497" s="347"/>
    </row>
    <row r="498" spans="1:15" ht="3.95" customHeight="1" outlineLevel="1" x14ac:dyDescent="0.2">
      <c r="A498" s="65"/>
      <c r="B498" s="66"/>
      <c r="C498" s="67"/>
      <c r="D498" s="68"/>
      <c r="E498" s="68"/>
      <c r="F498" s="65"/>
      <c r="G498" s="136"/>
      <c r="H498" s="136"/>
      <c r="I498" s="70"/>
      <c r="J498" s="136"/>
      <c r="K498" s="136"/>
      <c r="L498" s="136"/>
      <c r="M498" s="69"/>
      <c r="N498" s="70"/>
      <c r="O498" s="348"/>
    </row>
    <row r="499" spans="1:15" s="95" customFormat="1" ht="3.95" customHeight="1" outlineLevel="1" x14ac:dyDescent="0.2">
      <c r="A499" s="154"/>
      <c r="B499" s="72"/>
      <c r="C499" s="73"/>
      <c r="D499" s="71"/>
      <c r="E499" s="71"/>
      <c r="F499" s="72"/>
      <c r="G499" s="137"/>
      <c r="H499" s="137"/>
      <c r="I499" s="75"/>
      <c r="J499" s="137"/>
      <c r="K499" s="137"/>
      <c r="L499" s="138"/>
      <c r="M499" s="74"/>
      <c r="N499" s="75"/>
      <c r="O499" s="349"/>
    </row>
    <row r="500" spans="1:15" s="95" customFormat="1" ht="11.1" customHeight="1" outlineLevel="1" x14ac:dyDescent="0.2">
      <c r="A500" s="369" t="s">
        <v>471</v>
      </c>
      <c r="B500" s="76" t="s">
        <v>9</v>
      </c>
      <c r="C500" s="77" t="s">
        <v>109</v>
      </c>
      <c r="D500" s="360" t="s">
        <v>380</v>
      </c>
      <c r="E500" s="360" t="s">
        <v>112</v>
      </c>
      <c r="F500" s="78" t="s">
        <v>28</v>
      </c>
      <c r="G500" s="139">
        <f>SUM(G501:G506)</f>
        <v>150003</v>
      </c>
      <c r="H500" s="139">
        <f>SUM(H501:H506)</f>
        <v>75245</v>
      </c>
      <c r="I500" s="39">
        <f t="shared" ref="I500:I506" si="212">IF(G500&gt;0,H500/G500*100,"-")</f>
        <v>50.1623300867316</v>
      </c>
      <c r="J500" s="139">
        <f>SUM(J501:J506)</f>
        <v>20000</v>
      </c>
      <c r="K500" s="139">
        <f>SUM(K501:K506)</f>
        <v>25074</v>
      </c>
      <c r="L500" s="139">
        <f>SUM(L501:L506)</f>
        <v>45074</v>
      </c>
      <c r="M500" s="38">
        <f>SUM(M501:M506)</f>
        <v>0</v>
      </c>
      <c r="N500" s="39">
        <f t="shared" ref="N500:N506" si="213">IF(L500&gt;0,M500/L500*100,"-")</f>
        <v>0</v>
      </c>
      <c r="O500" s="361" t="s">
        <v>517</v>
      </c>
    </row>
    <row r="501" spans="1:15" s="95" customFormat="1" ht="11.1" customHeight="1" outlineLevel="1" x14ac:dyDescent="0.2">
      <c r="A501" s="369"/>
      <c r="B501" s="76" t="s">
        <v>10</v>
      </c>
      <c r="C501" s="77" t="s">
        <v>110</v>
      </c>
      <c r="D501" s="360"/>
      <c r="E501" s="360"/>
      <c r="F501" s="79" t="s">
        <v>15</v>
      </c>
      <c r="G501" s="140">
        <v>11214</v>
      </c>
      <c r="H501" s="140">
        <f>ROUNDUP(0+M501,0)</f>
        <v>0</v>
      </c>
      <c r="I501" s="81">
        <f t="shared" si="212"/>
        <v>0</v>
      </c>
      <c r="J501" s="140">
        <v>3000</v>
      </c>
      <c r="K501" s="140">
        <f t="shared" ref="K501:K506" si="214">L501-J501</f>
        <v>3761</v>
      </c>
      <c r="L501" s="140">
        <v>6761</v>
      </c>
      <c r="M501" s="80">
        <v>0</v>
      </c>
      <c r="N501" s="81">
        <f t="shared" si="213"/>
        <v>0</v>
      </c>
      <c r="O501" s="361"/>
    </row>
    <row r="502" spans="1:15" s="95" customFormat="1" ht="11.1" customHeight="1" outlineLevel="1" x14ac:dyDescent="0.2">
      <c r="A502" s="369"/>
      <c r="B502" s="76" t="s">
        <v>11</v>
      </c>
      <c r="C502" s="82" t="s">
        <v>111</v>
      </c>
      <c r="D502" s="360"/>
      <c r="E502" s="360"/>
      <c r="F502" s="79" t="s">
        <v>7</v>
      </c>
      <c r="G502" s="140">
        <v>138789</v>
      </c>
      <c r="H502" s="140">
        <f>ROUNDUP(75245+M502,0)</f>
        <v>75245</v>
      </c>
      <c r="I502" s="81">
        <f t="shared" si="212"/>
        <v>54.215391709717629</v>
      </c>
      <c r="J502" s="140">
        <v>17000</v>
      </c>
      <c r="K502" s="140">
        <f t="shared" si="214"/>
        <v>21313</v>
      </c>
      <c r="L502" s="140">
        <v>38313</v>
      </c>
      <c r="M502" s="83">
        <v>0</v>
      </c>
      <c r="N502" s="81">
        <f t="shared" si="213"/>
        <v>0</v>
      </c>
      <c r="O502" s="361"/>
    </row>
    <row r="503" spans="1:15" s="95" customFormat="1" ht="11.1" customHeight="1" outlineLevel="1" x14ac:dyDescent="0.2">
      <c r="A503" s="119"/>
      <c r="B503" s="76" t="s">
        <v>12</v>
      </c>
      <c r="C503" s="82" t="s">
        <v>264</v>
      </c>
      <c r="D503" s="110"/>
      <c r="E503" s="110"/>
      <c r="F503" s="79" t="s">
        <v>8</v>
      </c>
      <c r="G503" s="140">
        <v>0</v>
      </c>
      <c r="H503" s="140">
        <f t="shared" ref="H503:H506" si="215">ROUNDUP(0+M503,0)</f>
        <v>0</v>
      </c>
      <c r="I503" s="81" t="str">
        <f t="shared" si="212"/>
        <v>-</v>
      </c>
      <c r="J503" s="140">
        <v>0</v>
      </c>
      <c r="K503" s="140">
        <f t="shared" si="214"/>
        <v>0</v>
      </c>
      <c r="L503" s="140">
        <v>0</v>
      </c>
      <c r="M503" s="80">
        <v>0</v>
      </c>
      <c r="N503" s="81" t="str">
        <f t="shared" si="213"/>
        <v>-</v>
      </c>
      <c r="O503" s="361"/>
    </row>
    <row r="504" spans="1:15" s="95" customFormat="1" ht="11.1" customHeight="1" outlineLevel="1" x14ac:dyDescent="0.2">
      <c r="A504" s="119"/>
      <c r="B504" s="76"/>
      <c r="C504" s="82" t="s">
        <v>265</v>
      </c>
      <c r="D504" s="110"/>
      <c r="E504" s="110"/>
      <c r="F504" s="79" t="s">
        <v>22</v>
      </c>
      <c r="G504" s="140">
        <v>0</v>
      </c>
      <c r="H504" s="140">
        <f t="shared" si="215"/>
        <v>0</v>
      </c>
      <c r="I504" s="81" t="str">
        <f t="shared" si="212"/>
        <v>-</v>
      </c>
      <c r="J504" s="140">
        <v>0</v>
      </c>
      <c r="K504" s="140">
        <f t="shared" si="214"/>
        <v>0</v>
      </c>
      <c r="L504" s="140">
        <v>0</v>
      </c>
      <c r="M504" s="80">
        <v>0</v>
      </c>
      <c r="N504" s="81" t="str">
        <f t="shared" si="213"/>
        <v>-</v>
      </c>
      <c r="O504" s="361"/>
    </row>
    <row r="505" spans="1:15" s="95" customFormat="1" ht="11.1" customHeight="1" outlineLevel="1" x14ac:dyDescent="0.2">
      <c r="A505" s="119"/>
      <c r="B505" s="76" t="s">
        <v>23</v>
      </c>
      <c r="C505" s="82" t="s">
        <v>129</v>
      </c>
      <c r="D505" s="110"/>
      <c r="E505" s="110"/>
      <c r="F505" s="107" t="s">
        <v>45</v>
      </c>
      <c r="G505" s="141">
        <v>0</v>
      </c>
      <c r="H505" s="140">
        <f t="shared" si="215"/>
        <v>0</v>
      </c>
      <c r="I505" s="81" t="str">
        <f t="shared" si="212"/>
        <v>-</v>
      </c>
      <c r="J505" s="140">
        <v>0</v>
      </c>
      <c r="K505" s="140">
        <f t="shared" si="214"/>
        <v>0</v>
      </c>
      <c r="L505" s="140">
        <v>0</v>
      </c>
      <c r="M505" s="80">
        <v>0</v>
      </c>
      <c r="N505" s="81" t="str">
        <f t="shared" si="213"/>
        <v>-</v>
      </c>
      <c r="O505" s="361"/>
    </row>
    <row r="506" spans="1:15" s="95" customFormat="1" ht="11.1" customHeight="1" outlineLevel="1" x14ac:dyDescent="0.2">
      <c r="A506" s="119"/>
      <c r="B506" s="76"/>
      <c r="C506" s="82" t="s">
        <v>130</v>
      </c>
      <c r="D506" s="110"/>
      <c r="E506" s="110"/>
      <c r="F506" s="107" t="s">
        <v>46</v>
      </c>
      <c r="G506" s="141">
        <v>0</v>
      </c>
      <c r="H506" s="140">
        <f t="shared" si="215"/>
        <v>0</v>
      </c>
      <c r="I506" s="81" t="str">
        <f t="shared" si="212"/>
        <v>-</v>
      </c>
      <c r="J506" s="140">
        <v>0</v>
      </c>
      <c r="K506" s="140">
        <f t="shared" si="214"/>
        <v>0</v>
      </c>
      <c r="L506" s="140">
        <v>0</v>
      </c>
      <c r="M506" s="80">
        <v>0</v>
      </c>
      <c r="N506" s="81" t="str">
        <f t="shared" si="213"/>
        <v>-</v>
      </c>
      <c r="O506" s="361"/>
    </row>
    <row r="507" spans="1:15" s="95" customFormat="1" ht="11.1" customHeight="1" outlineLevel="1" x14ac:dyDescent="0.2">
      <c r="A507" s="119"/>
      <c r="B507" s="76"/>
      <c r="C507" s="82" t="s">
        <v>131</v>
      </c>
      <c r="D507" s="110"/>
      <c r="E507" s="110"/>
      <c r="F507" s="107"/>
      <c r="G507" s="141"/>
      <c r="H507" s="141"/>
      <c r="I507" s="81"/>
      <c r="J507" s="141"/>
      <c r="K507" s="141"/>
      <c r="L507" s="140"/>
      <c r="M507" s="89"/>
      <c r="N507" s="81"/>
      <c r="O507" s="356"/>
    </row>
    <row r="508" spans="1:15" s="95" customFormat="1" ht="11.1" customHeight="1" outlineLevel="1" x14ac:dyDescent="0.2">
      <c r="A508" s="119"/>
      <c r="B508" s="76"/>
      <c r="C508" s="82" t="s">
        <v>132</v>
      </c>
      <c r="D508" s="110"/>
      <c r="E508" s="110"/>
      <c r="F508" s="107"/>
      <c r="G508" s="141"/>
      <c r="H508" s="141"/>
      <c r="I508" s="81"/>
      <c r="J508" s="141"/>
      <c r="K508" s="141"/>
      <c r="L508" s="140"/>
      <c r="M508" s="89"/>
      <c r="N508" s="81"/>
      <c r="O508" s="356"/>
    </row>
    <row r="509" spans="1:15" s="95" customFormat="1" ht="3.95" customHeight="1" outlineLevel="1" x14ac:dyDescent="0.2">
      <c r="A509" s="120"/>
      <c r="B509" s="85"/>
      <c r="C509" s="86"/>
      <c r="D509" s="84"/>
      <c r="E509" s="84"/>
      <c r="F509" s="85"/>
      <c r="G509" s="142"/>
      <c r="H509" s="142"/>
      <c r="I509" s="88"/>
      <c r="J509" s="142"/>
      <c r="K509" s="142"/>
      <c r="L509" s="143"/>
      <c r="M509" s="87"/>
      <c r="N509" s="88"/>
      <c r="O509" s="350"/>
    </row>
    <row r="510" spans="1:15" s="95" customFormat="1" ht="3.95" customHeight="1" outlineLevel="1" x14ac:dyDescent="0.2">
      <c r="A510" s="154"/>
      <c r="B510" s="72"/>
      <c r="C510" s="73"/>
      <c r="D510" s="71"/>
      <c r="E510" s="71"/>
      <c r="F510" s="72"/>
      <c r="G510" s="137"/>
      <c r="H510" s="137"/>
      <c r="I510" s="75"/>
      <c r="J510" s="137"/>
      <c r="K510" s="137"/>
      <c r="L510" s="138"/>
      <c r="M510" s="74"/>
      <c r="N510" s="75"/>
      <c r="O510" s="349"/>
    </row>
    <row r="511" spans="1:15" s="95" customFormat="1" ht="11.1" customHeight="1" outlineLevel="1" x14ac:dyDescent="0.2">
      <c r="A511" s="369" t="s">
        <v>472</v>
      </c>
      <c r="B511" s="76" t="s">
        <v>9</v>
      </c>
      <c r="C511" s="77" t="s">
        <v>109</v>
      </c>
      <c r="D511" s="360" t="s">
        <v>381</v>
      </c>
      <c r="E511" s="360" t="s">
        <v>120</v>
      </c>
      <c r="F511" s="78" t="s">
        <v>28</v>
      </c>
      <c r="G511" s="139">
        <f>SUM(G512:G517)</f>
        <v>1103093</v>
      </c>
      <c r="H511" s="260">
        <f>SUM(H512:H517)</f>
        <v>208225</v>
      </c>
      <c r="I511" s="39">
        <f t="shared" ref="I511:I517" si="216">IF(G511&gt;0,H511/G511*100,"-")</f>
        <v>18.876468257889407</v>
      </c>
      <c r="J511" s="260">
        <f>SUM(J512:J517)</f>
        <v>485060</v>
      </c>
      <c r="K511" s="139">
        <f>SUM(K512:K517)</f>
        <v>7201</v>
      </c>
      <c r="L511" s="139">
        <f>SUM(L512:L517)</f>
        <v>492261</v>
      </c>
      <c r="M511" s="38">
        <f>SUM(M512:M517)</f>
        <v>104122.48000000001</v>
      </c>
      <c r="N511" s="39">
        <f t="shared" ref="N511:N517" si="217">IF(L511&gt;0,M511/L511*100,"-")</f>
        <v>21.151884874081027</v>
      </c>
      <c r="O511" s="361" t="s">
        <v>539</v>
      </c>
    </row>
    <row r="512" spans="1:15" s="95" customFormat="1" ht="11.1" customHeight="1" outlineLevel="1" x14ac:dyDescent="0.2">
      <c r="A512" s="369"/>
      <c r="B512" s="76" t="s">
        <v>10</v>
      </c>
      <c r="C512" s="77" t="s">
        <v>113</v>
      </c>
      <c r="D512" s="360"/>
      <c r="E512" s="360"/>
      <c r="F512" s="79" t="s">
        <v>15</v>
      </c>
      <c r="G512" s="140">
        <v>148105</v>
      </c>
      <c r="H512" s="141">
        <f>ROUNDUP(11662+M512,0)</f>
        <v>33993</v>
      </c>
      <c r="I512" s="81">
        <f t="shared" si="216"/>
        <v>22.9519597582796</v>
      </c>
      <c r="J512" s="140">
        <v>67232</v>
      </c>
      <c r="K512" s="140">
        <f t="shared" ref="K512:K517" si="218">L512-J512</f>
        <v>720</v>
      </c>
      <c r="L512" s="140">
        <v>67952</v>
      </c>
      <c r="M512" s="80">
        <v>22330.5</v>
      </c>
      <c r="N512" s="81">
        <f t="shared" si="217"/>
        <v>32.862167412291029</v>
      </c>
      <c r="O512" s="361"/>
    </row>
    <row r="513" spans="1:15" s="95" customFormat="1" ht="11.1" customHeight="1" outlineLevel="1" x14ac:dyDescent="0.2">
      <c r="A513" s="369"/>
      <c r="B513" s="76" t="s">
        <v>11</v>
      </c>
      <c r="C513" s="82" t="s">
        <v>114</v>
      </c>
      <c r="D513" s="360"/>
      <c r="E513" s="360"/>
      <c r="F513" s="79" t="s">
        <v>7</v>
      </c>
      <c r="G513" s="140">
        <v>879842</v>
      </c>
      <c r="H513" s="141">
        <f>ROUNDUP(86204+M513,0)</f>
        <v>161461</v>
      </c>
      <c r="I513" s="81">
        <f t="shared" si="216"/>
        <v>18.351135772104538</v>
      </c>
      <c r="J513" s="140">
        <v>384448</v>
      </c>
      <c r="K513" s="140">
        <f t="shared" si="218"/>
        <v>5963</v>
      </c>
      <c r="L513" s="140">
        <v>390411</v>
      </c>
      <c r="M513" s="83">
        <v>75256.88</v>
      </c>
      <c r="N513" s="81">
        <f t="shared" si="217"/>
        <v>19.27632162003632</v>
      </c>
      <c r="O513" s="361"/>
    </row>
    <row r="514" spans="1:15" s="95" customFormat="1" ht="11.1" customHeight="1" outlineLevel="1" x14ac:dyDescent="0.2">
      <c r="A514" s="119"/>
      <c r="B514" s="76" t="s">
        <v>12</v>
      </c>
      <c r="C514" s="82" t="s">
        <v>266</v>
      </c>
      <c r="D514" s="110"/>
      <c r="E514" s="110"/>
      <c r="F514" s="79" t="s">
        <v>8</v>
      </c>
      <c r="G514" s="141">
        <v>0</v>
      </c>
      <c r="H514" s="140">
        <f t="shared" ref="H514" si="219">ROUNDUP(0+M514,0)</f>
        <v>0</v>
      </c>
      <c r="I514" s="81" t="str">
        <f t="shared" si="216"/>
        <v>-</v>
      </c>
      <c r="J514" s="140">
        <v>0</v>
      </c>
      <c r="K514" s="140">
        <f t="shared" si="218"/>
        <v>0</v>
      </c>
      <c r="L514" s="140">
        <v>0</v>
      </c>
      <c r="M514" s="80">
        <v>0</v>
      </c>
      <c r="N514" s="81" t="str">
        <f t="shared" si="217"/>
        <v>-</v>
      </c>
      <c r="O514" s="361"/>
    </row>
    <row r="515" spans="1:15" s="95" customFormat="1" ht="11.1" customHeight="1" outlineLevel="1" x14ac:dyDescent="0.2">
      <c r="A515" s="119"/>
      <c r="B515" s="76" t="s">
        <v>23</v>
      </c>
      <c r="C515" s="82" t="s">
        <v>115</v>
      </c>
      <c r="D515" s="110"/>
      <c r="E515" s="110"/>
      <c r="F515" s="79" t="s">
        <v>22</v>
      </c>
      <c r="G515" s="140">
        <v>75146</v>
      </c>
      <c r="H515" s="141">
        <f>ROUNDUP(6235+M515,0)</f>
        <v>12771</v>
      </c>
      <c r="I515" s="81">
        <f t="shared" si="216"/>
        <v>16.994916562425146</v>
      </c>
      <c r="J515" s="140">
        <v>33380</v>
      </c>
      <c r="K515" s="140">
        <f t="shared" si="218"/>
        <v>518</v>
      </c>
      <c r="L515" s="140">
        <v>33898</v>
      </c>
      <c r="M515" s="83">
        <v>6535.1</v>
      </c>
      <c r="N515" s="81">
        <f t="shared" si="217"/>
        <v>19.278718508466579</v>
      </c>
      <c r="O515" s="361"/>
    </row>
    <row r="516" spans="1:15" s="95" customFormat="1" ht="11.1" customHeight="1" outlineLevel="1" x14ac:dyDescent="0.2">
      <c r="A516" s="119"/>
      <c r="B516" s="76"/>
      <c r="C516" s="82" t="s">
        <v>116</v>
      </c>
      <c r="D516" s="110"/>
      <c r="E516" s="110"/>
      <c r="F516" s="107" t="s">
        <v>45</v>
      </c>
      <c r="G516" s="141">
        <v>0</v>
      </c>
      <c r="H516" s="140">
        <f t="shared" ref="H516:H517" si="220">ROUNDUP(0+M516,0)</f>
        <v>0</v>
      </c>
      <c r="I516" s="81" t="str">
        <f t="shared" si="216"/>
        <v>-</v>
      </c>
      <c r="J516" s="185">
        <v>0</v>
      </c>
      <c r="K516" s="140">
        <f t="shared" si="218"/>
        <v>0</v>
      </c>
      <c r="L516" s="140">
        <v>0</v>
      </c>
      <c r="M516" s="80">
        <v>0</v>
      </c>
      <c r="N516" s="81" t="str">
        <f t="shared" si="217"/>
        <v>-</v>
      </c>
      <c r="O516" s="361"/>
    </row>
    <row r="517" spans="1:15" s="95" customFormat="1" ht="11.1" customHeight="1" outlineLevel="1" x14ac:dyDescent="0.2">
      <c r="A517" s="119"/>
      <c r="B517" s="76"/>
      <c r="C517" s="82" t="s">
        <v>117</v>
      </c>
      <c r="D517" s="110"/>
      <c r="E517" s="110"/>
      <c r="F517" s="107" t="s">
        <v>46</v>
      </c>
      <c r="G517" s="141">
        <v>0</v>
      </c>
      <c r="H517" s="140">
        <f t="shared" si="220"/>
        <v>0</v>
      </c>
      <c r="I517" s="81" t="str">
        <f t="shared" si="216"/>
        <v>-</v>
      </c>
      <c r="J517" s="140">
        <v>0</v>
      </c>
      <c r="K517" s="140">
        <f t="shared" si="218"/>
        <v>0</v>
      </c>
      <c r="L517" s="140">
        <v>0</v>
      </c>
      <c r="M517" s="80">
        <v>0</v>
      </c>
      <c r="N517" s="81" t="str">
        <f t="shared" si="217"/>
        <v>-</v>
      </c>
      <c r="O517" s="361"/>
    </row>
    <row r="518" spans="1:15" s="95" customFormat="1" ht="11.1" customHeight="1" outlineLevel="1" x14ac:dyDescent="0.2">
      <c r="A518" s="119"/>
      <c r="B518" s="76"/>
      <c r="C518" s="82" t="s">
        <v>118</v>
      </c>
      <c r="D518" s="110"/>
      <c r="E518" s="110"/>
      <c r="F518" s="107"/>
      <c r="G518" s="141"/>
      <c r="H518" s="141"/>
      <c r="I518" s="81"/>
      <c r="J518" s="141"/>
      <c r="K518" s="141"/>
      <c r="L518" s="140"/>
      <c r="M518" s="89"/>
      <c r="N518" s="81"/>
      <c r="O518" s="361"/>
    </row>
    <row r="519" spans="1:15" s="95" customFormat="1" ht="13.5" customHeight="1" outlineLevel="1" x14ac:dyDescent="0.2">
      <c r="A519" s="119"/>
      <c r="B519" s="76"/>
      <c r="C519" s="82" t="s">
        <v>119</v>
      </c>
      <c r="D519" s="110"/>
      <c r="E519" s="110"/>
      <c r="F519" s="107"/>
      <c r="G519" s="141"/>
      <c r="H519" s="141"/>
      <c r="I519" s="81"/>
      <c r="J519" s="141"/>
      <c r="K519" s="141"/>
      <c r="L519" s="140"/>
      <c r="M519" s="89"/>
      <c r="N519" s="81"/>
      <c r="O519" s="361"/>
    </row>
    <row r="520" spans="1:15" s="95" customFormat="1" ht="3.95" customHeight="1" outlineLevel="1" x14ac:dyDescent="0.2">
      <c r="A520" s="120"/>
      <c r="B520" s="85"/>
      <c r="C520" s="86"/>
      <c r="D520" s="84"/>
      <c r="E520" s="84"/>
      <c r="F520" s="85"/>
      <c r="G520" s="142"/>
      <c r="H520" s="142"/>
      <c r="I520" s="88"/>
      <c r="J520" s="142"/>
      <c r="K520" s="142"/>
      <c r="L520" s="143"/>
      <c r="M520" s="87"/>
      <c r="N520" s="88"/>
      <c r="O520" s="350"/>
    </row>
    <row r="521" spans="1:15" s="95" customFormat="1" ht="3.95" customHeight="1" outlineLevel="1" x14ac:dyDescent="0.2">
      <c r="A521" s="154"/>
      <c r="B521" s="72"/>
      <c r="C521" s="73"/>
      <c r="D521" s="71"/>
      <c r="E521" s="71"/>
      <c r="F521" s="72"/>
      <c r="G521" s="137"/>
      <c r="H521" s="137"/>
      <c r="I521" s="75"/>
      <c r="J521" s="137"/>
      <c r="K521" s="137"/>
      <c r="L521" s="138"/>
      <c r="M521" s="74"/>
      <c r="N521" s="75"/>
      <c r="O521" s="349"/>
    </row>
    <row r="522" spans="1:15" s="95" customFormat="1" ht="11.1" customHeight="1" outlineLevel="1" x14ac:dyDescent="0.2">
      <c r="A522" s="369" t="s">
        <v>473</v>
      </c>
      <c r="B522" s="76" t="s">
        <v>9</v>
      </c>
      <c r="C522" s="150" t="s">
        <v>105</v>
      </c>
      <c r="D522" s="360" t="s">
        <v>367</v>
      </c>
      <c r="E522" s="360" t="s">
        <v>112</v>
      </c>
      <c r="F522" s="78" t="s">
        <v>28</v>
      </c>
      <c r="G522" s="139">
        <f>SUM(G523:G528)</f>
        <v>40000</v>
      </c>
      <c r="H522" s="139">
        <f>SUM(H523:H528)</f>
        <v>0</v>
      </c>
      <c r="I522" s="39">
        <f t="shared" ref="I522:I528" si="221">IF(G522&gt;0,H522/G522*100,"-")</f>
        <v>0</v>
      </c>
      <c r="J522" s="139">
        <f>SUM(J523:J528)</f>
        <v>36600</v>
      </c>
      <c r="K522" s="139">
        <f>SUM(K523:K528)</f>
        <v>0</v>
      </c>
      <c r="L522" s="139">
        <f>SUM(L523:L528)</f>
        <v>36600</v>
      </c>
      <c r="M522" s="38">
        <f>SUM(M523:M528)</f>
        <v>0</v>
      </c>
      <c r="N522" s="39">
        <f t="shared" ref="N522:N528" si="222">IF(L522&gt;0,M522/L522*100,"-")</f>
        <v>0</v>
      </c>
      <c r="O522" s="361" t="s">
        <v>516</v>
      </c>
    </row>
    <row r="523" spans="1:15" s="95" customFormat="1" ht="11.1" customHeight="1" outlineLevel="1" x14ac:dyDescent="0.2">
      <c r="A523" s="369"/>
      <c r="B523" s="76" t="s">
        <v>10</v>
      </c>
      <c r="C523" s="150" t="s">
        <v>121</v>
      </c>
      <c r="D523" s="360"/>
      <c r="E523" s="360"/>
      <c r="F523" s="79" t="s">
        <v>15</v>
      </c>
      <c r="G523" s="140">
        <v>16000</v>
      </c>
      <c r="H523" s="141">
        <f>ROUNDUP(0+M523,0)</f>
        <v>0</v>
      </c>
      <c r="I523" s="81">
        <f t="shared" si="221"/>
        <v>0</v>
      </c>
      <c r="J523" s="140">
        <v>14640</v>
      </c>
      <c r="K523" s="140">
        <f t="shared" ref="K523:K528" si="223">L523-J523</f>
        <v>0</v>
      </c>
      <c r="L523" s="140">
        <v>14640</v>
      </c>
      <c r="M523" s="80">
        <v>0</v>
      </c>
      <c r="N523" s="81">
        <f t="shared" si="222"/>
        <v>0</v>
      </c>
      <c r="O523" s="361"/>
    </row>
    <row r="524" spans="1:15" s="95" customFormat="1" ht="11.1" customHeight="1" outlineLevel="1" x14ac:dyDescent="0.2">
      <c r="A524" s="369"/>
      <c r="B524" s="76"/>
      <c r="C524" s="82" t="s">
        <v>122</v>
      </c>
      <c r="D524" s="360"/>
      <c r="E524" s="360"/>
      <c r="F524" s="79" t="s">
        <v>7</v>
      </c>
      <c r="G524" s="140">
        <v>24000</v>
      </c>
      <c r="H524" s="141">
        <f>ROUNDUP(0+M524,0)</f>
        <v>0</v>
      </c>
      <c r="I524" s="81">
        <f t="shared" si="221"/>
        <v>0</v>
      </c>
      <c r="J524" s="140">
        <v>21960</v>
      </c>
      <c r="K524" s="140">
        <f t="shared" si="223"/>
        <v>0</v>
      </c>
      <c r="L524" s="140">
        <v>21960</v>
      </c>
      <c r="M524" s="83">
        <v>0</v>
      </c>
      <c r="N524" s="81">
        <f t="shared" si="222"/>
        <v>0</v>
      </c>
      <c r="O524" s="361"/>
    </row>
    <row r="525" spans="1:15" s="95" customFormat="1" ht="11.1" customHeight="1" outlineLevel="1" x14ac:dyDescent="0.2">
      <c r="A525" s="119"/>
      <c r="B525" s="76" t="s">
        <v>11</v>
      </c>
      <c r="C525" s="82" t="s">
        <v>175</v>
      </c>
      <c r="D525" s="110"/>
      <c r="E525" s="110"/>
      <c r="F525" s="79" t="s">
        <v>8</v>
      </c>
      <c r="G525" s="141">
        <v>0</v>
      </c>
      <c r="H525" s="140">
        <f t="shared" ref="H525:H528" si="224">ROUNDUP(0+M525,0)</f>
        <v>0</v>
      </c>
      <c r="I525" s="81" t="str">
        <f t="shared" si="221"/>
        <v>-</v>
      </c>
      <c r="J525" s="140">
        <v>0</v>
      </c>
      <c r="K525" s="140">
        <f t="shared" si="223"/>
        <v>0</v>
      </c>
      <c r="L525" s="140">
        <v>0</v>
      </c>
      <c r="M525" s="80">
        <v>0</v>
      </c>
      <c r="N525" s="81" t="str">
        <f t="shared" si="222"/>
        <v>-</v>
      </c>
      <c r="O525" s="361"/>
    </row>
    <row r="526" spans="1:15" s="95" customFormat="1" ht="11.1" customHeight="1" outlineLevel="1" x14ac:dyDescent="0.2">
      <c r="A526" s="119"/>
      <c r="B526" s="76"/>
      <c r="C526" s="82" t="s">
        <v>123</v>
      </c>
      <c r="D526" s="110"/>
      <c r="E526" s="110"/>
      <c r="F526" s="79" t="s">
        <v>22</v>
      </c>
      <c r="G526" s="141">
        <v>0</v>
      </c>
      <c r="H526" s="140">
        <f t="shared" si="224"/>
        <v>0</v>
      </c>
      <c r="I526" s="81" t="str">
        <f t="shared" si="221"/>
        <v>-</v>
      </c>
      <c r="J526" s="140">
        <v>0</v>
      </c>
      <c r="K526" s="140">
        <f t="shared" si="223"/>
        <v>0</v>
      </c>
      <c r="L526" s="140">
        <v>0</v>
      </c>
      <c r="M526" s="80">
        <v>0</v>
      </c>
      <c r="N526" s="81" t="str">
        <f t="shared" si="222"/>
        <v>-</v>
      </c>
      <c r="O526" s="361"/>
    </row>
    <row r="527" spans="1:15" s="95" customFormat="1" ht="11.1" customHeight="1" outlineLevel="1" x14ac:dyDescent="0.2">
      <c r="A527" s="119"/>
      <c r="B527" s="76" t="s">
        <v>12</v>
      </c>
      <c r="C527" s="82" t="s">
        <v>383</v>
      </c>
      <c r="D527" s="110"/>
      <c r="E527" s="110"/>
      <c r="F527" s="107" t="s">
        <v>45</v>
      </c>
      <c r="G527" s="141">
        <v>0</v>
      </c>
      <c r="H527" s="140">
        <f t="shared" si="224"/>
        <v>0</v>
      </c>
      <c r="I527" s="81" t="str">
        <f t="shared" si="221"/>
        <v>-</v>
      </c>
      <c r="J527" s="140">
        <v>0</v>
      </c>
      <c r="K527" s="140">
        <f t="shared" si="223"/>
        <v>0</v>
      </c>
      <c r="L527" s="140">
        <v>0</v>
      </c>
      <c r="M527" s="80">
        <v>0</v>
      </c>
      <c r="N527" s="81" t="str">
        <f t="shared" si="222"/>
        <v>-</v>
      </c>
      <c r="O527" s="361"/>
    </row>
    <row r="528" spans="1:15" s="95" customFormat="1" ht="11.1" customHeight="1" outlineLevel="1" x14ac:dyDescent="0.2">
      <c r="A528" s="119"/>
      <c r="B528" s="76"/>
      <c r="C528" s="82" t="s">
        <v>384</v>
      </c>
      <c r="D528" s="110"/>
      <c r="E528" s="110"/>
      <c r="F528" s="107" t="s">
        <v>46</v>
      </c>
      <c r="G528" s="141">
        <v>0</v>
      </c>
      <c r="H528" s="140">
        <f t="shared" si="224"/>
        <v>0</v>
      </c>
      <c r="I528" s="81" t="str">
        <f t="shared" si="221"/>
        <v>-</v>
      </c>
      <c r="J528" s="140">
        <v>0</v>
      </c>
      <c r="K528" s="140">
        <f t="shared" si="223"/>
        <v>0</v>
      </c>
      <c r="L528" s="140">
        <v>0</v>
      </c>
      <c r="M528" s="80">
        <v>0</v>
      </c>
      <c r="N528" s="81" t="str">
        <f t="shared" si="222"/>
        <v>-</v>
      </c>
      <c r="O528" s="361"/>
    </row>
    <row r="529" spans="1:15" s="95" customFormat="1" ht="11.1" customHeight="1" outlineLevel="1" x14ac:dyDescent="0.2">
      <c r="A529" s="119"/>
      <c r="B529" s="76" t="s">
        <v>23</v>
      </c>
      <c r="C529" s="82" t="s">
        <v>124</v>
      </c>
      <c r="D529" s="110"/>
      <c r="E529" s="110"/>
      <c r="F529" s="107"/>
      <c r="G529" s="141"/>
      <c r="H529" s="141"/>
      <c r="I529" s="81"/>
      <c r="J529" s="141"/>
      <c r="K529" s="141"/>
      <c r="L529" s="140"/>
      <c r="M529" s="89"/>
      <c r="N529" s="81"/>
      <c r="O529" s="361"/>
    </row>
    <row r="530" spans="1:15" s="95" customFormat="1" ht="11.1" customHeight="1" outlineLevel="1" x14ac:dyDescent="0.2">
      <c r="A530" s="119"/>
      <c r="B530" s="76"/>
      <c r="C530" s="82" t="s">
        <v>125</v>
      </c>
      <c r="D530" s="110"/>
      <c r="E530" s="110"/>
      <c r="F530" s="107"/>
      <c r="G530" s="141"/>
      <c r="H530" s="141"/>
      <c r="I530" s="81"/>
      <c r="J530" s="141"/>
      <c r="K530" s="141"/>
      <c r="L530" s="140"/>
      <c r="M530" s="89"/>
      <c r="N530" s="81"/>
      <c r="O530" s="361"/>
    </row>
    <row r="531" spans="1:15" s="95" customFormat="1" ht="11.1" customHeight="1" outlineLevel="1" x14ac:dyDescent="0.2">
      <c r="A531" s="119"/>
      <c r="B531" s="76"/>
      <c r="C531" s="82" t="s">
        <v>126</v>
      </c>
      <c r="D531" s="110"/>
      <c r="E531" s="110"/>
      <c r="F531" s="107"/>
      <c r="G531" s="141"/>
      <c r="H531" s="141"/>
      <c r="I531" s="81"/>
      <c r="J531" s="141"/>
      <c r="K531" s="141"/>
      <c r="L531" s="140"/>
      <c r="M531" s="89"/>
      <c r="N531" s="81"/>
      <c r="O531" s="356"/>
    </row>
    <row r="532" spans="1:15" s="95" customFormat="1" ht="11.1" customHeight="1" outlineLevel="1" x14ac:dyDescent="0.2">
      <c r="A532" s="119"/>
      <c r="B532" s="76"/>
      <c r="C532" s="82" t="s">
        <v>127</v>
      </c>
      <c r="D532" s="110"/>
      <c r="E532" s="110"/>
      <c r="F532" s="107"/>
      <c r="G532" s="141"/>
      <c r="H532" s="141"/>
      <c r="I532" s="81"/>
      <c r="J532" s="141"/>
      <c r="K532" s="141"/>
      <c r="L532" s="140"/>
      <c r="M532" s="89"/>
      <c r="N532" s="81"/>
      <c r="O532" s="356"/>
    </row>
    <row r="533" spans="1:15" s="95" customFormat="1" ht="11.1" customHeight="1" outlineLevel="1" x14ac:dyDescent="0.2">
      <c r="A533" s="119"/>
      <c r="B533" s="76"/>
      <c r="C533" s="82" t="s">
        <v>128</v>
      </c>
      <c r="D533" s="110"/>
      <c r="E533" s="110"/>
      <c r="F533" s="107"/>
      <c r="G533" s="141"/>
      <c r="H533" s="141"/>
      <c r="I533" s="81"/>
      <c r="J533" s="141"/>
      <c r="K533" s="141"/>
      <c r="L533" s="140"/>
      <c r="M533" s="89"/>
      <c r="N533" s="81"/>
      <c r="O533" s="356"/>
    </row>
    <row r="534" spans="1:15" s="95" customFormat="1" ht="3.95" customHeight="1" outlineLevel="1" x14ac:dyDescent="0.2">
      <c r="A534" s="120"/>
      <c r="B534" s="85"/>
      <c r="C534" s="86"/>
      <c r="D534" s="84"/>
      <c r="E534" s="84"/>
      <c r="F534" s="85"/>
      <c r="G534" s="142"/>
      <c r="H534" s="142"/>
      <c r="I534" s="88"/>
      <c r="J534" s="142"/>
      <c r="K534" s="142"/>
      <c r="L534" s="143"/>
      <c r="M534" s="87"/>
      <c r="N534" s="88"/>
      <c r="O534" s="350"/>
    </row>
    <row r="535" spans="1:15" s="95" customFormat="1" ht="3.95" customHeight="1" outlineLevel="1" x14ac:dyDescent="0.2">
      <c r="A535" s="154"/>
      <c r="B535" s="72"/>
      <c r="C535" s="73"/>
      <c r="D535" s="71"/>
      <c r="E535" s="71"/>
      <c r="F535" s="72"/>
      <c r="G535" s="137"/>
      <c r="H535" s="137"/>
      <c r="I535" s="75"/>
      <c r="J535" s="137"/>
      <c r="K535" s="137"/>
      <c r="L535" s="138"/>
      <c r="M535" s="74"/>
      <c r="N535" s="75"/>
      <c r="O535" s="349"/>
    </row>
    <row r="536" spans="1:15" s="95" customFormat="1" ht="11.1" customHeight="1" outlineLevel="1" x14ac:dyDescent="0.2">
      <c r="A536" s="369" t="s">
        <v>474</v>
      </c>
      <c r="B536" s="76" t="s">
        <v>9</v>
      </c>
      <c r="C536" s="150" t="s">
        <v>105</v>
      </c>
      <c r="D536" s="360" t="s">
        <v>63</v>
      </c>
      <c r="E536" s="360" t="s">
        <v>112</v>
      </c>
      <c r="F536" s="78" t="s">
        <v>28</v>
      </c>
      <c r="G536" s="139">
        <f>SUM(G537:G542)</f>
        <v>146534</v>
      </c>
      <c r="H536" s="139">
        <f>SUM(H537:H542)</f>
        <v>69284</v>
      </c>
      <c r="I536" s="39">
        <f t="shared" ref="I536:I542" si="225">IF(G536&gt;0,H536/G536*100,"-")</f>
        <v>47.281859500184261</v>
      </c>
      <c r="J536" s="139">
        <f>SUM(J537:J542)</f>
        <v>0</v>
      </c>
      <c r="K536" s="139">
        <f>SUM(K537:K542)</f>
        <v>77250</v>
      </c>
      <c r="L536" s="139">
        <f>SUM(L537:L542)</f>
        <v>77250</v>
      </c>
      <c r="M536" s="38">
        <f>SUM(M537:M542)</f>
        <v>0</v>
      </c>
      <c r="N536" s="39">
        <f t="shared" ref="N536:N542" si="226">IF(L536&gt;0,M536/L536*100,"-")</f>
        <v>0</v>
      </c>
      <c r="O536" s="361" t="s">
        <v>517</v>
      </c>
    </row>
    <row r="537" spans="1:15" s="95" customFormat="1" ht="11.1" customHeight="1" outlineLevel="1" x14ac:dyDescent="0.2">
      <c r="A537" s="369"/>
      <c r="B537" s="76" t="s">
        <v>10</v>
      </c>
      <c r="C537" s="150" t="s">
        <v>121</v>
      </c>
      <c r="D537" s="360"/>
      <c r="E537" s="360"/>
      <c r="F537" s="79" t="s">
        <v>15</v>
      </c>
      <c r="G537" s="140">
        <v>21982</v>
      </c>
      <c r="H537" s="141">
        <f>ROUNDUP(10394+M537,0)</f>
        <v>10394</v>
      </c>
      <c r="I537" s="81">
        <f t="shared" si="225"/>
        <v>47.284141570375759</v>
      </c>
      <c r="J537" s="140">
        <v>0</v>
      </c>
      <c r="K537" s="140">
        <f t="shared" ref="K537:K542" si="227">L537-J537</f>
        <v>11588</v>
      </c>
      <c r="L537" s="140">
        <v>11588</v>
      </c>
      <c r="M537" s="80">
        <v>0</v>
      </c>
      <c r="N537" s="81">
        <f t="shared" si="226"/>
        <v>0</v>
      </c>
      <c r="O537" s="361"/>
    </row>
    <row r="538" spans="1:15" s="95" customFormat="1" ht="11.1" customHeight="1" outlineLevel="1" x14ac:dyDescent="0.2">
      <c r="A538" s="369"/>
      <c r="B538" s="76"/>
      <c r="C538" s="82" t="s">
        <v>122</v>
      </c>
      <c r="D538" s="360"/>
      <c r="E538" s="360"/>
      <c r="F538" s="79" t="s">
        <v>7</v>
      </c>
      <c r="G538" s="140">
        <v>124552</v>
      </c>
      <c r="H538" s="141">
        <f>ROUNDUP(58890+M538,0)</f>
        <v>58890</v>
      </c>
      <c r="I538" s="81">
        <f t="shared" si="225"/>
        <v>47.281456740959598</v>
      </c>
      <c r="J538" s="140">
        <v>0</v>
      </c>
      <c r="K538" s="140">
        <f t="shared" si="227"/>
        <v>65662</v>
      </c>
      <c r="L538" s="140">
        <v>65662</v>
      </c>
      <c r="M538" s="83">
        <v>0</v>
      </c>
      <c r="N538" s="81">
        <f t="shared" si="226"/>
        <v>0</v>
      </c>
      <c r="O538" s="361"/>
    </row>
    <row r="539" spans="1:15" s="95" customFormat="1" ht="11.1" customHeight="1" outlineLevel="1" x14ac:dyDescent="0.2">
      <c r="A539" s="119"/>
      <c r="B539" s="76" t="s">
        <v>11</v>
      </c>
      <c r="C539" s="82" t="s">
        <v>175</v>
      </c>
      <c r="D539" s="110"/>
      <c r="E539" s="110"/>
      <c r="F539" s="79" t="s">
        <v>8</v>
      </c>
      <c r="G539" s="141">
        <v>0</v>
      </c>
      <c r="H539" s="140">
        <f t="shared" ref="H539:H542" si="228">ROUNDUP(0+M539,0)</f>
        <v>0</v>
      </c>
      <c r="I539" s="81" t="str">
        <f t="shared" si="225"/>
        <v>-</v>
      </c>
      <c r="J539" s="140">
        <v>0</v>
      </c>
      <c r="K539" s="140">
        <f t="shared" si="227"/>
        <v>0</v>
      </c>
      <c r="L539" s="140">
        <v>0</v>
      </c>
      <c r="M539" s="80">
        <v>0</v>
      </c>
      <c r="N539" s="81" t="str">
        <f t="shared" si="226"/>
        <v>-</v>
      </c>
      <c r="O539" s="361"/>
    </row>
    <row r="540" spans="1:15" s="95" customFormat="1" ht="11.1" customHeight="1" outlineLevel="1" x14ac:dyDescent="0.2">
      <c r="A540" s="119"/>
      <c r="B540" s="76"/>
      <c r="C540" s="82" t="s">
        <v>123</v>
      </c>
      <c r="D540" s="110"/>
      <c r="E540" s="110"/>
      <c r="F540" s="79" t="s">
        <v>22</v>
      </c>
      <c r="G540" s="141">
        <v>0</v>
      </c>
      <c r="H540" s="140">
        <f t="shared" si="228"/>
        <v>0</v>
      </c>
      <c r="I540" s="81" t="str">
        <f t="shared" si="225"/>
        <v>-</v>
      </c>
      <c r="J540" s="140">
        <v>0</v>
      </c>
      <c r="K540" s="140">
        <f t="shared" si="227"/>
        <v>0</v>
      </c>
      <c r="L540" s="140">
        <v>0</v>
      </c>
      <c r="M540" s="80">
        <v>0</v>
      </c>
      <c r="N540" s="81" t="str">
        <f t="shared" si="226"/>
        <v>-</v>
      </c>
      <c r="O540" s="361"/>
    </row>
    <row r="541" spans="1:15" s="95" customFormat="1" ht="11.1" customHeight="1" outlineLevel="1" x14ac:dyDescent="0.2">
      <c r="A541" s="119"/>
      <c r="B541" s="76" t="s">
        <v>12</v>
      </c>
      <c r="C541" s="82" t="s">
        <v>267</v>
      </c>
      <c r="D541" s="110"/>
      <c r="E541" s="110"/>
      <c r="F541" s="107" t="s">
        <v>45</v>
      </c>
      <c r="G541" s="141">
        <v>0</v>
      </c>
      <c r="H541" s="140">
        <f t="shared" si="228"/>
        <v>0</v>
      </c>
      <c r="I541" s="81" t="str">
        <f t="shared" si="225"/>
        <v>-</v>
      </c>
      <c r="J541" s="140">
        <v>0</v>
      </c>
      <c r="K541" s="140">
        <f t="shared" si="227"/>
        <v>0</v>
      </c>
      <c r="L541" s="140">
        <v>0</v>
      </c>
      <c r="M541" s="80">
        <v>0</v>
      </c>
      <c r="N541" s="81" t="str">
        <f t="shared" si="226"/>
        <v>-</v>
      </c>
      <c r="O541" s="361"/>
    </row>
    <row r="542" spans="1:15" s="95" customFormat="1" ht="11.1" customHeight="1" outlineLevel="1" x14ac:dyDescent="0.2">
      <c r="A542" s="119"/>
      <c r="B542" s="76" t="s">
        <v>23</v>
      </c>
      <c r="C542" s="82" t="s">
        <v>124</v>
      </c>
      <c r="D542" s="110"/>
      <c r="E542" s="110"/>
      <c r="F542" s="107" t="s">
        <v>46</v>
      </c>
      <c r="G542" s="141">
        <v>0</v>
      </c>
      <c r="H542" s="140">
        <f t="shared" si="228"/>
        <v>0</v>
      </c>
      <c r="I542" s="81" t="str">
        <f t="shared" si="225"/>
        <v>-</v>
      </c>
      <c r="J542" s="140">
        <v>0</v>
      </c>
      <c r="K542" s="140">
        <f t="shared" si="227"/>
        <v>0</v>
      </c>
      <c r="L542" s="140">
        <v>0</v>
      </c>
      <c r="M542" s="80">
        <v>0</v>
      </c>
      <c r="N542" s="81" t="str">
        <f t="shared" si="226"/>
        <v>-</v>
      </c>
      <c r="O542" s="361"/>
    </row>
    <row r="543" spans="1:15" s="95" customFormat="1" ht="11.1" customHeight="1" outlineLevel="1" x14ac:dyDescent="0.2">
      <c r="A543" s="119"/>
      <c r="B543" s="76"/>
      <c r="C543" s="82" t="s">
        <v>125</v>
      </c>
      <c r="D543" s="110"/>
      <c r="E543" s="110"/>
      <c r="F543" s="107"/>
      <c r="G543" s="141"/>
      <c r="H543" s="141"/>
      <c r="I543" s="81"/>
      <c r="J543" s="141"/>
      <c r="K543" s="141"/>
      <c r="L543" s="140"/>
      <c r="M543" s="89"/>
      <c r="N543" s="81"/>
      <c r="O543" s="361"/>
    </row>
    <row r="544" spans="1:15" s="95" customFormat="1" ht="11.1" customHeight="1" outlineLevel="1" x14ac:dyDescent="0.2">
      <c r="A544" s="119"/>
      <c r="B544" s="76"/>
      <c r="C544" s="82" t="s">
        <v>126</v>
      </c>
      <c r="D544" s="110"/>
      <c r="E544" s="110"/>
      <c r="F544" s="107"/>
      <c r="G544" s="141"/>
      <c r="H544" s="141"/>
      <c r="I544" s="81"/>
      <c r="J544" s="141"/>
      <c r="K544" s="141"/>
      <c r="L544" s="140"/>
      <c r="M544" s="89"/>
      <c r="N544" s="81"/>
      <c r="O544" s="361"/>
    </row>
    <row r="545" spans="1:15" s="95" customFormat="1" ht="11.1" customHeight="1" outlineLevel="1" x14ac:dyDescent="0.2">
      <c r="A545" s="119"/>
      <c r="B545" s="76"/>
      <c r="C545" s="82" t="s">
        <v>127</v>
      </c>
      <c r="D545" s="110"/>
      <c r="E545" s="110"/>
      <c r="F545" s="107"/>
      <c r="G545" s="141"/>
      <c r="H545" s="141"/>
      <c r="I545" s="81"/>
      <c r="J545" s="141"/>
      <c r="K545" s="141"/>
      <c r="L545" s="140"/>
      <c r="M545" s="89"/>
      <c r="N545" s="81"/>
      <c r="O545" s="356"/>
    </row>
    <row r="546" spans="1:15" s="95" customFormat="1" ht="11.1" customHeight="1" outlineLevel="1" x14ac:dyDescent="0.2">
      <c r="A546" s="119"/>
      <c r="B546" s="76"/>
      <c r="C546" s="82" t="s">
        <v>128</v>
      </c>
      <c r="D546" s="110"/>
      <c r="E546" s="110"/>
      <c r="F546" s="107"/>
      <c r="G546" s="141"/>
      <c r="H546" s="141"/>
      <c r="I546" s="81"/>
      <c r="J546" s="141"/>
      <c r="K546" s="141"/>
      <c r="L546" s="140"/>
      <c r="M546" s="89"/>
      <c r="N546" s="81"/>
      <c r="O546" s="356"/>
    </row>
    <row r="547" spans="1:15" s="95" customFormat="1" ht="3.95" customHeight="1" outlineLevel="1" x14ac:dyDescent="0.2">
      <c r="A547" s="120"/>
      <c r="B547" s="85"/>
      <c r="C547" s="86"/>
      <c r="D547" s="84"/>
      <c r="E547" s="84"/>
      <c r="F547" s="85"/>
      <c r="G547" s="142"/>
      <c r="H547" s="142"/>
      <c r="I547" s="88"/>
      <c r="J547" s="142"/>
      <c r="K547" s="142"/>
      <c r="L547" s="143"/>
      <c r="M547" s="87"/>
      <c r="N547" s="88"/>
      <c r="O547" s="350"/>
    </row>
    <row r="548" spans="1:15" s="95" customFormat="1" ht="3.95" customHeight="1" outlineLevel="1" x14ac:dyDescent="0.2">
      <c r="A548" s="154"/>
      <c r="B548" s="72"/>
      <c r="C548" s="73"/>
      <c r="D548" s="71"/>
      <c r="E548" s="71"/>
      <c r="F548" s="72"/>
      <c r="G548" s="137"/>
      <c r="H548" s="137"/>
      <c r="I548" s="75"/>
      <c r="J548" s="137"/>
      <c r="K548" s="137"/>
      <c r="L548" s="138"/>
      <c r="M548" s="74"/>
      <c r="N548" s="75"/>
      <c r="O548" s="349"/>
    </row>
    <row r="549" spans="1:15" s="95" customFormat="1" ht="11.1" customHeight="1" outlineLevel="1" x14ac:dyDescent="0.2">
      <c r="A549" s="369" t="s">
        <v>475</v>
      </c>
      <c r="B549" s="76" t="s">
        <v>9</v>
      </c>
      <c r="C549" s="150" t="s">
        <v>105</v>
      </c>
      <c r="D549" s="360" t="s">
        <v>367</v>
      </c>
      <c r="E549" s="360" t="s">
        <v>112</v>
      </c>
      <c r="F549" s="78" t="s">
        <v>28</v>
      </c>
      <c r="G549" s="139">
        <f>SUM(G550:G555)</f>
        <v>140000</v>
      </c>
      <c r="H549" s="139">
        <f>SUM(H550:H555)</f>
        <v>0</v>
      </c>
      <c r="I549" s="39">
        <f t="shared" ref="I549:I555" si="229">IF(G549&gt;0,H549/G549*100,"-")</f>
        <v>0</v>
      </c>
      <c r="J549" s="260">
        <f>SUM(J550:J555)</f>
        <v>139000</v>
      </c>
      <c r="K549" s="139">
        <f>SUM(K550:K555)</f>
        <v>0</v>
      </c>
      <c r="L549" s="139">
        <f>SUM(L550:L555)</f>
        <v>139000</v>
      </c>
      <c r="M549" s="38">
        <f>SUM(M550:M555)</f>
        <v>0</v>
      </c>
      <c r="N549" s="39">
        <f t="shared" ref="N549:N555" si="230">IF(L549&gt;0,M549/L549*100,"-")</f>
        <v>0</v>
      </c>
      <c r="O549" s="361" t="s">
        <v>518</v>
      </c>
    </row>
    <row r="550" spans="1:15" s="95" customFormat="1" ht="11.1" customHeight="1" outlineLevel="1" x14ac:dyDescent="0.2">
      <c r="A550" s="369"/>
      <c r="B550" s="76" t="s">
        <v>10</v>
      </c>
      <c r="C550" s="150" t="s">
        <v>121</v>
      </c>
      <c r="D550" s="360"/>
      <c r="E550" s="360"/>
      <c r="F550" s="79" t="s">
        <v>15</v>
      </c>
      <c r="G550" s="140">
        <v>21850</v>
      </c>
      <c r="H550" s="140">
        <f>ROUNDUP(0+M550,0)</f>
        <v>0</v>
      </c>
      <c r="I550" s="81">
        <f t="shared" si="229"/>
        <v>0</v>
      </c>
      <c r="J550" s="185">
        <v>20850</v>
      </c>
      <c r="K550" s="140">
        <f t="shared" ref="K550:K555" si="231">L550-J550</f>
        <v>0</v>
      </c>
      <c r="L550" s="140">
        <v>20850</v>
      </c>
      <c r="M550" s="80">
        <v>0</v>
      </c>
      <c r="N550" s="81">
        <f t="shared" si="230"/>
        <v>0</v>
      </c>
      <c r="O550" s="361"/>
    </row>
    <row r="551" spans="1:15" s="95" customFormat="1" ht="11.1" customHeight="1" outlineLevel="1" x14ac:dyDescent="0.2">
      <c r="A551" s="369"/>
      <c r="B551" s="76"/>
      <c r="C551" s="82" t="s">
        <v>122</v>
      </c>
      <c r="D551" s="360"/>
      <c r="E551" s="360"/>
      <c r="F551" s="79" t="s">
        <v>7</v>
      </c>
      <c r="G551" s="140">
        <v>118150</v>
      </c>
      <c r="H551" s="140">
        <f>ROUNDUP(0+M551,0)</f>
        <v>0</v>
      </c>
      <c r="I551" s="81">
        <f t="shared" si="229"/>
        <v>0</v>
      </c>
      <c r="J551" s="185">
        <v>118150</v>
      </c>
      <c r="K551" s="140">
        <f t="shared" si="231"/>
        <v>0</v>
      </c>
      <c r="L551" s="140">
        <v>118150</v>
      </c>
      <c r="M551" s="83">
        <v>0</v>
      </c>
      <c r="N551" s="81">
        <f t="shared" si="230"/>
        <v>0</v>
      </c>
      <c r="O551" s="361"/>
    </row>
    <row r="552" spans="1:15" s="95" customFormat="1" ht="11.1" customHeight="1" outlineLevel="1" x14ac:dyDescent="0.2">
      <c r="A552" s="119"/>
      <c r="B552" s="76" t="s">
        <v>11</v>
      </c>
      <c r="C552" s="82" t="s">
        <v>175</v>
      </c>
      <c r="D552" s="110"/>
      <c r="E552" s="110"/>
      <c r="F552" s="79" t="s">
        <v>8</v>
      </c>
      <c r="G552" s="141">
        <v>0</v>
      </c>
      <c r="H552" s="140">
        <f t="shared" ref="H552:H555" si="232">ROUNDUP(0+M552,0)</f>
        <v>0</v>
      </c>
      <c r="I552" s="81" t="str">
        <f t="shared" si="229"/>
        <v>-</v>
      </c>
      <c r="J552" s="185">
        <v>0</v>
      </c>
      <c r="K552" s="140">
        <f t="shared" si="231"/>
        <v>0</v>
      </c>
      <c r="L552" s="140">
        <v>0</v>
      </c>
      <c r="M552" s="80">
        <v>0</v>
      </c>
      <c r="N552" s="81" t="str">
        <f t="shared" si="230"/>
        <v>-</v>
      </c>
      <c r="O552" s="361"/>
    </row>
    <row r="553" spans="1:15" s="95" customFormat="1" ht="11.1" customHeight="1" outlineLevel="1" x14ac:dyDescent="0.2">
      <c r="A553" s="119"/>
      <c r="B553" s="76"/>
      <c r="C553" s="82" t="s">
        <v>123</v>
      </c>
      <c r="D553" s="110"/>
      <c r="E553" s="110"/>
      <c r="F553" s="79" t="s">
        <v>22</v>
      </c>
      <c r="G553" s="141">
        <v>0</v>
      </c>
      <c r="H553" s="140">
        <f t="shared" si="232"/>
        <v>0</v>
      </c>
      <c r="I553" s="81" t="str">
        <f t="shared" si="229"/>
        <v>-</v>
      </c>
      <c r="J553" s="140">
        <v>0</v>
      </c>
      <c r="K553" s="140">
        <f t="shared" si="231"/>
        <v>0</v>
      </c>
      <c r="L553" s="140">
        <v>0</v>
      </c>
      <c r="M553" s="80">
        <v>0</v>
      </c>
      <c r="N553" s="81" t="str">
        <f t="shared" si="230"/>
        <v>-</v>
      </c>
      <c r="O553" s="361"/>
    </row>
    <row r="554" spans="1:15" s="95" customFormat="1" ht="11.1" customHeight="1" outlineLevel="1" x14ac:dyDescent="0.2">
      <c r="A554" s="119"/>
      <c r="B554" s="76" t="s">
        <v>12</v>
      </c>
      <c r="C554" s="82" t="s">
        <v>268</v>
      </c>
      <c r="D554" s="110"/>
      <c r="E554" s="110"/>
      <c r="F554" s="107" t="s">
        <v>45</v>
      </c>
      <c r="G554" s="141">
        <v>0</v>
      </c>
      <c r="H554" s="140">
        <f t="shared" si="232"/>
        <v>0</v>
      </c>
      <c r="I554" s="81" t="str">
        <f t="shared" si="229"/>
        <v>-</v>
      </c>
      <c r="J554" s="140">
        <v>0</v>
      </c>
      <c r="K554" s="140">
        <f t="shared" si="231"/>
        <v>0</v>
      </c>
      <c r="L554" s="140">
        <v>0</v>
      </c>
      <c r="M554" s="80">
        <v>0</v>
      </c>
      <c r="N554" s="81" t="str">
        <f t="shared" si="230"/>
        <v>-</v>
      </c>
      <c r="O554" s="361"/>
    </row>
    <row r="555" spans="1:15" s="95" customFormat="1" ht="11.1" customHeight="1" outlineLevel="1" x14ac:dyDescent="0.2">
      <c r="A555" s="119"/>
      <c r="B555" s="76" t="s">
        <v>23</v>
      </c>
      <c r="C555" s="82" t="s">
        <v>124</v>
      </c>
      <c r="D555" s="110"/>
      <c r="E555" s="110"/>
      <c r="F555" s="107" t="s">
        <v>46</v>
      </c>
      <c r="G555" s="141">
        <v>0</v>
      </c>
      <c r="H555" s="140">
        <f t="shared" si="232"/>
        <v>0</v>
      </c>
      <c r="I555" s="81" t="str">
        <f t="shared" si="229"/>
        <v>-</v>
      </c>
      <c r="J555" s="140">
        <v>0</v>
      </c>
      <c r="K555" s="140">
        <f t="shared" si="231"/>
        <v>0</v>
      </c>
      <c r="L555" s="140">
        <v>0</v>
      </c>
      <c r="M555" s="80">
        <v>0</v>
      </c>
      <c r="N555" s="81" t="str">
        <f t="shared" si="230"/>
        <v>-</v>
      </c>
      <c r="O555" s="361"/>
    </row>
    <row r="556" spans="1:15" s="95" customFormat="1" ht="11.1" customHeight="1" outlineLevel="1" x14ac:dyDescent="0.2">
      <c r="A556" s="119"/>
      <c r="B556" s="76"/>
      <c r="C556" s="82" t="s">
        <v>125</v>
      </c>
      <c r="D556" s="110"/>
      <c r="E556" s="110"/>
      <c r="F556" s="107"/>
      <c r="G556" s="141"/>
      <c r="H556" s="141"/>
      <c r="I556" s="81"/>
      <c r="J556" s="141"/>
      <c r="K556" s="141"/>
      <c r="L556" s="140"/>
      <c r="M556" s="89"/>
      <c r="N556" s="81"/>
      <c r="O556" s="361"/>
    </row>
    <row r="557" spans="1:15" s="95" customFormat="1" ht="11.1" customHeight="1" outlineLevel="1" x14ac:dyDescent="0.2">
      <c r="A557" s="119"/>
      <c r="B557" s="76"/>
      <c r="C557" s="82" t="s">
        <v>126</v>
      </c>
      <c r="D557" s="110"/>
      <c r="E557" s="110"/>
      <c r="F557" s="107"/>
      <c r="G557" s="141"/>
      <c r="H557" s="141"/>
      <c r="I557" s="81"/>
      <c r="J557" s="141"/>
      <c r="K557" s="141"/>
      <c r="L557" s="140"/>
      <c r="M557" s="89"/>
      <c r="N557" s="81"/>
      <c r="O557" s="356"/>
    </row>
    <row r="558" spans="1:15" s="95" customFormat="1" ht="11.1" customHeight="1" outlineLevel="1" x14ac:dyDescent="0.2">
      <c r="A558" s="119"/>
      <c r="B558" s="76"/>
      <c r="C558" s="82" t="s">
        <v>127</v>
      </c>
      <c r="D558" s="110"/>
      <c r="E558" s="110"/>
      <c r="F558" s="107"/>
      <c r="G558" s="141"/>
      <c r="H558" s="141"/>
      <c r="I558" s="81"/>
      <c r="J558" s="141"/>
      <c r="K558" s="141"/>
      <c r="L558" s="140"/>
      <c r="M558" s="89"/>
      <c r="N558" s="81"/>
      <c r="O558" s="356"/>
    </row>
    <row r="559" spans="1:15" s="95" customFormat="1" ht="11.1" customHeight="1" outlineLevel="1" x14ac:dyDescent="0.2">
      <c r="A559" s="119"/>
      <c r="B559" s="76"/>
      <c r="C559" s="82" t="s">
        <v>128</v>
      </c>
      <c r="D559" s="110"/>
      <c r="E559" s="110"/>
      <c r="F559" s="107"/>
      <c r="G559" s="141"/>
      <c r="H559" s="141"/>
      <c r="I559" s="81"/>
      <c r="J559" s="141"/>
      <c r="K559" s="141"/>
      <c r="L559" s="140"/>
      <c r="M559" s="89"/>
      <c r="N559" s="81"/>
      <c r="O559" s="356"/>
    </row>
    <row r="560" spans="1:15" s="95" customFormat="1" ht="3.95" customHeight="1" outlineLevel="1" x14ac:dyDescent="0.2">
      <c r="A560" s="120"/>
      <c r="B560" s="85"/>
      <c r="C560" s="86"/>
      <c r="D560" s="84"/>
      <c r="E560" s="84"/>
      <c r="F560" s="85"/>
      <c r="G560" s="142"/>
      <c r="H560" s="142"/>
      <c r="I560" s="88"/>
      <c r="J560" s="142"/>
      <c r="K560" s="142"/>
      <c r="L560" s="143"/>
      <c r="M560" s="87"/>
      <c r="N560" s="88"/>
      <c r="O560" s="350"/>
    </row>
    <row r="561" spans="1:15" s="95" customFormat="1" ht="3.95" customHeight="1" x14ac:dyDescent="0.2">
      <c r="A561" s="196"/>
      <c r="B561" s="91"/>
      <c r="C561" s="92"/>
      <c r="D561" s="378"/>
      <c r="E561" s="196"/>
      <c r="F561" s="91"/>
      <c r="G561" s="148"/>
      <c r="H561" s="148"/>
      <c r="I561" s="94"/>
      <c r="J561" s="148"/>
      <c r="K561" s="148"/>
      <c r="L561" s="149"/>
      <c r="M561" s="93"/>
      <c r="N561" s="94"/>
      <c r="O561" s="344"/>
    </row>
    <row r="562" spans="1:15" ht="11.45" customHeight="1" x14ac:dyDescent="0.2">
      <c r="A562" s="19" t="s">
        <v>13</v>
      </c>
      <c r="B562" s="372" t="s">
        <v>27</v>
      </c>
      <c r="C562" s="373"/>
      <c r="D562" s="378"/>
      <c r="E562" s="20"/>
      <c r="F562" s="21"/>
      <c r="G562" s="130">
        <f>SUM(G563:G568)</f>
        <v>806927901</v>
      </c>
      <c r="H562" s="130">
        <f>SUM(H563:H568)</f>
        <v>414944734</v>
      </c>
      <c r="I562" s="23">
        <f t="shared" ref="I562:I568" si="233">IF(G562&gt;0,H562/G562*100,"-")</f>
        <v>51.42277686590986</v>
      </c>
      <c r="J562" s="130">
        <f>SUM(J563:J568)</f>
        <v>352083992</v>
      </c>
      <c r="K562" s="130">
        <f>SUM(K563:K568)</f>
        <v>-74604050</v>
      </c>
      <c r="L562" s="130">
        <f>SUM(L563:L568)</f>
        <v>277479942</v>
      </c>
      <c r="M562" s="22">
        <f>SUM(M563:M568)</f>
        <v>168410724.73000005</v>
      </c>
      <c r="N562" s="23">
        <f t="shared" ref="N562:N568" si="234">IF(L562&gt;0,M562/L562*100,"-")</f>
        <v>60.692936403309481</v>
      </c>
      <c r="O562" s="344"/>
    </row>
    <row r="563" spans="1:15" ht="11.45" customHeight="1" x14ac:dyDescent="0.2">
      <c r="A563" s="21"/>
      <c r="B563" s="374" t="s">
        <v>15</v>
      </c>
      <c r="C563" s="375"/>
      <c r="D563" s="378"/>
      <c r="E563" s="20"/>
      <c r="F563" s="25"/>
      <c r="G563" s="131">
        <f t="shared" ref="G563:H568" si="235">G572+G607+G641+G660+G832+G850+G870</f>
        <v>97396385</v>
      </c>
      <c r="H563" s="131">
        <f t="shared" si="235"/>
        <v>28961353</v>
      </c>
      <c r="I563" s="27">
        <f t="shared" si="233"/>
        <v>29.735552300016067</v>
      </c>
      <c r="J563" s="131">
        <f>J572+J607+J641+J660+J832+J850+J870</f>
        <v>60675179</v>
      </c>
      <c r="K563" s="131">
        <f>K572+K607+K641+K660+K832+K850+K870</f>
        <v>-16672771</v>
      </c>
      <c r="L563" s="131">
        <f>L572+L607+L641+L660+L832+L850+L870</f>
        <v>44002408</v>
      </c>
      <c r="M563" s="26">
        <f>M572+M607+M641+M660+M832+M850+M870</f>
        <v>1765944.28</v>
      </c>
      <c r="N563" s="27">
        <f t="shared" si="234"/>
        <v>4.0132900908513918</v>
      </c>
      <c r="O563" s="344"/>
    </row>
    <row r="564" spans="1:15" ht="11.45" customHeight="1" x14ac:dyDescent="0.2">
      <c r="A564" s="21"/>
      <c r="B564" s="374" t="s">
        <v>7</v>
      </c>
      <c r="C564" s="375"/>
      <c r="D564" s="378"/>
      <c r="E564" s="20"/>
      <c r="F564" s="25"/>
      <c r="G564" s="131">
        <f t="shared" si="235"/>
        <v>493590391</v>
      </c>
      <c r="H564" s="131">
        <f t="shared" si="235"/>
        <v>239625011</v>
      </c>
      <c r="I564" s="27">
        <f t="shared" si="233"/>
        <v>48.547341149516015</v>
      </c>
      <c r="J564" s="131">
        <f t="shared" ref="J564:M564" si="236">J573+J608+J642+J661+J833+J851+J871</f>
        <v>208641799</v>
      </c>
      <c r="K564" s="131">
        <f t="shared" si="236"/>
        <v>-68027651</v>
      </c>
      <c r="L564" s="131">
        <f t="shared" si="236"/>
        <v>140614148</v>
      </c>
      <c r="M564" s="26">
        <f t="shared" si="236"/>
        <v>92101490.790000036</v>
      </c>
      <c r="N564" s="27">
        <f t="shared" si="234"/>
        <v>65.499448028515616</v>
      </c>
      <c r="O564" s="344"/>
    </row>
    <row r="565" spans="1:15" ht="11.45" customHeight="1" x14ac:dyDescent="0.2">
      <c r="A565" s="21"/>
      <c r="B565" s="374" t="s">
        <v>8</v>
      </c>
      <c r="C565" s="375"/>
      <c r="D565" s="378"/>
      <c r="E565" s="20"/>
      <c r="F565" s="25"/>
      <c r="G565" s="131">
        <f t="shared" si="235"/>
        <v>198487703</v>
      </c>
      <c r="H565" s="131">
        <f t="shared" si="235"/>
        <v>133801963</v>
      </c>
      <c r="I565" s="27">
        <f t="shared" si="233"/>
        <v>67.410706546389932</v>
      </c>
      <c r="J565" s="131">
        <f t="shared" ref="J565:M565" si="237">J574+J609+J643+J662+J834+J852+J872</f>
        <v>79016895</v>
      </c>
      <c r="K565" s="131">
        <f t="shared" si="237"/>
        <v>4003659</v>
      </c>
      <c r="L565" s="131">
        <f t="shared" si="237"/>
        <v>83020554</v>
      </c>
      <c r="M565" s="26">
        <f t="shared" si="237"/>
        <v>67847525.329999998</v>
      </c>
      <c r="N565" s="27">
        <f t="shared" si="234"/>
        <v>81.723768465818708</v>
      </c>
      <c r="O565" s="344"/>
    </row>
    <row r="566" spans="1:15" ht="11.45" customHeight="1" x14ac:dyDescent="0.2">
      <c r="A566" s="21"/>
      <c r="B566" s="374" t="s">
        <v>22</v>
      </c>
      <c r="C566" s="375"/>
      <c r="D566" s="378"/>
      <c r="E566" s="20"/>
      <c r="F566" s="25"/>
      <c r="G566" s="131">
        <f t="shared" si="235"/>
        <v>8094936</v>
      </c>
      <c r="H566" s="131">
        <f t="shared" si="235"/>
        <v>5231829</v>
      </c>
      <c r="I566" s="27">
        <f t="shared" si="233"/>
        <v>64.630887755011273</v>
      </c>
      <c r="J566" s="131">
        <f t="shared" ref="J566:M566" si="238">J575+J610+J644+J663+J835+J853+J873</f>
        <v>3019854</v>
      </c>
      <c r="K566" s="131">
        <f t="shared" si="238"/>
        <v>231974</v>
      </c>
      <c r="L566" s="131">
        <f t="shared" si="238"/>
        <v>3251828</v>
      </c>
      <c r="M566" s="26">
        <f t="shared" si="238"/>
        <v>389987.07</v>
      </c>
      <c r="N566" s="27">
        <f t="shared" si="234"/>
        <v>11.992856633253664</v>
      </c>
      <c r="O566" s="344"/>
    </row>
    <row r="567" spans="1:15" ht="11.45" customHeight="1" x14ac:dyDescent="0.2">
      <c r="A567" s="21"/>
      <c r="B567" s="25" t="s">
        <v>45</v>
      </c>
      <c r="C567" s="105"/>
      <c r="D567" s="378"/>
      <c r="E567" s="20"/>
      <c r="F567" s="25"/>
      <c r="G567" s="131">
        <f t="shared" si="235"/>
        <v>1084119</v>
      </c>
      <c r="H567" s="131">
        <f t="shared" si="235"/>
        <v>1083267</v>
      </c>
      <c r="I567" s="27">
        <f t="shared" si="233"/>
        <v>99.921410841429775</v>
      </c>
      <c r="J567" s="131">
        <f t="shared" ref="J567:M567" si="239">J576+J611+J645+J664+J836+J854+J874</f>
        <v>120265</v>
      </c>
      <c r="K567" s="131">
        <f t="shared" si="239"/>
        <v>934735</v>
      </c>
      <c r="L567" s="131">
        <f t="shared" si="239"/>
        <v>1055000</v>
      </c>
      <c r="M567" s="26">
        <f t="shared" si="239"/>
        <v>1054147.27</v>
      </c>
      <c r="N567" s="27">
        <f t="shared" si="234"/>
        <v>99.919172511848345</v>
      </c>
      <c r="O567" s="344"/>
    </row>
    <row r="568" spans="1:15" ht="11.45" customHeight="1" x14ac:dyDescent="0.2">
      <c r="A568" s="21"/>
      <c r="B568" s="25" t="s">
        <v>46</v>
      </c>
      <c r="C568" s="105"/>
      <c r="D568" s="378"/>
      <c r="E568" s="20"/>
      <c r="F568" s="25"/>
      <c r="G568" s="131">
        <f t="shared" si="235"/>
        <v>8274367</v>
      </c>
      <c r="H568" s="131">
        <f t="shared" si="235"/>
        <v>6241311</v>
      </c>
      <c r="I568" s="27">
        <f t="shared" si="233"/>
        <v>75.429467897665162</v>
      </c>
      <c r="J568" s="131">
        <f t="shared" ref="J568:M568" si="240">J577+J612+J646+J665+J837+J855+J875</f>
        <v>610000</v>
      </c>
      <c r="K568" s="131">
        <f t="shared" si="240"/>
        <v>4926004</v>
      </c>
      <c r="L568" s="131">
        <f t="shared" si="240"/>
        <v>5536004</v>
      </c>
      <c r="M568" s="26">
        <f t="shared" si="240"/>
        <v>5251629.9900000012</v>
      </c>
      <c r="N568" s="27">
        <f t="shared" si="234"/>
        <v>94.863189947117107</v>
      </c>
      <c r="O568" s="344"/>
    </row>
    <row r="569" spans="1:15" ht="3.95" customHeight="1" x14ac:dyDescent="0.2">
      <c r="A569" s="53"/>
      <c r="B569" s="54"/>
      <c r="C569" s="55"/>
      <c r="D569" s="379"/>
      <c r="E569" s="56"/>
      <c r="F569" s="53"/>
      <c r="G569" s="132"/>
      <c r="H569" s="132"/>
      <c r="I569" s="58"/>
      <c r="J569" s="132"/>
      <c r="K569" s="132"/>
      <c r="L569" s="132"/>
      <c r="M569" s="57"/>
      <c r="N569" s="58"/>
      <c r="O569" s="345"/>
    </row>
    <row r="570" spans="1:15" ht="3.95" customHeight="1" x14ac:dyDescent="0.2">
      <c r="A570" s="59"/>
      <c r="B570" s="60"/>
      <c r="C570" s="61"/>
      <c r="D570" s="62"/>
      <c r="E570" s="62"/>
      <c r="F570" s="59"/>
      <c r="G570" s="133"/>
      <c r="H570" s="133"/>
      <c r="I570" s="64"/>
      <c r="J570" s="133"/>
      <c r="K570" s="133"/>
      <c r="L570" s="133"/>
      <c r="M570" s="63"/>
      <c r="N570" s="64"/>
      <c r="O570" s="346"/>
    </row>
    <row r="571" spans="1:15" ht="11.45" customHeight="1" x14ac:dyDescent="0.2">
      <c r="A571" s="28" t="s">
        <v>1</v>
      </c>
      <c r="B571" s="380" t="s">
        <v>133</v>
      </c>
      <c r="C571" s="377"/>
      <c r="D571" s="29"/>
      <c r="E571" s="29"/>
      <c r="F571" s="30"/>
      <c r="G571" s="134">
        <f>SUM(G572:G577)</f>
        <v>30292971</v>
      </c>
      <c r="H571" s="134">
        <f>SUM(H572:H577)</f>
        <v>5113830</v>
      </c>
      <c r="I571" s="32">
        <f>IF(G571&gt;0,H571/G571*100,"-")</f>
        <v>16.881242846731674</v>
      </c>
      <c r="J571" s="134">
        <f>SUM(J572:J577)</f>
        <v>25790915</v>
      </c>
      <c r="K571" s="134">
        <f>SUM(K572:K577)</f>
        <v>-23089112</v>
      </c>
      <c r="L571" s="134">
        <f>SUM(L572:L577)</f>
        <v>2701803</v>
      </c>
      <c r="M571" s="31">
        <f>SUM(M572:M577)</f>
        <v>2579456.7100000004</v>
      </c>
      <c r="N571" s="32">
        <f t="shared" ref="N571:N577" si="241">IF(L571&gt;0,M571/L571*100,"-")</f>
        <v>95.471679837501128</v>
      </c>
      <c r="O571" s="347"/>
    </row>
    <row r="572" spans="1:15" ht="11.45" customHeight="1" x14ac:dyDescent="0.2">
      <c r="A572" s="30"/>
      <c r="B572" s="33"/>
      <c r="C572" s="34"/>
      <c r="D572" s="29"/>
      <c r="E572" s="29"/>
      <c r="F572" s="35" t="s">
        <v>15</v>
      </c>
      <c r="G572" s="135">
        <f t="shared" ref="G572:H577" si="242">G581+G594</f>
        <v>1842904</v>
      </c>
      <c r="H572" s="135">
        <f t="shared" si="242"/>
        <v>796750</v>
      </c>
      <c r="I572" s="37">
        <f t="shared" ref="I572:I577" si="243">IF(G572&gt;0,H572/G572*100,"-")</f>
        <v>43.233396856265983</v>
      </c>
      <c r="J572" s="135">
        <f t="shared" ref="J572:M577" si="244">J581+J594</f>
        <v>1126677</v>
      </c>
      <c r="K572" s="135">
        <f t="shared" si="244"/>
        <v>-1046154</v>
      </c>
      <c r="L572" s="135">
        <f t="shared" si="244"/>
        <v>80523</v>
      </c>
      <c r="M572" s="36">
        <f t="shared" si="244"/>
        <v>80522.91</v>
      </c>
      <c r="N572" s="37">
        <f t="shared" si="241"/>
        <v>99.999888230691852</v>
      </c>
      <c r="O572" s="347"/>
    </row>
    <row r="573" spans="1:15" ht="11.45" customHeight="1" x14ac:dyDescent="0.2">
      <c r="A573" s="30"/>
      <c r="B573" s="33"/>
      <c r="C573" s="34"/>
      <c r="D573" s="29"/>
      <c r="E573" s="29"/>
      <c r="F573" s="35" t="s">
        <v>7</v>
      </c>
      <c r="G573" s="135">
        <f t="shared" si="242"/>
        <v>20128315</v>
      </c>
      <c r="H573" s="135">
        <f t="shared" si="242"/>
        <v>2829261</v>
      </c>
      <c r="I573" s="37">
        <f t="shared" si="243"/>
        <v>14.056124419753962</v>
      </c>
      <c r="J573" s="135">
        <f t="shared" si="244"/>
        <v>19092551</v>
      </c>
      <c r="K573" s="135">
        <f t="shared" si="244"/>
        <v>-17131898</v>
      </c>
      <c r="L573" s="135">
        <f t="shared" si="244"/>
        <v>1960653</v>
      </c>
      <c r="M573" s="36">
        <f t="shared" si="244"/>
        <v>1870447.35</v>
      </c>
      <c r="N573" s="37">
        <f t="shared" si="241"/>
        <v>95.399203734674117</v>
      </c>
      <c r="O573" s="347"/>
    </row>
    <row r="574" spans="1:15" ht="11.45" customHeight="1" x14ac:dyDescent="0.2">
      <c r="A574" s="30"/>
      <c r="B574" s="33"/>
      <c r="C574" s="34"/>
      <c r="D574" s="29"/>
      <c r="E574" s="29"/>
      <c r="F574" s="35" t="s">
        <v>8</v>
      </c>
      <c r="G574" s="135">
        <f t="shared" si="242"/>
        <v>6430730</v>
      </c>
      <c r="H574" s="135">
        <f t="shared" si="242"/>
        <v>1345487</v>
      </c>
      <c r="I574" s="37">
        <f t="shared" si="243"/>
        <v>20.922772375764492</v>
      </c>
      <c r="J574" s="135">
        <f t="shared" si="244"/>
        <v>5561687</v>
      </c>
      <c r="K574" s="135">
        <f t="shared" si="244"/>
        <v>-5025685</v>
      </c>
      <c r="L574" s="135">
        <f t="shared" si="244"/>
        <v>536002</v>
      </c>
      <c r="M574" s="36">
        <f t="shared" si="244"/>
        <v>503861.96</v>
      </c>
      <c r="N574" s="37">
        <f t="shared" si="241"/>
        <v>94.003746254678163</v>
      </c>
      <c r="O574" s="347"/>
    </row>
    <row r="575" spans="1:15" ht="11.45" customHeight="1" x14ac:dyDescent="0.2">
      <c r="A575" s="30"/>
      <c r="B575" s="33"/>
      <c r="C575" s="34"/>
      <c r="D575" s="29"/>
      <c r="E575" s="29"/>
      <c r="F575" s="35" t="s">
        <v>22</v>
      </c>
      <c r="G575" s="135">
        <f t="shared" si="242"/>
        <v>0</v>
      </c>
      <c r="H575" s="135">
        <f t="shared" si="242"/>
        <v>0</v>
      </c>
      <c r="I575" s="37" t="str">
        <f t="shared" si="243"/>
        <v>-</v>
      </c>
      <c r="J575" s="135">
        <f t="shared" si="244"/>
        <v>0</v>
      </c>
      <c r="K575" s="135">
        <f t="shared" si="244"/>
        <v>0</v>
      </c>
      <c r="L575" s="135">
        <f t="shared" si="244"/>
        <v>0</v>
      </c>
      <c r="M575" s="36">
        <f t="shared" si="244"/>
        <v>0</v>
      </c>
      <c r="N575" s="37" t="str">
        <f t="shared" si="241"/>
        <v>-</v>
      </c>
      <c r="O575" s="347"/>
    </row>
    <row r="576" spans="1:15" ht="11.45" customHeight="1" x14ac:dyDescent="0.2">
      <c r="A576" s="30"/>
      <c r="B576" s="33"/>
      <c r="C576" s="34"/>
      <c r="D576" s="29"/>
      <c r="E576" s="29"/>
      <c r="F576" s="35" t="s">
        <v>45</v>
      </c>
      <c r="G576" s="135">
        <f t="shared" si="242"/>
        <v>0</v>
      </c>
      <c r="H576" s="135">
        <f t="shared" si="242"/>
        <v>0</v>
      </c>
      <c r="I576" s="37" t="str">
        <f t="shared" si="243"/>
        <v>-</v>
      </c>
      <c r="J576" s="135">
        <f t="shared" si="244"/>
        <v>0</v>
      </c>
      <c r="K576" s="135">
        <f t="shared" si="244"/>
        <v>0</v>
      </c>
      <c r="L576" s="135">
        <f t="shared" si="244"/>
        <v>0</v>
      </c>
      <c r="M576" s="36">
        <f t="shared" si="244"/>
        <v>0</v>
      </c>
      <c r="N576" s="37" t="str">
        <f t="shared" si="241"/>
        <v>-</v>
      </c>
      <c r="O576" s="347"/>
    </row>
    <row r="577" spans="1:15" ht="11.45" customHeight="1" x14ac:dyDescent="0.2">
      <c r="A577" s="30"/>
      <c r="B577" s="33"/>
      <c r="C577" s="34"/>
      <c r="D577" s="29"/>
      <c r="E577" s="29"/>
      <c r="F577" s="35" t="s">
        <v>46</v>
      </c>
      <c r="G577" s="135">
        <f t="shared" si="242"/>
        <v>1891022</v>
      </c>
      <c r="H577" s="135">
        <f t="shared" si="242"/>
        <v>142332</v>
      </c>
      <c r="I577" s="37">
        <f t="shared" si="243"/>
        <v>7.5267236446746777</v>
      </c>
      <c r="J577" s="135">
        <f t="shared" si="244"/>
        <v>10000</v>
      </c>
      <c r="K577" s="135">
        <f t="shared" si="244"/>
        <v>114625</v>
      </c>
      <c r="L577" s="135">
        <f t="shared" si="244"/>
        <v>124625</v>
      </c>
      <c r="M577" s="36">
        <f t="shared" si="244"/>
        <v>124624.49</v>
      </c>
      <c r="N577" s="37">
        <f t="shared" si="241"/>
        <v>99.999590772316964</v>
      </c>
      <c r="O577" s="347"/>
    </row>
    <row r="578" spans="1:15" ht="3.95" customHeight="1" x14ac:dyDescent="0.2">
      <c r="A578" s="65"/>
      <c r="B578" s="66"/>
      <c r="C578" s="67"/>
      <c r="D578" s="68"/>
      <c r="E578" s="68"/>
      <c r="F578" s="65"/>
      <c r="G578" s="136"/>
      <c r="H578" s="136"/>
      <c r="I578" s="70"/>
      <c r="J578" s="136"/>
      <c r="K578" s="136"/>
      <c r="L578" s="136"/>
      <c r="M578" s="69"/>
      <c r="N578" s="70"/>
      <c r="O578" s="348"/>
    </row>
    <row r="579" spans="1:15" ht="3.95" customHeight="1" outlineLevel="1" x14ac:dyDescent="0.2">
      <c r="A579" s="154"/>
      <c r="B579" s="72"/>
      <c r="C579" s="73"/>
      <c r="D579" s="71"/>
      <c r="E579" s="71"/>
      <c r="F579" s="72"/>
      <c r="G579" s="137"/>
      <c r="H579" s="137"/>
      <c r="I579" s="75"/>
      <c r="J579" s="137"/>
      <c r="K579" s="137"/>
      <c r="L579" s="138"/>
      <c r="M579" s="74"/>
      <c r="N579" s="75"/>
      <c r="O579" s="364" t="s">
        <v>519</v>
      </c>
    </row>
    <row r="580" spans="1:15" ht="11.1" customHeight="1" outlineLevel="1" x14ac:dyDescent="0.2">
      <c r="A580" s="369" t="s">
        <v>1</v>
      </c>
      <c r="B580" s="76" t="s">
        <v>9</v>
      </c>
      <c r="C580" s="150" t="s">
        <v>105</v>
      </c>
      <c r="D580" s="360" t="s">
        <v>466</v>
      </c>
      <c r="E580" s="360" t="s">
        <v>141</v>
      </c>
      <c r="F580" s="78" t="s">
        <v>28</v>
      </c>
      <c r="G580" s="139">
        <f>SUM(G581:G586)</f>
        <v>29036929</v>
      </c>
      <c r="H580" s="260">
        <f>SUM(H581:H586)</f>
        <v>4577010</v>
      </c>
      <c r="I580" s="39">
        <f t="shared" ref="I580:I586" si="245">IF(G580&gt;0,H580/G580*100,"-")</f>
        <v>15.762720637571556</v>
      </c>
      <c r="J580" s="139">
        <f>SUM(J581:J586)</f>
        <v>24534873</v>
      </c>
      <c r="K580" s="139">
        <f>SUM(K581:K586)</f>
        <v>-22369890</v>
      </c>
      <c r="L580" s="139">
        <f>SUM(L581:L586)</f>
        <v>2164983</v>
      </c>
      <c r="M580" s="38">
        <f>SUM(M581:M586)</f>
        <v>2042637.31</v>
      </c>
      <c r="N580" s="39">
        <f t="shared" ref="N580:N586" si="246">IF(L580&gt;0,M580/L580*100,"-")</f>
        <v>94.348884494705047</v>
      </c>
      <c r="O580" s="361"/>
    </row>
    <row r="581" spans="1:15" ht="11.1" customHeight="1" outlineLevel="1" x14ac:dyDescent="0.2">
      <c r="A581" s="369"/>
      <c r="B581" s="76" t="s">
        <v>10</v>
      </c>
      <c r="C581" s="150" t="s">
        <v>106</v>
      </c>
      <c r="D581" s="360"/>
      <c r="E581" s="360"/>
      <c r="F581" s="79" t="s">
        <v>15</v>
      </c>
      <c r="G581" s="140">
        <v>1597225</v>
      </c>
      <c r="H581" s="140">
        <f>ROUNDUP(716227+M581,0)</f>
        <v>716227</v>
      </c>
      <c r="I581" s="81">
        <f t="shared" si="245"/>
        <v>44.841960274851694</v>
      </c>
      <c r="J581" s="140">
        <v>880998</v>
      </c>
      <c r="K581" s="140">
        <f t="shared" ref="K581:K586" si="247">L581-J581</f>
        <v>-880998</v>
      </c>
      <c r="L581" s="140">
        <v>0</v>
      </c>
      <c r="M581" s="83">
        <v>0</v>
      </c>
      <c r="N581" s="81" t="str">
        <f t="shared" si="246"/>
        <v>-</v>
      </c>
      <c r="O581" s="361"/>
    </row>
    <row r="582" spans="1:15" ht="11.1" customHeight="1" outlineLevel="1" x14ac:dyDescent="0.2">
      <c r="A582" s="369"/>
      <c r="B582" s="76"/>
      <c r="C582" s="82" t="s">
        <v>107</v>
      </c>
      <c r="D582" s="360"/>
      <c r="E582" s="360"/>
      <c r="F582" s="79" t="s">
        <v>7</v>
      </c>
      <c r="G582" s="140">
        <v>19117952</v>
      </c>
      <c r="H582" s="140">
        <f>ROUNDUP(958813+M582,0)</f>
        <v>2372964</v>
      </c>
      <c r="I582" s="81">
        <f t="shared" si="245"/>
        <v>12.412229092321187</v>
      </c>
      <c r="J582" s="140">
        <v>18082188</v>
      </c>
      <c r="K582" s="140">
        <f t="shared" si="247"/>
        <v>-16577832</v>
      </c>
      <c r="L582" s="140">
        <v>1504356</v>
      </c>
      <c r="M582" s="83">
        <v>1414150.86</v>
      </c>
      <c r="N582" s="81">
        <f t="shared" si="246"/>
        <v>94.003737147324173</v>
      </c>
      <c r="O582" s="361"/>
    </row>
    <row r="583" spans="1:15" ht="11.1" customHeight="1" outlineLevel="1" x14ac:dyDescent="0.2">
      <c r="A583" s="119"/>
      <c r="B583" s="76" t="s">
        <v>11</v>
      </c>
      <c r="C583" s="82" t="s">
        <v>134</v>
      </c>
      <c r="D583" s="110"/>
      <c r="E583" s="110"/>
      <c r="F583" s="79" t="s">
        <v>8</v>
      </c>
      <c r="G583" s="140">
        <v>6430730</v>
      </c>
      <c r="H583" s="140">
        <f>ROUNDUP(841625+M583,0)</f>
        <v>1345487</v>
      </c>
      <c r="I583" s="81">
        <f t="shared" si="245"/>
        <v>20.922772375764492</v>
      </c>
      <c r="J583" s="140">
        <v>5561687</v>
      </c>
      <c r="K583" s="140">
        <f t="shared" si="247"/>
        <v>-5025685</v>
      </c>
      <c r="L583" s="140">
        <v>536002</v>
      </c>
      <c r="M583" s="80">
        <v>503861.96</v>
      </c>
      <c r="N583" s="81">
        <f t="shared" si="246"/>
        <v>94.003746254678163</v>
      </c>
      <c r="O583" s="361"/>
    </row>
    <row r="584" spans="1:15" ht="11.1" customHeight="1" outlineLevel="1" x14ac:dyDescent="0.2">
      <c r="A584" s="119"/>
      <c r="B584" s="76" t="s">
        <v>12</v>
      </c>
      <c r="C584" s="82" t="s">
        <v>269</v>
      </c>
      <c r="D584" s="110"/>
      <c r="E584" s="110"/>
      <c r="F584" s="79" t="s">
        <v>22</v>
      </c>
      <c r="G584" s="140">
        <v>0</v>
      </c>
      <c r="H584" s="140">
        <f>ROUNDUP(0+M584,0)</f>
        <v>0</v>
      </c>
      <c r="I584" s="81" t="str">
        <f t="shared" si="245"/>
        <v>-</v>
      </c>
      <c r="J584" s="140">
        <v>0</v>
      </c>
      <c r="K584" s="140">
        <f t="shared" si="247"/>
        <v>0</v>
      </c>
      <c r="L584" s="140">
        <v>0</v>
      </c>
      <c r="M584" s="89">
        <v>0</v>
      </c>
      <c r="N584" s="81" t="str">
        <f t="shared" si="246"/>
        <v>-</v>
      </c>
      <c r="O584" s="361"/>
    </row>
    <row r="585" spans="1:15" ht="11.1" customHeight="1" outlineLevel="1" x14ac:dyDescent="0.2">
      <c r="A585" s="119"/>
      <c r="B585" s="76"/>
      <c r="C585" s="82" t="s">
        <v>270</v>
      </c>
      <c r="D585" s="110"/>
      <c r="E585" s="110"/>
      <c r="F585" s="107" t="s">
        <v>45</v>
      </c>
      <c r="G585" s="140">
        <v>0</v>
      </c>
      <c r="H585" s="140">
        <f>ROUNDUP(0+M585,0)</f>
        <v>0</v>
      </c>
      <c r="I585" s="81" t="str">
        <f>IF(G585&gt;0,H585/G585*100,"-")</f>
        <v>-</v>
      </c>
      <c r="J585" s="140">
        <v>0</v>
      </c>
      <c r="K585" s="140">
        <f t="shared" si="247"/>
        <v>0</v>
      </c>
      <c r="L585" s="140">
        <v>0</v>
      </c>
      <c r="M585" s="89">
        <v>0</v>
      </c>
      <c r="N585" s="81" t="str">
        <f t="shared" si="246"/>
        <v>-</v>
      </c>
      <c r="O585" s="361"/>
    </row>
    <row r="586" spans="1:15" ht="11.1" customHeight="1" outlineLevel="1" x14ac:dyDescent="0.2">
      <c r="A586" s="119"/>
      <c r="B586" s="76" t="s">
        <v>23</v>
      </c>
      <c r="C586" s="82" t="s">
        <v>135</v>
      </c>
      <c r="D586" s="110"/>
      <c r="E586" s="110"/>
      <c r="F586" s="107" t="s">
        <v>46</v>
      </c>
      <c r="G586" s="141">
        <v>1891022</v>
      </c>
      <c r="H586" s="141">
        <f>ROUNDUP(17707+M586,0)</f>
        <v>142332</v>
      </c>
      <c r="I586" s="81">
        <f t="shared" si="245"/>
        <v>7.5267236446746777</v>
      </c>
      <c r="J586" s="141">
        <v>10000</v>
      </c>
      <c r="K586" s="140">
        <f t="shared" si="247"/>
        <v>114625</v>
      </c>
      <c r="L586" s="140">
        <v>124625</v>
      </c>
      <c r="M586" s="89">
        <v>124624.49</v>
      </c>
      <c r="N586" s="81">
        <f t="shared" si="246"/>
        <v>99.999590772316964</v>
      </c>
      <c r="O586" s="361"/>
    </row>
    <row r="587" spans="1:15" ht="11.1" customHeight="1" outlineLevel="1" x14ac:dyDescent="0.2">
      <c r="A587" s="119"/>
      <c r="B587" s="76"/>
      <c r="C587" s="82" t="s">
        <v>136</v>
      </c>
      <c r="D587" s="110"/>
      <c r="E587" s="110"/>
      <c r="F587" s="107"/>
      <c r="G587" s="141"/>
      <c r="H587" s="141"/>
      <c r="I587" s="151"/>
      <c r="J587" s="141"/>
      <c r="K587" s="141"/>
      <c r="L587" s="140"/>
      <c r="M587" s="89"/>
      <c r="N587" s="81"/>
      <c r="O587" s="361"/>
    </row>
    <row r="588" spans="1:15" ht="11.1" customHeight="1" outlineLevel="1" x14ac:dyDescent="0.2">
      <c r="A588" s="119"/>
      <c r="B588" s="76"/>
      <c r="C588" s="82" t="s">
        <v>137</v>
      </c>
      <c r="D588" s="110"/>
      <c r="E588" s="110"/>
      <c r="F588" s="107"/>
      <c r="G588" s="141"/>
      <c r="H588" s="141"/>
      <c r="I588" s="151"/>
      <c r="J588" s="141"/>
      <c r="K588" s="141"/>
      <c r="L588" s="140"/>
      <c r="M588" s="89"/>
      <c r="N588" s="81"/>
      <c r="O588" s="361"/>
    </row>
    <row r="589" spans="1:15" ht="11.1" customHeight="1" outlineLevel="1" x14ac:dyDescent="0.2">
      <c r="A589" s="119"/>
      <c r="B589" s="76"/>
      <c r="C589" s="82" t="s">
        <v>138</v>
      </c>
      <c r="D589" s="110"/>
      <c r="E589" s="110"/>
      <c r="F589" s="107"/>
      <c r="G589" s="141"/>
      <c r="H589" s="141"/>
      <c r="I589" s="151"/>
      <c r="J589" s="141"/>
      <c r="K589" s="141"/>
      <c r="L589" s="140"/>
      <c r="M589" s="89"/>
      <c r="N589" s="81"/>
      <c r="O589" s="361"/>
    </row>
    <row r="590" spans="1:15" ht="11.1" customHeight="1" outlineLevel="1" x14ac:dyDescent="0.2">
      <c r="A590" s="119"/>
      <c r="B590" s="76"/>
      <c r="C590" s="82" t="s">
        <v>139</v>
      </c>
      <c r="D590" s="90"/>
      <c r="E590" s="90"/>
      <c r="F590" s="107"/>
      <c r="G590" s="141"/>
      <c r="H590" s="141"/>
      <c r="I590" s="151"/>
      <c r="J590" s="141"/>
      <c r="K590" s="141"/>
      <c r="L590" s="140"/>
      <c r="M590" s="89"/>
      <c r="N590" s="81"/>
      <c r="O590" s="361"/>
    </row>
    <row r="591" spans="1:15" ht="3.75" customHeight="1" outlineLevel="1" x14ac:dyDescent="0.2">
      <c r="A591" s="120"/>
      <c r="B591" s="85"/>
      <c r="C591" s="86"/>
      <c r="D591" s="84"/>
      <c r="E591" s="84"/>
      <c r="F591" s="85"/>
      <c r="G591" s="142"/>
      <c r="H591" s="142"/>
      <c r="I591" s="85"/>
      <c r="J591" s="142"/>
      <c r="K591" s="142"/>
      <c r="L591" s="143"/>
      <c r="M591" s="87"/>
      <c r="N591" s="88"/>
      <c r="O591" s="365"/>
    </row>
    <row r="592" spans="1:15" ht="3.95" customHeight="1" outlineLevel="1" x14ac:dyDescent="0.2">
      <c r="A592" s="154"/>
      <c r="B592" s="72"/>
      <c r="C592" s="73"/>
      <c r="D592" s="71"/>
      <c r="E592" s="71"/>
      <c r="F592" s="72"/>
      <c r="G592" s="137"/>
      <c r="H592" s="137"/>
      <c r="I592" s="75"/>
      <c r="J592" s="137"/>
      <c r="K592" s="137"/>
      <c r="L592" s="138"/>
      <c r="M592" s="74"/>
      <c r="N592" s="75"/>
      <c r="O592" s="364" t="s">
        <v>520</v>
      </c>
    </row>
    <row r="593" spans="1:15" ht="11.1" customHeight="1" outlineLevel="1" x14ac:dyDescent="0.2">
      <c r="A593" s="369" t="s">
        <v>51</v>
      </c>
      <c r="B593" s="76" t="s">
        <v>9</v>
      </c>
      <c r="C593" s="150" t="s">
        <v>105</v>
      </c>
      <c r="D593" s="360" t="s">
        <v>410</v>
      </c>
      <c r="E593" s="360" t="s">
        <v>146</v>
      </c>
      <c r="F593" s="78" t="s">
        <v>28</v>
      </c>
      <c r="G593" s="139">
        <f>SUM(G594:G599)</f>
        <v>1256042</v>
      </c>
      <c r="H593" s="139">
        <f>SUM(H594:H599)</f>
        <v>536820</v>
      </c>
      <c r="I593" s="39">
        <f t="shared" ref="I593:I599" si="248">IF(G593&gt;0,H593/G593*100,"-")</f>
        <v>42.739016688932374</v>
      </c>
      <c r="J593" s="139">
        <f>SUM(J594:J599)</f>
        <v>1256042</v>
      </c>
      <c r="K593" s="139">
        <f>SUM(K594:K599)</f>
        <v>-719222</v>
      </c>
      <c r="L593" s="139">
        <f>SUM(L594:L599)</f>
        <v>536820</v>
      </c>
      <c r="M593" s="38">
        <f>SUM(M594:M599)</f>
        <v>536819.4</v>
      </c>
      <c r="N593" s="39">
        <f t="shared" ref="N593:N599" si="249">IF(L593&gt;0,M593/L593*100,"-")</f>
        <v>99.999888230691852</v>
      </c>
      <c r="O593" s="395"/>
    </row>
    <row r="594" spans="1:15" ht="11.1" customHeight="1" outlineLevel="1" x14ac:dyDescent="0.2">
      <c r="A594" s="369"/>
      <c r="B594" s="76" t="s">
        <v>10</v>
      </c>
      <c r="C594" s="150" t="s">
        <v>106</v>
      </c>
      <c r="D594" s="360"/>
      <c r="E594" s="360"/>
      <c r="F594" s="79" t="s">
        <v>15</v>
      </c>
      <c r="G594" s="140">
        <v>245679</v>
      </c>
      <c r="H594" s="140">
        <f t="shared" ref="H594:H599" si="250">ROUNDUP(0+M594,0)</f>
        <v>80523</v>
      </c>
      <c r="I594" s="81">
        <f t="shared" si="248"/>
        <v>32.775695114356537</v>
      </c>
      <c r="J594" s="140">
        <v>245679</v>
      </c>
      <c r="K594" s="140">
        <f t="shared" ref="K594:K599" si="251">L594-J594</f>
        <v>-165156</v>
      </c>
      <c r="L594" s="140">
        <v>80523</v>
      </c>
      <c r="M594" s="83">
        <v>80522.91</v>
      </c>
      <c r="N594" s="81">
        <f t="shared" si="249"/>
        <v>99.999888230691852</v>
      </c>
      <c r="O594" s="395"/>
    </row>
    <row r="595" spans="1:15" ht="11.1" customHeight="1" outlineLevel="1" x14ac:dyDescent="0.2">
      <c r="A595" s="369"/>
      <c r="B595" s="76"/>
      <c r="C595" s="82" t="s">
        <v>107</v>
      </c>
      <c r="D595" s="360"/>
      <c r="E595" s="360"/>
      <c r="F595" s="79" t="s">
        <v>7</v>
      </c>
      <c r="G595" s="140">
        <v>1010363</v>
      </c>
      <c r="H595" s="140">
        <f t="shared" si="250"/>
        <v>456297</v>
      </c>
      <c r="I595" s="81">
        <f t="shared" si="248"/>
        <v>45.161689412617051</v>
      </c>
      <c r="J595" s="140">
        <v>1010363</v>
      </c>
      <c r="K595" s="140">
        <f t="shared" si="251"/>
        <v>-554066</v>
      </c>
      <c r="L595" s="140">
        <v>456297</v>
      </c>
      <c r="M595" s="83">
        <v>456296.49</v>
      </c>
      <c r="N595" s="81">
        <f t="shared" si="249"/>
        <v>99.999888230691852</v>
      </c>
      <c r="O595" s="395"/>
    </row>
    <row r="596" spans="1:15" ht="11.1" customHeight="1" outlineLevel="1" x14ac:dyDescent="0.2">
      <c r="A596" s="119"/>
      <c r="B596" s="76" t="s">
        <v>11</v>
      </c>
      <c r="C596" s="82" t="s">
        <v>134</v>
      </c>
      <c r="D596" s="110"/>
      <c r="E596" s="110"/>
      <c r="F596" s="79" t="s">
        <v>8</v>
      </c>
      <c r="G596" s="140">
        <v>0</v>
      </c>
      <c r="H596" s="140">
        <f t="shared" si="250"/>
        <v>0</v>
      </c>
      <c r="I596" s="81" t="str">
        <f t="shared" si="248"/>
        <v>-</v>
      </c>
      <c r="J596" s="140">
        <v>0</v>
      </c>
      <c r="K596" s="140">
        <f t="shared" si="251"/>
        <v>0</v>
      </c>
      <c r="L596" s="140">
        <v>0</v>
      </c>
      <c r="M596" s="89">
        <v>0</v>
      </c>
      <c r="N596" s="81" t="str">
        <f t="shared" si="249"/>
        <v>-</v>
      </c>
      <c r="O596" s="395"/>
    </row>
    <row r="597" spans="1:15" ht="11.1" customHeight="1" outlineLevel="1" x14ac:dyDescent="0.2">
      <c r="A597" s="119"/>
      <c r="B597" s="76" t="s">
        <v>12</v>
      </c>
      <c r="C597" s="82" t="s">
        <v>271</v>
      </c>
      <c r="D597" s="110"/>
      <c r="E597" s="110"/>
      <c r="F597" s="79" t="s">
        <v>22</v>
      </c>
      <c r="G597" s="140">
        <v>0</v>
      </c>
      <c r="H597" s="140">
        <f t="shared" si="250"/>
        <v>0</v>
      </c>
      <c r="I597" s="81" t="str">
        <f t="shared" si="248"/>
        <v>-</v>
      </c>
      <c r="J597" s="140">
        <v>0</v>
      </c>
      <c r="K597" s="140">
        <f t="shared" si="251"/>
        <v>0</v>
      </c>
      <c r="L597" s="140">
        <v>0</v>
      </c>
      <c r="M597" s="89">
        <v>0</v>
      </c>
      <c r="N597" s="81" t="str">
        <f t="shared" si="249"/>
        <v>-</v>
      </c>
      <c r="O597" s="395"/>
    </row>
    <row r="598" spans="1:15" ht="11.1" customHeight="1" outlineLevel="1" x14ac:dyDescent="0.2">
      <c r="A598" s="119"/>
      <c r="B598" s="76"/>
      <c r="C598" s="82" t="s">
        <v>272</v>
      </c>
      <c r="D598" s="110"/>
      <c r="E598" s="110"/>
      <c r="F598" s="107" t="s">
        <v>45</v>
      </c>
      <c r="G598" s="140">
        <v>0</v>
      </c>
      <c r="H598" s="140">
        <f t="shared" si="250"/>
        <v>0</v>
      </c>
      <c r="I598" s="81" t="str">
        <f t="shared" si="248"/>
        <v>-</v>
      </c>
      <c r="J598" s="140">
        <v>0</v>
      </c>
      <c r="K598" s="140">
        <f t="shared" si="251"/>
        <v>0</v>
      </c>
      <c r="L598" s="140">
        <v>0</v>
      </c>
      <c r="M598" s="89">
        <v>0</v>
      </c>
      <c r="N598" s="81" t="str">
        <f t="shared" si="249"/>
        <v>-</v>
      </c>
      <c r="O598" s="395"/>
    </row>
    <row r="599" spans="1:15" ht="11.1" customHeight="1" outlineLevel="1" x14ac:dyDescent="0.2">
      <c r="A599" s="119"/>
      <c r="B599" s="76" t="s">
        <v>23</v>
      </c>
      <c r="C599" s="82" t="s">
        <v>142</v>
      </c>
      <c r="D599" s="110"/>
      <c r="E599" s="110"/>
      <c r="F599" s="107" t="s">
        <v>46</v>
      </c>
      <c r="G599" s="140">
        <v>0</v>
      </c>
      <c r="H599" s="140">
        <f t="shared" si="250"/>
        <v>0</v>
      </c>
      <c r="I599" s="81" t="str">
        <f t="shared" si="248"/>
        <v>-</v>
      </c>
      <c r="J599" s="140">
        <v>0</v>
      </c>
      <c r="K599" s="140">
        <f t="shared" si="251"/>
        <v>0</v>
      </c>
      <c r="L599" s="140">
        <v>0</v>
      </c>
      <c r="M599" s="89">
        <v>0</v>
      </c>
      <c r="N599" s="81" t="str">
        <f t="shared" si="249"/>
        <v>-</v>
      </c>
      <c r="O599" s="395"/>
    </row>
    <row r="600" spans="1:15" ht="11.1" customHeight="1" outlineLevel="1" x14ac:dyDescent="0.2">
      <c r="A600" s="119"/>
      <c r="B600" s="76"/>
      <c r="C600" s="82" t="s">
        <v>143</v>
      </c>
      <c r="D600" s="110"/>
      <c r="E600" s="110"/>
      <c r="F600" s="107"/>
      <c r="G600" s="141"/>
      <c r="H600" s="141"/>
      <c r="I600" s="151"/>
      <c r="J600" s="141"/>
      <c r="K600" s="141"/>
      <c r="L600" s="140"/>
      <c r="M600" s="89"/>
      <c r="N600" s="81"/>
      <c r="O600" s="395"/>
    </row>
    <row r="601" spans="1:15" ht="11.1" customHeight="1" outlineLevel="1" x14ac:dyDescent="0.2">
      <c r="A601" s="119"/>
      <c r="B601" s="76"/>
      <c r="C601" s="82" t="s">
        <v>144</v>
      </c>
      <c r="D601" s="110"/>
      <c r="E601" s="110"/>
      <c r="F601" s="107"/>
      <c r="G601" s="141"/>
      <c r="H601" s="141"/>
      <c r="I601" s="151"/>
      <c r="J601" s="141"/>
      <c r="K601" s="141"/>
      <c r="L601" s="140"/>
      <c r="M601" s="89"/>
      <c r="N601" s="81"/>
      <c r="O601" s="395"/>
    </row>
    <row r="602" spans="1:15" ht="11.1" customHeight="1" outlineLevel="1" x14ac:dyDescent="0.2">
      <c r="A602" s="119"/>
      <c r="B602" s="76"/>
      <c r="C602" s="82" t="s">
        <v>145</v>
      </c>
      <c r="D602" s="110"/>
      <c r="E602" s="110"/>
      <c r="F602" s="107"/>
      <c r="G602" s="141"/>
      <c r="H602" s="141"/>
      <c r="I602" s="151"/>
      <c r="J602" s="141"/>
      <c r="K602" s="141"/>
      <c r="L602" s="140"/>
      <c r="M602" s="89"/>
      <c r="N602" s="81"/>
      <c r="O602" s="395"/>
    </row>
    <row r="603" spans="1:15" ht="60" customHeight="1" outlineLevel="1" x14ac:dyDescent="0.2">
      <c r="A603" s="119"/>
      <c r="B603" s="76"/>
      <c r="C603" s="82"/>
      <c r="D603" s="110"/>
      <c r="E603" s="110"/>
      <c r="F603" s="107"/>
      <c r="G603" s="141"/>
      <c r="H603" s="141"/>
      <c r="I603" s="151"/>
      <c r="J603" s="141"/>
      <c r="K603" s="141"/>
      <c r="L603" s="140"/>
      <c r="M603" s="89"/>
      <c r="N603" s="81"/>
      <c r="O603" s="395"/>
    </row>
    <row r="604" spans="1:15" ht="3.95" customHeight="1" outlineLevel="1" x14ac:dyDescent="0.2">
      <c r="A604" s="120"/>
      <c r="B604" s="85"/>
      <c r="C604" s="86"/>
      <c r="D604" s="84"/>
      <c r="E604" s="84"/>
      <c r="F604" s="85"/>
      <c r="G604" s="142"/>
      <c r="H604" s="142"/>
      <c r="I604" s="85"/>
      <c r="J604" s="142"/>
      <c r="K604" s="142"/>
      <c r="L604" s="143"/>
      <c r="M604" s="87"/>
      <c r="N604" s="88"/>
      <c r="O604" s="396"/>
    </row>
    <row r="605" spans="1:15" ht="3.95" customHeight="1" x14ac:dyDescent="0.2">
      <c r="A605" s="59"/>
      <c r="B605" s="60"/>
      <c r="C605" s="61"/>
      <c r="D605" s="62"/>
      <c r="E605" s="62"/>
      <c r="F605" s="59"/>
      <c r="G605" s="133"/>
      <c r="H605" s="133"/>
      <c r="I605" s="59"/>
      <c r="J605" s="133"/>
      <c r="K605" s="133"/>
      <c r="L605" s="133"/>
      <c r="M605" s="63"/>
      <c r="N605" s="64"/>
      <c r="O605" s="346"/>
    </row>
    <row r="606" spans="1:15" ht="11.45" customHeight="1" x14ac:dyDescent="0.2">
      <c r="A606" s="28" t="s">
        <v>51</v>
      </c>
      <c r="B606" s="376" t="s">
        <v>147</v>
      </c>
      <c r="C606" s="377"/>
      <c r="D606" s="29"/>
      <c r="E606" s="29"/>
      <c r="F606" s="30"/>
      <c r="G606" s="134">
        <f>SUM(G607:G612)</f>
        <v>23148427</v>
      </c>
      <c r="H606" s="134">
        <f>SUM(H607:H612)</f>
        <v>23147474</v>
      </c>
      <c r="I606" s="32">
        <f>IF(G606&gt;0,H606/G606*100,"-")</f>
        <v>99.995883089593946</v>
      </c>
      <c r="J606" s="134">
        <f>SUM(J607:J612)</f>
        <v>3566260</v>
      </c>
      <c r="K606" s="134">
        <f>SUM(K607:K612)</f>
        <v>509431</v>
      </c>
      <c r="L606" s="134">
        <f>SUM(L607:L612)</f>
        <v>4075691</v>
      </c>
      <c r="M606" s="31">
        <f>SUM(M607:M612)</f>
        <v>4074735.07</v>
      </c>
      <c r="N606" s="32">
        <f t="shared" ref="N606:N612" si="252">IF(L606&gt;0,M606/L606*100,"-")</f>
        <v>99.976545572272286</v>
      </c>
      <c r="O606" s="347"/>
    </row>
    <row r="607" spans="1:15" ht="11.45" customHeight="1" x14ac:dyDescent="0.2">
      <c r="A607" s="30"/>
      <c r="B607" s="33"/>
      <c r="C607" s="34"/>
      <c r="D607" s="29"/>
      <c r="E607" s="29"/>
      <c r="F607" s="35" t="s">
        <v>15</v>
      </c>
      <c r="G607" s="135">
        <f>G616</f>
        <v>739745</v>
      </c>
      <c r="H607" s="135">
        <f>H616</f>
        <v>739745</v>
      </c>
      <c r="I607" s="37">
        <f t="shared" ref="I607:I612" si="253">IF(G607&gt;0,H607/G607*100,"-")</f>
        <v>100</v>
      </c>
      <c r="J607" s="135">
        <f>J616</f>
        <v>0</v>
      </c>
      <c r="K607" s="135">
        <f>K616</f>
        <v>0</v>
      </c>
      <c r="L607" s="135">
        <f>L616</f>
        <v>0</v>
      </c>
      <c r="M607" s="36">
        <f>M616</f>
        <v>0</v>
      </c>
      <c r="N607" s="37" t="str">
        <f t="shared" si="252"/>
        <v>-</v>
      </c>
      <c r="O607" s="347"/>
    </row>
    <row r="608" spans="1:15" ht="11.45" customHeight="1" x14ac:dyDescent="0.2">
      <c r="A608" s="30"/>
      <c r="B608" s="33"/>
      <c r="C608" s="34"/>
      <c r="D608" s="29"/>
      <c r="E608" s="29"/>
      <c r="F608" s="35" t="s">
        <v>7</v>
      </c>
      <c r="G608" s="135">
        <f t="shared" ref="G608:H612" si="254">G617</f>
        <v>14958732</v>
      </c>
      <c r="H608" s="135">
        <f t="shared" si="254"/>
        <v>14958732</v>
      </c>
      <c r="I608" s="37">
        <f t="shared" si="253"/>
        <v>100</v>
      </c>
      <c r="J608" s="135">
        <f t="shared" ref="J608:M608" si="255">J617</f>
        <v>755397</v>
      </c>
      <c r="K608" s="135">
        <f t="shared" si="255"/>
        <v>1301958</v>
      </c>
      <c r="L608" s="135">
        <f t="shared" si="255"/>
        <v>2057355</v>
      </c>
      <c r="M608" s="36">
        <f t="shared" si="255"/>
        <v>2057354.02</v>
      </c>
      <c r="N608" s="37">
        <f t="shared" si="252"/>
        <v>99.999952366023365</v>
      </c>
      <c r="O608" s="347"/>
    </row>
    <row r="609" spans="1:15" ht="11.45" customHeight="1" x14ac:dyDescent="0.2">
      <c r="A609" s="30"/>
      <c r="B609" s="33"/>
      <c r="C609" s="34"/>
      <c r="D609" s="29"/>
      <c r="E609" s="29"/>
      <c r="F609" s="35" t="s">
        <v>8</v>
      </c>
      <c r="G609" s="135">
        <f t="shared" si="254"/>
        <v>3515875</v>
      </c>
      <c r="H609" s="135">
        <f t="shared" si="254"/>
        <v>3515875</v>
      </c>
      <c r="I609" s="37">
        <f t="shared" si="253"/>
        <v>100</v>
      </c>
      <c r="J609" s="135">
        <f t="shared" ref="J609:M609" si="256">J618</f>
        <v>2557293</v>
      </c>
      <c r="K609" s="135">
        <f t="shared" si="256"/>
        <v>-2130160</v>
      </c>
      <c r="L609" s="135">
        <f t="shared" si="256"/>
        <v>427133</v>
      </c>
      <c r="M609" s="36">
        <f t="shared" si="256"/>
        <v>427132.32</v>
      </c>
      <c r="N609" s="37">
        <f t="shared" si="252"/>
        <v>99.999840799001717</v>
      </c>
      <c r="O609" s="347"/>
    </row>
    <row r="610" spans="1:15" ht="11.45" customHeight="1" x14ac:dyDescent="0.2">
      <c r="A610" s="30"/>
      <c r="B610" s="33"/>
      <c r="C610" s="34"/>
      <c r="D610" s="29"/>
      <c r="E610" s="29"/>
      <c r="F610" s="35" t="s">
        <v>22</v>
      </c>
      <c r="G610" s="135">
        <f t="shared" si="254"/>
        <v>2639777</v>
      </c>
      <c r="H610" s="135">
        <f t="shared" si="254"/>
        <v>2639777</v>
      </c>
      <c r="I610" s="37">
        <f t="shared" si="253"/>
        <v>100</v>
      </c>
      <c r="J610" s="135">
        <f t="shared" ref="J610:M610" si="257">J619</f>
        <v>133305</v>
      </c>
      <c r="K610" s="135">
        <f t="shared" si="257"/>
        <v>229758</v>
      </c>
      <c r="L610" s="135">
        <f t="shared" si="257"/>
        <v>363063</v>
      </c>
      <c r="M610" s="36">
        <f t="shared" si="257"/>
        <v>363062.46</v>
      </c>
      <c r="N610" s="37">
        <f t="shared" si="252"/>
        <v>99.999851265482846</v>
      </c>
      <c r="O610" s="347"/>
    </row>
    <row r="611" spans="1:15" ht="11.45" customHeight="1" x14ac:dyDescent="0.2">
      <c r="A611" s="30"/>
      <c r="B611" s="33"/>
      <c r="C611" s="34"/>
      <c r="D611" s="29"/>
      <c r="E611" s="29"/>
      <c r="F611" s="35" t="s">
        <v>45</v>
      </c>
      <c r="G611" s="135">
        <f t="shared" si="254"/>
        <v>1084119</v>
      </c>
      <c r="H611" s="135">
        <f t="shared" si="254"/>
        <v>1083267</v>
      </c>
      <c r="I611" s="37">
        <f t="shared" si="253"/>
        <v>99.921410841429775</v>
      </c>
      <c r="J611" s="135">
        <f t="shared" ref="J611:M611" si="258">J620</f>
        <v>120265</v>
      </c>
      <c r="K611" s="135">
        <f t="shared" si="258"/>
        <v>934735</v>
      </c>
      <c r="L611" s="135">
        <f t="shared" si="258"/>
        <v>1055000</v>
      </c>
      <c r="M611" s="36">
        <f t="shared" si="258"/>
        <v>1054147.27</v>
      </c>
      <c r="N611" s="37">
        <f t="shared" si="252"/>
        <v>99.919172511848345</v>
      </c>
      <c r="O611" s="347"/>
    </row>
    <row r="612" spans="1:15" ht="11.45" customHeight="1" x14ac:dyDescent="0.2">
      <c r="A612" s="30"/>
      <c r="B612" s="33"/>
      <c r="C612" s="34"/>
      <c r="D612" s="29"/>
      <c r="E612" s="29"/>
      <c r="F612" s="35" t="s">
        <v>46</v>
      </c>
      <c r="G612" s="135">
        <f t="shared" si="254"/>
        <v>210179</v>
      </c>
      <c r="H612" s="135">
        <f t="shared" si="254"/>
        <v>210078</v>
      </c>
      <c r="I612" s="37">
        <f t="shared" si="253"/>
        <v>99.951945722455633</v>
      </c>
      <c r="J612" s="135">
        <f t="shared" ref="J612:M612" si="259">J621</f>
        <v>0</v>
      </c>
      <c r="K612" s="135">
        <f t="shared" si="259"/>
        <v>173140</v>
      </c>
      <c r="L612" s="135">
        <f t="shared" si="259"/>
        <v>173140</v>
      </c>
      <c r="M612" s="36">
        <f t="shared" si="259"/>
        <v>173039</v>
      </c>
      <c r="N612" s="37">
        <f t="shared" si="252"/>
        <v>99.941665704054529</v>
      </c>
      <c r="O612" s="347"/>
    </row>
    <row r="613" spans="1:15" ht="3.95" customHeight="1" x14ac:dyDescent="0.2">
      <c r="A613" s="65"/>
      <c r="B613" s="66"/>
      <c r="C613" s="67"/>
      <c r="D613" s="68"/>
      <c r="E613" s="68"/>
      <c r="F613" s="65"/>
      <c r="G613" s="136"/>
      <c r="H613" s="136"/>
      <c r="I613" s="70"/>
      <c r="J613" s="136"/>
      <c r="K613" s="136"/>
      <c r="L613" s="136"/>
      <c r="M613" s="69"/>
      <c r="N613" s="70"/>
      <c r="O613" s="348"/>
    </row>
    <row r="614" spans="1:15" s="95" customFormat="1" ht="3.95" customHeight="1" outlineLevel="1" x14ac:dyDescent="0.2">
      <c r="A614" s="154"/>
      <c r="B614" s="72"/>
      <c r="C614" s="73"/>
      <c r="D614" s="71"/>
      <c r="E614" s="71"/>
      <c r="F614" s="72"/>
      <c r="G614" s="137"/>
      <c r="H614" s="137"/>
      <c r="I614" s="75"/>
      <c r="J614" s="137"/>
      <c r="K614" s="137"/>
      <c r="L614" s="138"/>
      <c r="M614" s="74"/>
      <c r="N614" s="75"/>
      <c r="O614" s="364" t="s">
        <v>521</v>
      </c>
    </row>
    <row r="615" spans="1:15" s="95" customFormat="1" ht="11.1" customHeight="1" outlineLevel="1" x14ac:dyDescent="0.2">
      <c r="A615" s="369" t="s">
        <v>61</v>
      </c>
      <c r="B615" s="76" t="s">
        <v>9</v>
      </c>
      <c r="C615" s="77" t="s">
        <v>50</v>
      </c>
      <c r="D615" s="360" t="s">
        <v>60</v>
      </c>
      <c r="E615" s="360"/>
      <c r="F615" s="78" t="s">
        <v>28</v>
      </c>
      <c r="G615" s="139">
        <f>SUM(G616:G621)</f>
        <v>23148427</v>
      </c>
      <c r="H615" s="139">
        <f>SUM(H616:H621)</f>
        <v>23147474</v>
      </c>
      <c r="I615" s="39">
        <f t="shared" ref="I615:I621" si="260">IF(G615&gt;0,H615/G615*100,"-")</f>
        <v>99.995883089593946</v>
      </c>
      <c r="J615" s="260">
        <f>SUM(J616:J621)</f>
        <v>3566260</v>
      </c>
      <c r="K615" s="139">
        <f>SUM(K616:K621)</f>
        <v>509431</v>
      </c>
      <c r="L615" s="139">
        <f>SUM(L616:L621)</f>
        <v>4075691</v>
      </c>
      <c r="M615" s="38">
        <f>SUM(M616:M621)</f>
        <v>4074735.07</v>
      </c>
      <c r="N615" s="39">
        <f t="shared" ref="N615:N621" si="261">IF(L615&gt;0,M615/L615*100,"-")</f>
        <v>99.976545572272286</v>
      </c>
      <c r="O615" s="362"/>
    </row>
    <row r="616" spans="1:15" s="95" customFormat="1" ht="11.1" customHeight="1" outlineLevel="1" x14ac:dyDescent="0.2">
      <c r="A616" s="369"/>
      <c r="B616" s="76" t="s">
        <v>10</v>
      </c>
      <c r="C616" s="77" t="s">
        <v>148</v>
      </c>
      <c r="D616" s="360"/>
      <c r="E616" s="360"/>
      <c r="F616" s="79" t="s">
        <v>15</v>
      </c>
      <c r="G616" s="140">
        <f t="shared" ref="G616:H621" si="262">G624+G632</f>
        <v>739745</v>
      </c>
      <c r="H616" s="140">
        <f t="shared" si="262"/>
        <v>739745</v>
      </c>
      <c r="I616" s="81">
        <f t="shared" si="260"/>
        <v>100</v>
      </c>
      <c r="J616" s="140">
        <f t="shared" ref="J616:M621" si="263">J624+J632</f>
        <v>0</v>
      </c>
      <c r="K616" s="140">
        <f t="shared" si="263"/>
        <v>0</v>
      </c>
      <c r="L616" s="140">
        <f t="shared" si="263"/>
        <v>0</v>
      </c>
      <c r="M616" s="80">
        <f t="shared" si="263"/>
        <v>0</v>
      </c>
      <c r="N616" s="81" t="str">
        <f t="shared" si="261"/>
        <v>-</v>
      </c>
      <c r="O616" s="362"/>
    </row>
    <row r="617" spans="1:15" s="95" customFormat="1" ht="11.1" customHeight="1" outlineLevel="1" x14ac:dyDescent="0.2">
      <c r="A617" s="369"/>
      <c r="B617" s="76" t="s">
        <v>11</v>
      </c>
      <c r="C617" s="82" t="s">
        <v>149</v>
      </c>
      <c r="D617" s="360"/>
      <c r="E617" s="360"/>
      <c r="F617" s="79" t="s">
        <v>7</v>
      </c>
      <c r="G617" s="140">
        <f t="shared" si="262"/>
        <v>14958732</v>
      </c>
      <c r="H617" s="140">
        <f t="shared" si="262"/>
        <v>14958732</v>
      </c>
      <c r="I617" s="81">
        <f t="shared" si="260"/>
        <v>100</v>
      </c>
      <c r="J617" s="140">
        <f t="shared" si="263"/>
        <v>755397</v>
      </c>
      <c r="K617" s="140">
        <f t="shared" si="263"/>
        <v>1301958</v>
      </c>
      <c r="L617" s="140">
        <f t="shared" si="263"/>
        <v>2057355</v>
      </c>
      <c r="M617" s="80">
        <f t="shared" si="263"/>
        <v>2057354.02</v>
      </c>
      <c r="N617" s="81">
        <f t="shared" si="261"/>
        <v>99.999952366023365</v>
      </c>
      <c r="O617" s="362"/>
    </row>
    <row r="618" spans="1:15" s="95" customFormat="1" ht="11.1" customHeight="1" outlineLevel="1" x14ac:dyDescent="0.2">
      <c r="A618" s="119"/>
      <c r="B618" s="76"/>
      <c r="C618" s="82" t="s">
        <v>150</v>
      </c>
      <c r="D618" s="110"/>
      <c r="E618" s="360"/>
      <c r="F618" s="79" t="s">
        <v>8</v>
      </c>
      <c r="G618" s="140">
        <f t="shared" si="262"/>
        <v>3515875</v>
      </c>
      <c r="H618" s="140">
        <f t="shared" si="262"/>
        <v>3515875</v>
      </c>
      <c r="I618" s="81">
        <f t="shared" si="260"/>
        <v>100</v>
      </c>
      <c r="J618" s="140">
        <f t="shared" si="263"/>
        <v>2557293</v>
      </c>
      <c r="K618" s="140">
        <f t="shared" si="263"/>
        <v>-2130160</v>
      </c>
      <c r="L618" s="140">
        <f t="shared" si="263"/>
        <v>427133</v>
      </c>
      <c r="M618" s="80">
        <f t="shared" si="263"/>
        <v>427132.32</v>
      </c>
      <c r="N618" s="81">
        <f t="shared" si="261"/>
        <v>99.999840799001717</v>
      </c>
      <c r="O618" s="362"/>
    </row>
    <row r="619" spans="1:15" s="95" customFormat="1" ht="11.1" customHeight="1" outlineLevel="1" x14ac:dyDescent="0.2">
      <c r="A619" s="119"/>
      <c r="B619" s="76" t="s">
        <v>12</v>
      </c>
      <c r="C619" s="82" t="s">
        <v>273</v>
      </c>
      <c r="D619" s="110"/>
      <c r="E619" s="360"/>
      <c r="F619" s="79" t="s">
        <v>22</v>
      </c>
      <c r="G619" s="140">
        <f t="shared" si="262"/>
        <v>2639777</v>
      </c>
      <c r="H619" s="140">
        <f t="shared" si="262"/>
        <v>2639777</v>
      </c>
      <c r="I619" s="81">
        <f t="shared" si="260"/>
        <v>100</v>
      </c>
      <c r="J619" s="140">
        <f t="shared" si="263"/>
        <v>133305</v>
      </c>
      <c r="K619" s="140">
        <f t="shared" si="263"/>
        <v>229758</v>
      </c>
      <c r="L619" s="140">
        <f t="shared" si="263"/>
        <v>363063</v>
      </c>
      <c r="M619" s="80">
        <f t="shared" si="263"/>
        <v>363062.46</v>
      </c>
      <c r="N619" s="81">
        <f t="shared" si="261"/>
        <v>99.999851265482846</v>
      </c>
      <c r="O619" s="362"/>
    </row>
    <row r="620" spans="1:15" s="95" customFormat="1" ht="11.1" customHeight="1" outlineLevel="1" x14ac:dyDescent="0.2">
      <c r="A620" s="119"/>
      <c r="B620" s="76" t="s">
        <v>23</v>
      </c>
      <c r="C620" s="82" t="s">
        <v>151</v>
      </c>
      <c r="D620" s="110"/>
      <c r="E620" s="90"/>
      <c r="F620" s="107" t="s">
        <v>45</v>
      </c>
      <c r="G620" s="140">
        <f t="shared" si="262"/>
        <v>1084119</v>
      </c>
      <c r="H620" s="140">
        <f t="shared" si="262"/>
        <v>1083267</v>
      </c>
      <c r="I620" s="81">
        <f t="shared" si="260"/>
        <v>99.921410841429775</v>
      </c>
      <c r="J620" s="140">
        <f t="shared" si="263"/>
        <v>120265</v>
      </c>
      <c r="K620" s="140">
        <f t="shared" si="263"/>
        <v>934735</v>
      </c>
      <c r="L620" s="140">
        <f t="shared" si="263"/>
        <v>1055000</v>
      </c>
      <c r="M620" s="80">
        <f t="shared" si="263"/>
        <v>1054147.27</v>
      </c>
      <c r="N620" s="81">
        <f t="shared" si="261"/>
        <v>99.919172511848345</v>
      </c>
      <c r="O620" s="362"/>
    </row>
    <row r="621" spans="1:15" s="95" customFormat="1" ht="11.1" customHeight="1" outlineLevel="1" x14ac:dyDescent="0.2">
      <c r="A621" s="119"/>
      <c r="B621" s="76"/>
      <c r="C621" s="82"/>
      <c r="D621" s="110"/>
      <c r="E621" s="90"/>
      <c r="F621" s="107" t="s">
        <v>46</v>
      </c>
      <c r="G621" s="140">
        <f t="shared" si="262"/>
        <v>210179</v>
      </c>
      <c r="H621" s="140">
        <f t="shared" si="262"/>
        <v>210078</v>
      </c>
      <c r="I621" s="81">
        <f t="shared" si="260"/>
        <v>99.951945722455633</v>
      </c>
      <c r="J621" s="140">
        <f t="shared" si="263"/>
        <v>0</v>
      </c>
      <c r="K621" s="140">
        <f t="shared" si="263"/>
        <v>173140</v>
      </c>
      <c r="L621" s="140">
        <f t="shared" si="263"/>
        <v>173140</v>
      </c>
      <c r="M621" s="80">
        <f t="shared" si="263"/>
        <v>173039</v>
      </c>
      <c r="N621" s="81">
        <f t="shared" si="261"/>
        <v>99.941665704054529</v>
      </c>
      <c r="O621" s="362"/>
    </row>
    <row r="622" spans="1:15" s="95" customFormat="1" ht="10.5" customHeight="1" outlineLevel="1" x14ac:dyDescent="0.2">
      <c r="A622" s="119"/>
      <c r="B622" s="76"/>
      <c r="C622" s="82"/>
      <c r="D622" s="110"/>
      <c r="E622" s="90"/>
      <c r="F622" s="107"/>
      <c r="G622" s="141"/>
      <c r="H622" s="141"/>
      <c r="I622" s="81"/>
      <c r="J622" s="141"/>
      <c r="K622" s="141"/>
      <c r="L622" s="140"/>
      <c r="M622" s="89"/>
      <c r="N622" s="81"/>
      <c r="O622" s="362"/>
    </row>
    <row r="623" spans="1:15" s="95" customFormat="1" ht="10.5" customHeight="1" outlineLevel="1" x14ac:dyDescent="0.2">
      <c r="A623" s="119"/>
      <c r="B623" s="76"/>
      <c r="C623" s="82"/>
      <c r="D623" s="110"/>
      <c r="E623" s="311"/>
      <c r="F623" s="107"/>
      <c r="G623" s="141"/>
      <c r="H623" s="141"/>
      <c r="I623" s="81"/>
      <c r="J623" s="141"/>
      <c r="K623" s="141"/>
      <c r="L623" s="140"/>
      <c r="M623" s="89"/>
      <c r="N623" s="81"/>
      <c r="O623" s="362"/>
    </row>
    <row r="624" spans="1:15" s="117" customFormat="1" ht="11.1" customHeight="1" outlineLevel="1" x14ac:dyDescent="0.2">
      <c r="A624" s="119"/>
      <c r="B624" s="111"/>
      <c r="C624" s="112"/>
      <c r="D624" s="113"/>
      <c r="E624" s="381" t="s">
        <v>152</v>
      </c>
      <c r="F624" s="114" t="s">
        <v>15</v>
      </c>
      <c r="G624" s="144">
        <v>0</v>
      </c>
      <c r="H624" s="144">
        <f>ROUNDUP(0+M624,0)</f>
        <v>0</v>
      </c>
      <c r="I624" s="81" t="str">
        <f t="shared" ref="I624:I629" si="264">IF(G624&gt;0,H624/G624*100,"-")</f>
        <v>-</v>
      </c>
      <c r="J624" s="144">
        <v>0</v>
      </c>
      <c r="K624" s="144">
        <f t="shared" ref="K624:K629" si="265">L624-J624</f>
        <v>0</v>
      </c>
      <c r="L624" s="145">
        <v>0</v>
      </c>
      <c r="M624" s="116">
        <v>0</v>
      </c>
      <c r="N624" s="81" t="str">
        <f t="shared" ref="N624:N629" si="266">IF(L624&gt;0,M624/L624*100,"-")</f>
        <v>-</v>
      </c>
      <c r="O624" s="362"/>
    </row>
    <row r="625" spans="1:15" s="117" customFormat="1" ht="11.1" customHeight="1" outlineLevel="1" x14ac:dyDescent="0.2">
      <c r="A625" s="119"/>
      <c r="B625" s="111"/>
      <c r="C625" s="112"/>
      <c r="D625" s="113"/>
      <c r="E625" s="381"/>
      <c r="F625" s="114" t="s">
        <v>7</v>
      </c>
      <c r="G625" s="261">
        <v>14526460</v>
      </c>
      <c r="H625" s="144">
        <f>ROUNDUP(12469105+M625,0)</f>
        <v>14526460</v>
      </c>
      <c r="I625" s="81">
        <f t="shared" si="264"/>
        <v>100</v>
      </c>
      <c r="J625" s="144">
        <v>755397</v>
      </c>
      <c r="K625" s="144">
        <f t="shared" si="265"/>
        <v>1301958</v>
      </c>
      <c r="L625" s="145">
        <v>2057355</v>
      </c>
      <c r="M625" s="115">
        <v>2057354.02</v>
      </c>
      <c r="N625" s="81">
        <f t="shared" si="266"/>
        <v>99.999952366023365</v>
      </c>
      <c r="O625" s="362"/>
    </row>
    <row r="626" spans="1:15" s="117" customFormat="1" ht="11.1" customHeight="1" outlineLevel="1" x14ac:dyDescent="0.2">
      <c r="A626" s="119"/>
      <c r="B626" s="111"/>
      <c r="C626" s="112"/>
      <c r="D626" s="113"/>
      <c r="E626" s="381"/>
      <c r="F626" s="114" t="s">
        <v>8</v>
      </c>
      <c r="G626" s="261">
        <v>3015875</v>
      </c>
      <c r="H626" s="144">
        <f>ROUNDUP(2588742+M626,0)</f>
        <v>3015875</v>
      </c>
      <c r="I626" s="81">
        <f t="shared" si="264"/>
        <v>100</v>
      </c>
      <c r="J626" s="144">
        <v>2557293</v>
      </c>
      <c r="K626" s="144">
        <f t="shared" si="265"/>
        <v>-2130160</v>
      </c>
      <c r="L626" s="145">
        <v>427133</v>
      </c>
      <c r="M626" s="115">
        <v>427132.32</v>
      </c>
      <c r="N626" s="81">
        <f t="shared" si="266"/>
        <v>99.999840799001717</v>
      </c>
      <c r="O626" s="362"/>
    </row>
    <row r="627" spans="1:15" s="117" customFormat="1" ht="11.1" customHeight="1" outlineLevel="1" x14ac:dyDescent="0.2">
      <c r="A627" s="119"/>
      <c r="B627" s="111"/>
      <c r="C627" s="112"/>
      <c r="D627" s="113"/>
      <c r="E627" s="201"/>
      <c r="F627" s="114" t="s">
        <v>22</v>
      </c>
      <c r="G627" s="261">
        <v>2563494</v>
      </c>
      <c r="H627" s="144">
        <f>ROUNDUP(2200431+M627,0)</f>
        <v>2563494</v>
      </c>
      <c r="I627" s="81">
        <f t="shared" si="264"/>
        <v>100</v>
      </c>
      <c r="J627" s="144">
        <v>133305</v>
      </c>
      <c r="K627" s="144">
        <f t="shared" si="265"/>
        <v>229758</v>
      </c>
      <c r="L627" s="145">
        <v>363063</v>
      </c>
      <c r="M627" s="115">
        <v>363062.46</v>
      </c>
      <c r="N627" s="81">
        <f t="shared" si="266"/>
        <v>99.999851265482846</v>
      </c>
      <c r="O627" s="362"/>
    </row>
    <row r="628" spans="1:15" s="117" customFormat="1" ht="11.1" customHeight="1" outlineLevel="1" x14ac:dyDescent="0.2">
      <c r="A628" s="119"/>
      <c r="B628" s="111"/>
      <c r="C628" s="112"/>
      <c r="D628" s="113"/>
      <c r="E628" s="201"/>
      <c r="F628" s="118" t="s">
        <v>45</v>
      </c>
      <c r="G628" s="261">
        <v>1084119</v>
      </c>
      <c r="H628" s="144">
        <f>ROUNDUP(29119+M628,0)</f>
        <v>1083267</v>
      </c>
      <c r="I628" s="81">
        <f t="shared" si="264"/>
        <v>99.921410841429775</v>
      </c>
      <c r="J628" s="261">
        <v>120265</v>
      </c>
      <c r="K628" s="144">
        <f t="shared" si="265"/>
        <v>934735</v>
      </c>
      <c r="L628" s="145">
        <v>1055000</v>
      </c>
      <c r="M628" s="116">
        <v>1054147.27</v>
      </c>
      <c r="N628" s="81">
        <f t="shared" si="266"/>
        <v>99.919172511848345</v>
      </c>
      <c r="O628" s="362"/>
    </row>
    <row r="629" spans="1:15" s="117" customFormat="1" ht="11.1" customHeight="1" outlineLevel="1" x14ac:dyDescent="0.2">
      <c r="A629" s="119"/>
      <c r="B629" s="111"/>
      <c r="C629" s="112"/>
      <c r="D629" s="113"/>
      <c r="E629" s="201"/>
      <c r="F629" s="118" t="s">
        <v>46</v>
      </c>
      <c r="G629" s="144">
        <v>210179</v>
      </c>
      <c r="H629" s="144">
        <f>ROUNDUP(37039+M629,0)</f>
        <v>210078</v>
      </c>
      <c r="I629" s="81">
        <f t="shared" si="264"/>
        <v>99.951945722455633</v>
      </c>
      <c r="J629" s="144">
        <v>0</v>
      </c>
      <c r="K629" s="144">
        <f t="shared" si="265"/>
        <v>173140</v>
      </c>
      <c r="L629" s="145">
        <v>173140</v>
      </c>
      <c r="M629" s="116">
        <v>173039</v>
      </c>
      <c r="N629" s="81">
        <f t="shared" si="266"/>
        <v>99.941665704054529</v>
      </c>
      <c r="O629" s="362"/>
    </row>
    <row r="630" spans="1:15" s="117" customFormat="1" ht="3.95" customHeight="1" outlineLevel="1" x14ac:dyDescent="0.2">
      <c r="A630" s="119"/>
      <c r="B630" s="111"/>
      <c r="C630" s="112"/>
      <c r="D630" s="312"/>
      <c r="E630" s="201"/>
      <c r="F630" s="118"/>
      <c r="G630" s="144"/>
      <c r="H630" s="144"/>
      <c r="I630" s="81"/>
      <c r="J630" s="144"/>
      <c r="K630" s="144"/>
      <c r="L630" s="145"/>
      <c r="M630" s="116"/>
      <c r="N630" s="81"/>
      <c r="O630" s="362"/>
    </row>
    <row r="631" spans="1:15" s="117" customFormat="1" ht="3.95" customHeight="1" outlineLevel="1" x14ac:dyDescent="0.2">
      <c r="A631" s="119"/>
      <c r="B631" s="111"/>
      <c r="C631" s="112"/>
      <c r="D631" s="113"/>
      <c r="E631" s="113"/>
      <c r="F631" s="118"/>
      <c r="G631" s="144"/>
      <c r="H631" s="144"/>
      <c r="I631" s="81"/>
      <c r="J631" s="144"/>
      <c r="K631" s="144"/>
      <c r="L631" s="145"/>
      <c r="M631" s="116"/>
      <c r="N631" s="81"/>
      <c r="O631" s="362"/>
    </row>
    <row r="632" spans="1:15" s="117" customFormat="1" ht="11.1" customHeight="1" outlineLevel="1" x14ac:dyDescent="0.2">
      <c r="A632" s="119"/>
      <c r="B632" s="111"/>
      <c r="C632" s="112"/>
      <c r="D632" s="113"/>
      <c r="E632" s="381" t="s">
        <v>53</v>
      </c>
      <c r="F632" s="114" t="s">
        <v>15</v>
      </c>
      <c r="G632" s="144">
        <v>739745</v>
      </c>
      <c r="H632" s="144">
        <f>ROUNDUP(739745+M632,0)</f>
        <v>739745</v>
      </c>
      <c r="I632" s="81">
        <f t="shared" ref="I632:I637" si="267">IF(G632&gt;0,H632/G632*100,"-")</f>
        <v>100</v>
      </c>
      <c r="J632" s="144">
        <v>0</v>
      </c>
      <c r="K632" s="144">
        <f t="shared" ref="K632:K637" si="268">L632-J632</f>
        <v>0</v>
      </c>
      <c r="L632" s="145">
        <v>0</v>
      </c>
      <c r="M632" s="116">
        <v>0</v>
      </c>
      <c r="N632" s="81" t="str">
        <f t="shared" ref="N632:N637" si="269">IF(L632&gt;0,M632/L632*100,"-")</f>
        <v>-</v>
      </c>
      <c r="O632" s="362"/>
    </row>
    <row r="633" spans="1:15" s="117" customFormat="1" ht="11.1" customHeight="1" outlineLevel="1" x14ac:dyDescent="0.2">
      <c r="A633" s="119"/>
      <c r="B633" s="111"/>
      <c r="C633" s="112"/>
      <c r="D633" s="113"/>
      <c r="E633" s="381"/>
      <c r="F633" s="114" t="s">
        <v>7</v>
      </c>
      <c r="G633" s="144">
        <v>432272</v>
      </c>
      <c r="H633" s="144">
        <f>ROUNDUP(432272+M633,0)</f>
        <v>432272</v>
      </c>
      <c r="I633" s="81">
        <f t="shared" si="267"/>
        <v>100</v>
      </c>
      <c r="J633" s="144">
        <v>0</v>
      </c>
      <c r="K633" s="144">
        <f t="shared" si="268"/>
        <v>0</v>
      </c>
      <c r="L633" s="145">
        <v>0</v>
      </c>
      <c r="M633" s="116">
        <v>0</v>
      </c>
      <c r="N633" s="81" t="str">
        <f t="shared" si="269"/>
        <v>-</v>
      </c>
      <c r="O633" s="362"/>
    </row>
    <row r="634" spans="1:15" s="117" customFormat="1" ht="11.1" customHeight="1" outlineLevel="1" x14ac:dyDescent="0.2">
      <c r="A634" s="119"/>
      <c r="B634" s="111"/>
      <c r="C634" s="112"/>
      <c r="D634" s="113"/>
      <c r="E634" s="381"/>
      <c r="F634" s="114" t="s">
        <v>8</v>
      </c>
      <c r="G634" s="144">
        <v>500000</v>
      </c>
      <c r="H634" s="144">
        <f>ROUNDUP(500000+M634,0)</f>
        <v>500000</v>
      </c>
      <c r="I634" s="81">
        <f t="shared" si="267"/>
        <v>100</v>
      </c>
      <c r="J634" s="144">
        <v>0</v>
      </c>
      <c r="K634" s="144">
        <f t="shared" si="268"/>
        <v>0</v>
      </c>
      <c r="L634" s="145">
        <v>0</v>
      </c>
      <c r="M634" s="116">
        <v>0</v>
      </c>
      <c r="N634" s="81" t="str">
        <f t="shared" si="269"/>
        <v>-</v>
      </c>
      <c r="O634" s="362"/>
    </row>
    <row r="635" spans="1:15" s="117" customFormat="1" ht="11.1" customHeight="1" outlineLevel="1" x14ac:dyDescent="0.2">
      <c r="A635" s="119"/>
      <c r="B635" s="111"/>
      <c r="C635" s="112"/>
      <c r="D635" s="113"/>
      <c r="E635" s="201"/>
      <c r="F635" s="114" t="s">
        <v>22</v>
      </c>
      <c r="G635" s="144">
        <v>76283</v>
      </c>
      <c r="H635" s="144">
        <f>ROUNDUP(76283+M635,0)</f>
        <v>76283</v>
      </c>
      <c r="I635" s="81">
        <f t="shared" si="267"/>
        <v>100</v>
      </c>
      <c r="J635" s="144">
        <v>0</v>
      </c>
      <c r="K635" s="144">
        <f t="shared" si="268"/>
        <v>0</v>
      </c>
      <c r="L635" s="145">
        <v>0</v>
      </c>
      <c r="M635" s="116">
        <v>0</v>
      </c>
      <c r="N635" s="81" t="str">
        <f t="shared" si="269"/>
        <v>-</v>
      </c>
      <c r="O635" s="362"/>
    </row>
    <row r="636" spans="1:15" s="117" customFormat="1" ht="11.1" customHeight="1" outlineLevel="1" x14ac:dyDescent="0.2">
      <c r="A636" s="119"/>
      <c r="B636" s="111"/>
      <c r="C636" s="112"/>
      <c r="D636" s="113"/>
      <c r="E636" s="201"/>
      <c r="F636" s="118" t="s">
        <v>45</v>
      </c>
      <c r="G636" s="144">
        <v>0</v>
      </c>
      <c r="H636" s="144">
        <f>ROUNDUP(0+M636,0)</f>
        <v>0</v>
      </c>
      <c r="I636" s="81" t="str">
        <f t="shared" si="267"/>
        <v>-</v>
      </c>
      <c r="J636" s="144">
        <v>0</v>
      </c>
      <c r="K636" s="144">
        <f t="shared" si="268"/>
        <v>0</v>
      </c>
      <c r="L636" s="145">
        <v>0</v>
      </c>
      <c r="M636" s="116">
        <v>0</v>
      </c>
      <c r="N636" s="81" t="str">
        <f t="shared" si="269"/>
        <v>-</v>
      </c>
      <c r="O636" s="362"/>
    </row>
    <row r="637" spans="1:15" s="117" customFormat="1" ht="11.1" customHeight="1" outlineLevel="1" x14ac:dyDescent="0.2">
      <c r="A637" s="119"/>
      <c r="B637" s="111"/>
      <c r="C637" s="112"/>
      <c r="D637" s="113"/>
      <c r="E637" s="201"/>
      <c r="F637" s="118" t="s">
        <v>46</v>
      </c>
      <c r="G637" s="144">
        <v>0</v>
      </c>
      <c r="H637" s="144">
        <f>ROUNDUP(0+M637,0)</f>
        <v>0</v>
      </c>
      <c r="I637" s="81" t="str">
        <f t="shared" si="267"/>
        <v>-</v>
      </c>
      <c r="J637" s="144">
        <v>0</v>
      </c>
      <c r="K637" s="144">
        <f t="shared" si="268"/>
        <v>0</v>
      </c>
      <c r="L637" s="145">
        <v>0</v>
      </c>
      <c r="M637" s="116">
        <v>0</v>
      </c>
      <c r="N637" s="81" t="str">
        <f t="shared" si="269"/>
        <v>-</v>
      </c>
      <c r="O637" s="362"/>
    </row>
    <row r="638" spans="1:15" s="95" customFormat="1" ht="3.95" customHeight="1" outlineLevel="1" x14ac:dyDescent="0.2">
      <c r="A638" s="120"/>
      <c r="B638" s="85"/>
      <c r="C638" s="86"/>
      <c r="D638" s="84"/>
      <c r="E638" s="84"/>
      <c r="F638" s="85"/>
      <c r="G638" s="142"/>
      <c r="H638" s="142"/>
      <c r="I638" s="88"/>
      <c r="J638" s="142"/>
      <c r="K638" s="142"/>
      <c r="L638" s="143"/>
      <c r="M638" s="87"/>
      <c r="N638" s="88"/>
      <c r="O638" s="363"/>
    </row>
    <row r="639" spans="1:15" ht="3.95" customHeight="1" x14ac:dyDescent="0.2">
      <c r="A639" s="59"/>
      <c r="B639" s="60"/>
      <c r="C639" s="61"/>
      <c r="D639" s="62"/>
      <c r="E639" s="62"/>
      <c r="F639" s="59"/>
      <c r="G639" s="133"/>
      <c r="H639" s="133"/>
      <c r="I639" s="59"/>
      <c r="J639" s="133"/>
      <c r="K639" s="133"/>
      <c r="L639" s="133"/>
      <c r="M639" s="63"/>
      <c r="N639" s="64"/>
      <c r="O639" s="346"/>
    </row>
    <row r="640" spans="1:15" ht="11.45" customHeight="1" x14ac:dyDescent="0.2">
      <c r="A640" s="28" t="s">
        <v>61</v>
      </c>
      <c r="B640" s="376" t="s">
        <v>49</v>
      </c>
      <c r="C640" s="377"/>
      <c r="D640" s="29"/>
      <c r="E640" s="29"/>
      <c r="F640" s="30"/>
      <c r="G640" s="134">
        <f>SUM(G641:G646)</f>
        <v>76272273</v>
      </c>
      <c r="H640" s="134">
        <f>SUM(H641:H646)</f>
        <v>71744858</v>
      </c>
      <c r="I640" s="32">
        <f>IF(G640&gt;0,H640/G640*100,"-")</f>
        <v>94.064140451144013</v>
      </c>
      <c r="J640" s="134">
        <f>SUM(J641:J646)</f>
        <v>8022745</v>
      </c>
      <c r="K640" s="134">
        <f>SUM(K641:K646)</f>
        <v>7904642</v>
      </c>
      <c r="L640" s="134">
        <f>SUM(L641:L646)</f>
        <v>15927387</v>
      </c>
      <c r="M640" s="31">
        <f>SUM(M641:M646)</f>
        <v>11399970.49</v>
      </c>
      <c r="N640" s="32">
        <f t="shared" ref="N640:N646" si="270">IF(L640&gt;0,M640/L640*100,"-")</f>
        <v>71.57464366251665</v>
      </c>
      <c r="O640" s="347"/>
    </row>
    <row r="641" spans="1:15" ht="11.45" customHeight="1" x14ac:dyDescent="0.2">
      <c r="A641" s="30"/>
      <c r="B641" s="33"/>
      <c r="C641" s="34"/>
      <c r="D641" s="29"/>
      <c r="E641" s="29"/>
      <c r="F641" s="35" t="s">
        <v>15</v>
      </c>
      <c r="G641" s="135">
        <f t="shared" ref="G641:H646" si="271">G650</f>
        <v>5436161</v>
      </c>
      <c r="H641" s="135">
        <f t="shared" si="271"/>
        <v>4088816</v>
      </c>
      <c r="I641" s="37">
        <f t="shared" ref="I641:I646" si="272">IF(G641&gt;0,H641/G641*100,"-")</f>
        <v>75.21513803583079</v>
      </c>
      <c r="J641" s="135">
        <f t="shared" ref="J641:M646" si="273">J650</f>
        <v>934077</v>
      </c>
      <c r="K641" s="135">
        <f t="shared" si="273"/>
        <v>1572020</v>
      </c>
      <c r="L641" s="135">
        <f t="shared" si="273"/>
        <v>2506097</v>
      </c>
      <c r="M641" s="36">
        <f t="shared" si="273"/>
        <v>1158751.08</v>
      </c>
      <c r="N641" s="37">
        <f t="shared" si="270"/>
        <v>46.237279722213472</v>
      </c>
      <c r="O641" s="347"/>
    </row>
    <row r="642" spans="1:15" ht="11.45" customHeight="1" x14ac:dyDescent="0.2">
      <c r="A642" s="30"/>
      <c r="B642" s="33"/>
      <c r="C642" s="34"/>
      <c r="D642" s="29"/>
      <c r="E642" s="29"/>
      <c r="F642" s="35" t="s">
        <v>7</v>
      </c>
      <c r="G642" s="135">
        <f t="shared" si="271"/>
        <v>57675560</v>
      </c>
      <c r="H642" s="135">
        <f t="shared" si="271"/>
        <v>54495490</v>
      </c>
      <c r="I642" s="37">
        <f t="shared" si="272"/>
        <v>94.486278069948511</v>
      </c>
      <c r="J642" s="135">
        <f t="shared" si="273"/>
        <v>4931132</v>
      </c>
      <c r="K642" s="135">
        <f t="shared" si="273"/>
        <v>6028512</v>
      </c>
      <c r="L642" s="135">
        <f t="shared" si="273"/>
        <v>10959644</v>
      </c>
      <c r="M642" s="36">
        <f t="shared" si="273"/>
        <v>7779573.4100000001</v>
      </c>
      <c r="N642" s="37">
        <f t="shared" si="270"/>
        <v>70.983814893987429</v>
      </c>
      <c r="O642" s="347"/>
    </row>
    <row r="643" spans="1:15" ht="11.45" customHeight="1" x14ac:dyDescent="0.2">
      <c r="A643" s="30"/>
      <c r="B643" s="33"/>
      <c r="C643" s="34"/>
      <c r="D643" s="29"/>
      <c r="E643" s="29"/>
      <c r="F643" s="35" t="s">
        <v>8</v>
      </c>
      <c r="G643" s="135">
        <f t="shared" si="271"/>
        <v>12362169</v>
      </c>
      <c r="H643" s="135">
        <f t="shared" si="271"/>
        <v>12362169</v>
      </c>
      <c r="I643" s="37">
        <f t="shared" si="272"/>
        <v>100</v>
      </c>
      <c r="J643" s="135">
        <f t="shared" si="273"/>
        <v>2157536</v>
      </c>
      <c r="K643" s="135">
        <f t="shared" si="273"/>
        <v>0</v>
      </c>
      <c r="L643" s="135">
        <f t="shared" si="273"/>
        <v>2157536</v>
      </c>
      <c r="M643" s="36">
        <f t="shared" si="273"/>
        <v>2157536</v>
      </c>
      <c r="N643" s="37">
        <f t="shared" si="270"/>
        <v>100</v>
      </c>
      <c r="O643" s="347"/>
    </row>
    <row r="644" spans="1:15" ht="11.45" customHeight="1" x14ac:dyDescent="0.2">
      <c r="A644" s="30"/>
      <c r="B644" s="33"/>
      <c r="C644" s="34"/>
      <c r="D644" s="29"/>
      <c r="E644" s="29"/>
      <c r="F644" s="35" t="s">
        <v>22</v>
      </c>
      <c r="G644" s="135">
        <f t="shared" si="271"/>
        <v>494273</v>
      </c>
      <c r="H644" s="135">
        <f t="shared" si="271"/>
        <v>494273</v>
      </c>
      <c r="I644" s="37">
        <f t="shared" si="272"/>
        <v>100</v>
      </c>
      <c r="J644" s="135">
        <f t="shared" si="273"/>
        <v>0</v>
      </c>
      <c r="K644" s="135">
        <f t="shared" si="273"/>
        <v>0</v>
      </c>
      <c r="L644" s="135">
        <f t="shared" si="273"/>
        <v>0</v>
      </c>
      <c r="M644" s="36">
        <f t="shared" si="273"/>
        <v>0</v>
      </c>
      <c r="N644" s="37" t="str">
        <f t="shared" si="270"/>
        <v>-</v>
      </c>
      <c r="O644" s="347"/>
    </row>
    <row r="645" spans="1:15" ht="11.45" customHeight="1" x14ac:dyDescent="0.2">
      <c r="A645" s="30"/>
      <c r="B645" s="33"/>
      <c r="C645" s="34"/>
      <c r="D645" s="29"/>
      <c r="E645" s="29"/>
      <c r="F645" s="35" t="s">
        <v>45</v>
      </c>
      <c r="G645" s="135">
        <f t="shared" si="271"/>
        <v>0</v>
      </c>
      <c r="H645" s="135">
        <f t="shared" si="271"/>
        <v>0</v>
      </c>
      <c r="I645" s="37" t="str">
        <f t="shared" si="272"/>
        <v>-</v>
      </c>
      <c r="J645" s="135">
        <f t="shared" si="273"/>
        <v>0</v>
      </c>
      <c r="K645" s="135">
        <f t="shared" si="273"/>
        <v>0</v>
      </c>
      <c r="L645" s="135">
        <f t="shared" si="273"/>
        <v>0</v>
      </c>
      <c r="M645" s="36">
        <f t="shared" si="273"/>
        <v>0</v>
      </c>
      <c r="N645" s="37" t="str">
        <f t="shared" si="270"/>
        <v>-</v>
      </c>
      <c r="O645" s="347"/>
    </row>
    <row r="646" spans="1:15" ht="11.45" customHeight="1" x14ac:dyDescent="0.2">
      <c r="A646" s="30"/>
      <c r="B646" s="33"/>
      <c r="C646" s="34"/>
      <c r="D646" s="29"/>
      <c r="E646" s="29"/>
      <c r="F646" s="35" t="s">
        <v>46</v>
      </c>
      <c r="G646" s="135">
        <f t="shared" si="271"/>
        <v>304110</v>
      </c>
      <c r="H646" s="135">
        <f t="shared" si="271"/>
        <v>304110</v>
      </c>
      <c r="I646" s="37">
        <f t="shared" si="272"/>
        <v>100</v>
      </c>
      <c r="J646" s="135">
        <f t="shared" si="273"/>
        <v>0</v>
      </c>
      <c r="K646" s="135">
        <f t="shared" si="273"/>
        <v>304110</v>
      </c>
      <c r="L646" s="135">
        <f t="shared" si="273"/>
        <v>304110</v>
      </c>
      <c r="M646" s="36">
        <f t="shared" si="273"/>
        <v>304110</v>
      </c>
      <c r="N646" s="37">
        <f t="shared" si="270"/>
        <v>100</v>
      </c>
      <c r="O646" s="347"/>
    </row>
    <row r="647" spans="1:15" ht="3.2" customHeight="1" x14ac:dyDescent="0.2">
      <c r="A647" s="65"/>
      <c r="B647" s="66"/>
      <c r="C647" s="67"/>
      <c r="D647" s="68"/>
      <c r="E647" s="68"/>
      <c r="F647" s="65"/>
      <c r="G647" s="136"/>
      <c r="H647" s="136"/>
      <c r="I647" s="70"/>
      <c r="J647" s="136"/>
      <c r="K647" s="136"/>
      <c r="L647" s="136"/>
      <c r="M647" s="69"/>
      <c r="N647" s="70"/>
      <c r="O647" s="348"/>
    </row>
    <row r="648" spans="1:15" s="95" customFormat="1" ht="3.2" customHeight="1" outlineLevel="1" x14ac:dyDescent="0.2">
      <c r="A648" s="154"/>
      <c r="B648" s="72"/>
      <c r="C648" s="73"/>
      <c r="D648" s="71"/>
      <c r="E648" s="71"/>
      <c r="F648" s="72"/>
      <c r="G648" s="137"/>
      <c r="H648" s="137"/>
      <c r="I648" s="75"/>
      <c r="J648" s="137"/>
      <c r="K648" s="137"/>
      <c r="L648" s="138"/>
      <c r="M648" s="74"/>
      <c r="N648" s="75"/>
      <c r="O648" s="364" t="s">
        <v>522</v>
      </c>
    </row>
    <row r="649" spans="1:15" s="95" customFormat="1" ht="11.1" customHeight="1" outlineLevel="1" x14ac:dyDescent="0.2">
      <c r="A649" s="369" t="s">
        <v>65</v>
      </c>
      <c r="B649" s="76" t="s">
        <v>9</v>
      </c>
      <c r="C649" s="77" t="s">
        <v>109</v>
      </c>
      <c r="D649" s="360" t="s">
        <v>140</v>
      </c>
      <c r="E649" s="360" t="s">
        <v>53</v>
      </c>
      <c r="F649" s="78" t="s">
        <v>28</v>
      </c>
      <c r="G649" s="260">
        <f>SUM(G650:G655)</f>
        <v>76272273</v>
      </c>
      <c r="H649" s="260">
        <f>SUM(H650:H655)</f>
        <v>71744858</v>
      </c>
      <c r="I649" s="39">
        <f t="shared" ref="I649:I655" si="274">IF(G649&gt;0,H649/G649*100,"-")</f>
        <v>94.064140451144013</v>
      </c>
      <c r="J649" s="139">
        <f>SUM(J650:J655)</f>
        <v>8022745</v>
      </c>
      <c r="K649" s="139">
        <f>SUM(K650:K655)</f>
        <v>7904642</v>
      </c>
      <c r="L649" s="139">
        <f>SUM(L650:L655)</f>
        <v>15927387</v>
      </c>
      <c r="M649" s="38">
        <f>SUM(M650:M655)</f>
        <v>11399970.49</v>
      </c>
      <c r="N649" s="39">
        <f t="shared" ref="N649:N655" si="275">IF(L649&gt;0,M649/L649*100,"-")</f>
        <v>71.57464366251665</v>
      </c>
      <c r="O649" s="362"/>
    </row>
    <row r="650" spans="1:15" s="95" customFormat="1" ht="11.1" customHeight="1" outlineLevel="1" x14ac:dyDescent="0.2">
      <c r="A650" s="369"/>
      <c r="B650" s="76" t="s">
        <v>10</v>
      </c>
      <c r="C650" s="77" t="s">
        <v>153</v>
      </c>
      <c r="D650" s="360"/>
      <c r="E650" s="360"/>
      <c r="F650" s="79" t="s">
        <v>15</v>
      </c>
      <c r="G650" s="140">
        <v>5436161</v>
      </c>
      <c r="H650" s="140">
        <f>ROUNDUP(2930064+M650,0)</f>
        <v>4088816</v>
      </c>
      <c r="I650" s="81">
        <f t="shared" si="274"/>
        <v>75.21513803583079</v>
      </c>
      <c r="J650" s="140">
        <v>934077</v>
      </c>
      <c r="K650" s="141">
        <f t="shared" ref="K650:K655" si="276">L650-J650</f>
        <v>1572020</v>
      </c>
      <c r="L650" s="140">
        <v>2506097</v>
      </c>
      <c r="M650" s="80">
        <v>1158751.08</v>
      </c>
      <c r="N650" s="81">
        <f t="shared" si="275"/>
        <v>46.237279722213472</v>
      </c>
      <c r="O650" s="362"/>
    </row>
    <row r="651" spans="1:15" s="95" customFormat="1" ht="11.1" customHeight="1" outlineLevel="1" x14ac:dyDescent="0.2">
      <c r="A651" s="369"/>
      <c r="B651" s="76" t="s">
        <v>11</v>
      </c>
      <c r="C651" s="82" t="s">
        <v>154</v>
      </c>
      <c r="D651" s="360"/>
      <c r="E651" s="360"/>
      <c r="F651" s="79" t="s">
        <v>7</v>
      </c>
      <c r="G651" s="140">
        <v>57675560</v>
      </c>
      <c r="H651" s="140">
        <f>ROUNDUP(46715916+M651,0)</f>
        <v>54495490</v>
      </c>
      <c r="I651" s="81">
        <f t="shared" si="274"/>
        <v>94.486278069948511</v>
      </c>
      <c r="J651" s="140">
        <v>4931132</v>
      </c>
      <c r="K651" s="141">
        <f t="shared" si="276"/>
        <v>6028512</v>
      </c>
      <c r="L651" s="140">
        <v>10959644</v>
      </c>
      <c r="M651" s="83">
        <v>7779573.4100000001</v>
      </c>
      <c r="N651" s="81">
        <f t="shared" si="275"/>
        <v>70.983814893987429</v>
      </c>
      <c r="O651" s="362"/>
    </row>
    <row r="652" spans="1:15" s="95" customFormat="1" ht="11.1" customHeight="1" outlineLevel="1" x14ac:dyDescent="0.2">
      <c r="A652" s="119"/>
      <c r="B652" s="76" t="s">
        <v>12</v>
      </c>
      <c r="C652" s="82" t="s">
        <v>223</v>
      </c>
      <c r="D652" s="110"/>
      <c r="E652" s="110"/>
      <c r="F652" s="79" t="s">
        <v>8</v>
      </c>
      <c r="G652" s="140">
        <v>12362169</v>
      </c>
      <c r="H652" s="140">
        <f>ROUNDUP(10204633+M652,0)</f>
        <v>12362169</v>
      </c>
      <c r="I652" s="81">
        <f t="shared" si="274"/>
        <v>100</v>
      </c>
      <c r="J652" s="140">
        <v>2157536</v>
      </c>
      <c r="K652" s="141">
        <f t="shared" si="276"/>
        <v>0</v>
      </c>
      <c r="L652" s="140">
        <v>2157536</v>
      </c>
      <c r="M652" s="80">
        <v>2157536</v>
      </c>
      <c r="N652" s="81">
        <f t="shared" si="275"/>
        <v>100</v>
      </c>
      <c r="O652" s="362"/>
    </row>
    <row r="653" spans="1:15" s="95" customFormat="1" ht="11.1" customHeight="1" outlineLevel="1" x14ac:dyDescent="0.2">
      <c r="A653" s="119"/>
      <c r="B653" s="76" t="s">
        <v>23</v>
      </c>
      <c r="C653" s="82" t="s">
        <v>155</v>
      </c>
      <c r="D653" s="110"/>
      <c r="E653" s="110"/>
      <c r="F653" s="79" t="s">
        <v>22</v>
      </c>
      <c r="G653" s="140">
        <v>494273</v>
      </c>
      <c r="H653" s="140">
        <f>ROUNDUP(494273+M653,0)</f>
        <v>494273</v>
      </c>
      <c r="I653" s="81">
        <f t="shared" si="274"/>
        <v>100</v>
      </c>
      <c r="J653" s="140">
        <v>0</v>
      </c>
      <c r="K653" s="141">
        <f t="shared" si="276"/>
        <v>0</v>
      </c>
      <c r="L653" s="140">
        <v>0</v>
      </c>
      <c r="M653" s="83">
        <v>0</v>
      </c>
      <c r="N653" s="81" t="str">
        <f t="shared" si="275"/>
        <v>-</v>
      </c>
      <c r="O653" s="362"/>
    </row>
    <row r="654" spans="1:15" s="95" customFormat="1" ht="11.1" customHeight="1" outlineLevel="1" x14ac:dyDescent="0.2">
      <c r="A654" s="119"/>
      <c r="B654" s="76"/>
      <c r="C654" s="82" t="s">
        <v>326</v>
      </c>
      <c r="D654" s="110"/>
      <c r="E654" s="110"/>
      <c r="F654" s="107" t="s">
        <v>45</v>
      </c>
      <c r="G654" s="141">
        <v>0</v>
      </c>
      <c r="H654" s="140">
        <f>ROUNDUP(0+M654,0)</f>
        <v>0</v>
      </c>
      <c r="I654" s="81" t="str">
        <f t="shared" si="274"/>
        <v>-</v>
      </c>
      <c r="J654" s="141">
        <v>0</v>
      </c>
      <c r="K654" s="141">
        <f t="shared" si="276"/>
        <v>0</v>
      </c>
      <c r="L654" s="140">
        <v>0</v>
      </c>
      <c r="M654" s="89">
        <v>0</v>
      </c>
      <c r="N654" s="81" t="str">
        <f t="shared" si="275"/>
        <v>-</v>
      </c>
      <c r="O654" s="362"/>
    </row>
    <row r="655" spans="1:15" s="95" customFormat="1" ht="11.1" customHeight="1" outlineLevel="1" x14ac:dyDescent="0.2">
      <c r="A655" s="119"/>
      <c r="B655" s="76"/>
      <c r="C655" s="82"/>
      <c r="D655" s="110"/>
      <c r="E655" s="110"/>
      <c r="F655" s="107" t="s">
        <v>46</v>
      </c>
      <c r="G655" s="141">
        <v>304110</v>
      </c>
      <c r="H655" s="140">
        <f>ROUNDUP(0+M655,0)</f>
        <v>304110</v>
      </c>
      <c r="I655" s="81">
        <f t="shared" si="274"/>
        <v>100</v>
      </c>
      <c r="J655" s="141">
        <v>0</v>
      </c>
      <c r="K655" s="141">
        <f t="shared" si="276"/>
        <v>304110</v>
      </c>
      <c r="L655" s="140">
        <v>304110</v>
      </c>
      <c r="M655" s="89">
        <v>304110</v>
      </c>
      <c r="N655" s="81">
        <f t="shared" si="275"/>
        <v>100</v>
      </c>
      <c r="O655" s="362"/>
    </row>
    <row r="656" spans="1:15" s="95" customFormat="1" ht="41.25" customHeight="1" outlineLevel="1" x14ac:dyDescent="0.2">
      <c r="A656" s="119"/>
      <c r="B656" s="76"/>
      <c r="C656" s="82"/>
      <c r="D656" s="110"/>
      <c r="E656" s="110"/>
      <c r="F656" s="107"/>
      <c r="G656" s="141"/>
      <c r="H656" s="141"/>
      <c r="I656" s="81"/>
      <c r="J656" s="141"/>
      <c r="K656" s="141"/>
      <c r="L656" s="140"/>
      <c r="M656" s="89"/>
      <c r="N656" s="81"/>
      <c r="O656" s="362"/>
    </row>
    <row r="657" spans="1:15" s="95" customFormat="1" ht="3.2" customHeight="1" outlineLevel="1" x14ac:dyDescent="0.2">
      <c r="A657" s="120"/>
      <c r="B657" s="85"/>
      <c r="C657" s="86"/>
      <c r="D657" s="84"/>
      <c r="E657" s="84"/>
      <c r="F657" s="85"/>
      <c r="G657" s="142"/>
      <c r="H657" s="142"/>
      <c r="I657" s="88"/>
      <c r="J657" s="142"/>
      <c r="K657" s="142"/>
      <c r="L657" s="143"/>
      <c r="M657" s="87"/>
      <c r="N657" s="88"/>
      <c r="O657" s="363"/>
    </row>
    <row r="658" spans="1:15" ht="3.2" customHeight="1" x14ac:dyDescent="0.2">
      <c r="A658" s="59"/>
      <c r="B658" s="60"/>
      <c r="C658" s="61"/>
      <c r="D658" s="62"/>
      <c r="E658" s="62"/>
      <c r="F658" s="59"/>
      <c r="G658" s="133"/>
      <c r="H658" s="133"/>
      <c r="I658" s="64"/>
      <c r="J658" s="133"/>
      <c r="K658" s="133"/>
      <c r="L658" s="133"/>
      <c r="M658" s="63"/>
      <c r="N658" s="64"/>
      <c r="O658" s="346"/>
    </row>
    <row r="659" spans="1:15" ht="11.45" customHeight="1" x14ac:dyDescent="0.2">
      <c r="A659" s="28" t="s">
        <v>65</v>
      </c>
      <c r="B659" s="380" t="s">
        <v>156</v>
      </c>
      <c r="C659" s="377"/>
      <c r="D659" s="29"/>
      <c r="E659" s="29"/>
      <c r="F659" s="30"/>
      <c r="G659" s="134">
        <f>SUM(G660:G665)</f>
        <v>672090011</v>
      </c>
      <c r="H659" s="134">
        <f>SUM(H660:H665)</f>
        <v>314863742</v>
      </c>
      <c r="I659" s="32">
        <f>IF(G659&gt;0,H659/G659*100,"-")</f>
        <v>46.84844839927252</v>
      </c>
      <c r="J659" s="134">
        <f>SUM(J660:J665)</f>
        <v>314696871</v>
      </c>
      <c r="K659" s="134">
        <f>SUM(K660:K665)</f>
        <v>-59940033</v>
      </c>
      <c r="L659" s="134">
        <f>SUM(L660:L665)</f>
        <v>254756838</v>
      </c>
      <c r="M659" s="31">
        <f>SUM(M660:M665)</f>
        <v>150339425.09000003</v>
      </c>
      <c r="N659" s="32">
        <f t="shared" ref="N659:N665" si="277">IF(L659&gt;0,M659/L659*100,"-")</f>
        <v>59.012910613217784</v>
      </c>
      <c r="O659" s="347"/>
    </row>
    <row r="660" spans="1:15" ht="11.45" customHeight="1" x14ac:dyDescent="0.2">
      <c r="A660" s="30"/>
      <c r="B660" s="33"/>
      <c r="C660" s="34"/>
      <c r="D660" s="29"/>
      <c r="E660" s="29"/>
      <c r="F660" s="35" t="s">
        <v>15</v>
      </c>
      <c r="G660" s="135">
        <f t="shared" ref="G660:H665" si="278">G669+G678+G687+G696+G706+G716+G726+G736+G745+G755+G765+G776+G786+G798+G809+G820</f>
        <v>84341837</v>
      </c>
      <c r="H660" s="135">
        <f t="shared" si="278"/>
        <v>23332765</v>
      </c>
      <c r="I660" s="37">
        <f t="shared" ref="I660:I665" si="279">IF(G660&gt;0,H660/G660*100,"-")</f>
        <v>27.664520752612965</v>
      </c>
      <c r="J660" s="135">
        <f>J669+J678+J687+J696+J706+J716+J726+J736+J745+J755+J765+J776+J786+J798+J809+J820</f>
        <v>58613705</v>
      </c>
      <c r="K660" s="135">
        <f>K669+K678+K687+K696+K706+K716+K726+K736+K745+K755+K765+K776+K786+K798+K809+K820</f>
        <v>-17197917</v>
      </c>
      <c r="L660" s="135">
        <f>L669+L678+L687+L696+L706+L716+L726+L736+L745+L755+L765+L776+L786+L798+L809+L820</f>
        <v>41415788</v>
      </c>
      <c r="M660" s="36">
        <f>M669+M678+M687+M696+M706+M716+M726+M736+M745+M755+M765+M776+M786+M798+M809+M820</f>
        <v>526670.29</v>
      </c>
      <c r="N660" s="37">
        <f t="shared" si="277"/>
        <v>1.2716655059176951</v>
      </c>
      <c r="O660" s="347"/>
    </row>
    <row r="661" spans="1:15" ht="11.45" customHeight="1" x14ac:dyDescent="0.2">
      <c r="A661" s="30"/>
      <c r="B661" s="33"/>
      <c r="C661" s="34"/>
      <c r="D661" s="29"/>
      <c r="E661" s="29"/>
      <c r="F661" s="35" t="s">
        <v>7</v>
      </c>
      <c r="G661" s="135">
        <f t="shared" si="278"/>
        <v>400749399</v>
      </c>
      <c r="H661" s="135">
        <f t="shared" si="278"/>
        <v>167278641</v>
      </c>
      <c r="I661" s="37">
        <f t="shared" si="279"/>
        <v>41.741457733290325</v>
      </c>
      <c r="J661" s="135">
        <f t="shared" ref="J661:M661" si="280">J670+J679+J688+J697+J707+J717+J727+J737+J746+J756+J766+J777+J787+J799+J810+J821</f>
        <v>183856756</v>
      </c>
      <c r="K661" s="135">
        <f t="shared" si="280"/>
        <v>-58235749</v>
      </c>
      <c r="L661" s="135">
        <f t="shared" si="280"/>
        <v>125621007</v>
      </c>
      <c r="M661" s="36">
        <f t="shared" si="280"/>
        <v>80379549.25000003</v>
      </c>
      <c r="N661" s="37">
        <f t="shared" si="277"/>
        <v>63.985754588004561</v>
      </c>
      <c r="O661" s="347"/>
    </row>
    <row r="662" spans="1:15" ht="11.45" customHeight="1" x14ac:dyDescent="0.2">
      <c r="A662" s="30"/>
      <c r="B662" s="33"/>
      <c r="C662" s="34"/>
      <c r="D662" s="29"/>
      <c r="E662" s="29"/>
      <c r="F662" s="35" t="s">
        <v>8</v>
      </c>
      <c r="G662" s="135">
        <f t="shared" si="278"/>
        <v>176178929</v>
      </c>
      <c r="H662" s="135">
        <f t="shared" si="278"/>
        <v>116578432</v>
      </c>
      <c r="I662" s="37">
        <f t="shared" si="279"/>
        <v>66.1704737687445</v>
      </c>
      <c r="J662" s="135">
        <f t="shared" ref="J662:M662" si="281">J671+J680+J689+J698+J708+J718+J728+J738+J747+J757+J767+J778+J788+J800+J811+J822</f>
        <v>68740379</v>
      </c>
      <c r="K662" s="135">
        <f t="shared" si="281"/>
        <v>11159504</v>
      </c>
      <c r="L662" s="135">
        <f t="shared" si="281"/>
        <v>79899883</v>
      </c>
      <c r="M662" s="36">
        <f t="shared" si="281"/>
        <v>64758995.050000004</v>
      </c>
      <c r="N662" s="37">
        <f t="shared" si="277"/>
        <v>81.050175067215065</v>
      </c>
      <c r="O662" s="347"/>
    </row>
    <row r="663" spans="1:15" ht="11.45" customHeight="1" x14ac:dyDescent="0.2">
      <c r="A663" s="30"/>
      <c r="B663" s="33"/>
      <c r="C663" s="34"/>
      <c r="D663" s="29"/>
      <c r="E663" s="29"/>
      <c r="F663" s="35" t="s">
        <v>22</v>
      </c>
      <c r="G663" s="135">
        <f t="shared" si="278"/>
        <v>4950790</v>
      </c>
      <c r="H663" s="135">
        <f t="shared" si="278"/>
        <v>2089113</v>
      </c>
      <c r="I663" s="37">
        <f t="shared" si="279"/>
        <v>42.197568468870621</v>
      </c>
      <c r="J663" s="135">
        <f t="shared" ref="J663:M663" si="282">J672+J681+J690+J699+J709+J719+J729+J739+J748+J758+J768+J779+J789+J801+J812+J823</f>
        <v>2886031</v>
      </c>
      <c r="K663" s="135">
        <f t="shared" si="282"/>
        <v>0</v>
      </c>
      <c r="L663" s="135">
        <f t="shared" si="282"/>
        <v>2886031</v>
      </c>
      <c r="M663" s="36">
        <f t="shared" si="282"/>
        <v>24354</v>
      </c>
      <c r="N663" s="37">
        <f t="shared" si="277"/>
        <v>0.84385787955846625</v>
      </c>
      <c r="O663" s="347"/>
    </row>
    <row r="664" spans="1:15" ht="11.45" customHeight="1" x14ac:dyDescent="0.2">
      <c r="A664" s="30"/>
      <c r="B664" s="33"/>
      <c r="C664" s="34"/>
      <c r="D664" s="29"/>
      <c r="E664" s="29"/>
      <c r="F664" s="35" t="s">
        <v>45</v>
      </c>
      <c r="G664" s="135">
        <f t="shared" si="278"/>
        <v>0</v>
      </c>
      <c r="H664" s="135">
        <f t="shared" si="278"/>
        <v>0</v>
      </c>
      <c r="I664" s="37" t="str">
        <f t="shared" si="279"/>
        <v>-</v>
      </c>
      <c r="J664" s="135">
        <f t="shared" ref="J664:M664" si="283">J673+J682+J691+J700+J710+J720+J730+J740+J749+J759+J769+J780+J790+J802+J813+J824</f>
        <v>0</v>
      </c>
      <c r="K664" s="135">
        <f t="shared" si="283"/>
        <v>0</v>
      </c>
      <c r="L664" s="135">
        <f t="shared" si="283"/>
        <v>0</v>
      </c>
      <c r="M664" s="36">
        <f t="shared" si="283"/>
        <v>0</v>
      </c>
      <c r="N664" s="37" t="str">
        <f t="shared" si="277"/>
        <v>-</v>
      </c>
      <c r="O664" s="347"/>
    </row>
    <row r="665" spans="1:15" ht="11.45" customHeight="1" x14ac:dyDescent="0.2">
      <c r="A665" s="30"/>
      <c r="B665" s="33"/>
      <c r="C665" s="34"/>
      <c r="D665" s="29"/>
      <c r="E665" s="29"/>
      <c r="F665" s="35" t="s">
        <v>46</v>
      </c>
      <c r="G665" s="135">
        <f t="shared" si="278"/>
        <v>5869056</v>
      </c>
      <c r="H665" s="135">
        <f t="shared" si="278"/>
        <v>5584791</v>
      </c>
      <c r="I665" s="37">
        <f t="shared" si="279"/>
        <v>95.156546470164884</v>
      </c>
      <c r="J665" s="135">
        <f t="shared" ref="J665:M665" si="284">J674+J683+J692+J701+J711+J721+J731+J741+J750+J760+J770+J781+J791+J803+J814+J825</f>
        <v>600000</v>
      </c>
      <c r="K665" s="135">
        <f t="shared" si="284"/>
        <v>4334129</v>
      </c>
      <c r="L665" s="135">
        <f t="shared" si="284"/>
        <v>4934129</v>
      </c>
      <c r="M665" s="36">
        <f t="shared" si="284"/>
        <v>4649856.5000000009</v>
      </c>
      <c r="N665" s="37">
        <f t="shared" si="277"/>
        <v>94.238648807114714</v>
      </c>
      <c r="O665" s="347"/>
    </row>
    <row r="666" spans="1:15" ht="3.2" customHeight="1" x14ac:dyDescent="0.2">
      <c r="A666" s="65"/>
      <c r="B666" s="66"/>
      <c r="C666" s="67"/>
      <c r="D666" s="68"/>
      <c r="E666" s="68"/>
      <c r="F666" s="65"/>
      <c r="G666" s="136"/>
      <c r="H666" s="136"/>
      <c r="I666" s="70"/>
      <c r="J666" s="136"/>
      <c r="K666" s="136"/>
      <c r="L666" s="136"/>
      <c r="M666" s="69"/>
      <c r="N666" s="70"/>
      <c r="O666" s="348"/>
    </row>
    <row r="667" spans="1:15" ht="3.95" customHeight="1" outlineLevel="1" x14ac:dyDescent="0.2">
      <c r="A667" s="154"/>
      <c r="B667" s="72"/>
      <c r="C667" s="73"/>
      <c r="D667" s="71"/>
      <c r="E667" s="71"/>
      <c r="F667" s="72"/>
      <c r="G667" s="137"/>
      <c r="H667" s="137"/>
      <c r="I667" s="75"/>
      <c r="J667" s="137"/>
      <c r="K667" s="137"/>
      <c r="L667" s="138"/>
      <c r="M667" s="74"/>
      <c r="N667" s="75"/>
      <c r="O667" s="349"/>
    </row>
    <row r="668" spans="1:15" ht="11.1" customHeight="1" outlineLevel="1" x14ac:dyDescent="0.2">
      <c r="A668" s="369" t="s">
        <v>83</v>
      </c>
      <c r="B668" s="76" t="s">
        <v>9</v>
      </c>
      <c r="C668" s="150" t="s">
        <v>157</v>
      </c>
      <c r="D668" s="360" t="s">
        <v>161</v>
      </c>
      <c r="E668" s="360" t="s">
        <v>162</v>
      </c>
      <c r="F668" s="78" t="s">
        <v>28</v>
      </c>
      <c r="G668" s="139">
        <f>SUM(G669:G674)</f>
        <v>165359825</v>
      </c>
      <c r="H668" s="139">
        <f>SUM(H669:H674)</f>
        <v>21140772</v>
      </c>
      <c r="I668" s="39">
        <f t="shared" ref="I668:I674" si="285">IF(G668&gt;0,H668/G668*100,"-")</f>
        <v>12.784708740469458</v>
      </c>
      <c r="J668" s="139">
        <f>SUM(J669:J674)</f>
        <v>77501500</v>
      </c>
      <c r="K668" s="139">
        <f>SUM(K669:K674)</f>
        <v>-68169452</v>
      </c>
      <c r="L668" s="139">
        <f>SUM(L669:L674)</f>
        <v>9332048</v>
      </c>
      <c r="M668" s="38">
        <f>SUM(M669:M674)</f>
        <v>6056393.5800000001</v>
      </c>
      <c r="N668" s="39">
        <f t="shared" ref="N668:N674" si="286">IF(L668&gt;0,M668/L668*100,"-")</f>
        <v>64.898868715634549</v>
      </c>
      <c r="O668" s="361" t="s">
        <v>523</v>
      </c>
    </row>
    <row r="669" spans="1:15" ht="11.1" customHeight="1" outlineLevel="1" x14ac:dyDescent="0.2">
      <c r="A669" s="369"/>
      <c r="B669" s="76" t="s">
        <v>10</v>
      </c>
      <c r="C669" s="150" t="s">
        <v>157</v>
      </c>
      <c r="D669" s="360"/>
      <c r="E669" s="360"/>
      <c r="F669" s="79" t="s">
        <v>15</v>
      </c>
      <c r="G669" s="140">
        <v>30420909</v>
      </c>
      <c r="H669" s="140">
        <f>ROUNDUP(14584377+M669,0)</f>
        <v>14584377</v>
      </c>
      <c r="I669" s="81">
        <f t="shared" si="285"/>
        <v>47.941950058099842</v>
      </c>
      <c r="J669" s="140">
        <v>18000000</v>
      </c>
      <c r="K669" s="141">
        <f t="shared" ref="K669:K674" si="287">L669-J669</f>
        <v>-14817978</v>
      </c>
      <c r="L669" s="140">
        <v>3182022</v>
      </c>
      <c r="M669" s="83">
        <v>0</v>
      </c>
      <c r="N669" s="81">
        <f t="shared" si="286"/>
        <v>0</v>
      </c>
      <c r="O669" s="361"/>
    </row>
    <row r="670" spans="1:15" ht="11.1" customHeight="1" outlineLevel="1" x14ac:dyDescent="0.2">
      <c r="A670" s="369"/>
      <c r="B670" s="76" t="s">
        <v>11</v>
      </c>
      <c r="C670" s="82" t="s">
        <v>157</v>
      </c>
      <c r="D670" s="360"/>
      <c r="E670" s="360"/>
      <c r="F670" s="79" t="s">
        <v>7</v>
      </c>
      <c r="G670" s="140">
        <v>119801890</v>
      </c>
      <c r="H670" s="268">
        <f>ROUNDUP(0+M670,0)</f>
        <v>0</v>
      </c>
      <c r="I670" s="81">
        <f t="shared" si="285"/>
        <v>0</v>
      </c>
      <c r="J670" s="140">
        <v>59501500</v>
      </c>
      <c r="K670" s="141">
        <f t="shared" si="287"/>
        <v>-59501500</v>
      </c>
      <c r="L670" s="140">
        <v>0</v>
      </c>
      <c r="M670" s="83">
        <v>0</v>
      </c>
      <c r="N670" s="81" t="str">
        <f t="shared" si="286"/>
        <v>-</v>
      </c>
      <c r="O670" s="361"/>
    </row>
    <row r="671" spans="1:15" ht="11.1" customHeight="1" outlineLevel="1" x14ac:dyDescent="0.2">
      <c r="A671" s="119"/>
      <c r="B671" s="76" t="s">
        <v>12</v>
      </c>
      <c r="C671" s="82" t="s">
        <v>274</v>
      </c>
      <c r="D671" s="110"/>
      <c r="E671" s="110"/>
      <c r="F671" s="79" t="s">
        <v>8</v>
      </c>
      <c r="G671" s="140">
        <v>14957156</v>
      </c>
      <c r="H671" s="140">
        <f>ROUNDUP(500000+M671,0)</f>
        <v>6407928</v>
      </c>
      <c r="I671" s="81">
        <f t="shared" si="285"/>
        <v>42.841887856220794</v>
      </c>
      <c r="J671" s="140">
        <v>0</v>
      </c>
      <c r="K671" s="141">
        <f t="shared" si="287"/>
        <v>5970156</v>
      </c>
      <c r="L671" s="140">
        <v>5970156</v>
      </c>
      <c r="M671" s="80">
        <v>5907927.1500000004</v>
      </c>
      <c r="N671" s="81">
        <f t="shared" si="286"/>
        <v>98.957667940335241</v>
      </c>
      <c r="O671" s="361"/>
    </row>
    <row r="672" spans="1:15" ht="11.1" customHeight="1" outlineLevel="1" x14ac:dyDescent="0.2">
      <c r="A672" s="119"/>
      <c r="B672" s="76" t="s">
        <v>23</v>
      </c>
      <c r="C672" s="82" t="s">
        <v>158</v>
      </c>
      <c r="D672" s="110"/>
      <c r="E672" s="110"/>
      <c r="F672" s="79" t="s">
        <v>22</v>
      </c>
      <c r="G672" s="141">
        <v>0</v>
      </c>
      <c r="H672" s="268">
        <f>ROUNDUP(0+M672,0)</f>
        <v>0</v>
      </c>
      <c r="I672" s="81" t="str">
        <f t="shared" si="285"/>
        <v>-</v>
      </c>
      <c r="J672" s="141">
        <v>0</v>
      </c>
      <c r="K672" s="141">
        <f t="shared" si="287"/>
        <v>0</v>
      </c>
      <c r="L672" s="140">
        <v>0</v>
      </c>
      <c r="M672" s="89">
        <v>0</v>
      </c>
      <c r="N672" s="81" t="str">
        <f t="shared" si="286"/>
        <v>-</v>
      </c>
      <c r="O672" s="361"/>
    </row>
    <row r="673" spans="1:15" ht="11.1" customHeight="1" outlineLevel="1" x14ac:dyDescent="0.2">
      <c r="A673" s="119"/>
      <c r="B673" s="76"/>
      <c r="C673" s="82"/>
      <c r="D673" s="110"/>
      <c r="E673" s="110"/>
      <c r="F673" s="107" t="s">
        <v>45</v>
      </c>
      <c r="G673" s="141">
        <v>0</v>
      </c>
      <c r="H673" s="268">
        <f>ROUNDUP(0+M673,0)</f>
        <v>0</v>
      </c>
      <c r="I673" s="81" t="str">
        <f t="shared" si="285"/>
        <v>-</v>
      </c>
      <c r="J673" s="141">
        <v>0</v>
      </c>
      <c r="K673" s="141">
        <f t="shared" si="287"/>
        <v>0</v>
      </c>
      <c r="L673" s="140">
        <v>0</v>
      </c>
      <c r="M673" s="89">
        <v>0</v>
      </c>
      <c r="N673" s="81" t="str">
        <f t="shared" si="286"/>
        <v>-</v>
      </c>
      <c r="O673" s="361"/>
    </row>
    <row r="674" spans="1:15" ht="11.1" customHeight="1" outlineLevel="1" x14ac:dyDescent="0.2">
      <c r="A674" s="119"/>
      <c r="B674" s="76"/>
      <c r="C674" s="82"/>
      <c r="D674" s="110"/>
      <c r="E674" s="110"/>
      <c r="F674" s="107" t="s">
        <v>46</v>
      </c>
      <c r="G674" s="141">
        <v>179870</v>
      </c>
      <c r="H674" s="268">
        <f>ROUNDUP(0+M674,0)</f>
        <v>148467</v>
      </c>
      <c r="I674" s="81">
        <f t="shared" si="285"/>
        <v>82.541279813198415</v>
      </c>
      <c r="J674" s="141">
        <v>0</v>
      </c>
      <c r="K674" s="141">
        <f t="shared" si="287"/>
        <v>179870</v>
      </c>
      <c r="L674" s="140">
        <v>179870</v>
      </c>
      <c r="M674" s="89">
        <v>148466.43</v>
      </c>
      <c r="N674" s="81">
        <f t="shared" si="286"/>
        <v>82.540962917662753</v>
      </c>
      <c r="O674" s="361"/>
    </row>
    <row r="675" spans="1:15" ht="3.95" customHeight="1" outlineLevel="1" x14ac:dyDescent="0.2">
      <c r="A675" s="120"/>
      <c r="B675" s="85"/>
      <c r="C675" s="86"/>
      <c r="D675" s="84"/>
      <c r="E675" s="84"/>
      <c r="F675" s="85"/>
      <c r="G675" s="142"/>
      <c r="H675" s="142"/>
      <c r="I675" s="85"/>
      <c r="J675" s="142"/>
      <c r="K675" s="142"/>
      <c r="L675" s="143"/>
      <c r="M675" s="87"/>
      <c r="N675" s="88"/>
      <c r="O675" s="350"/>
    </row>
    <row r="676" spans="1:15" ht="3.95" customHeight="1" outlineLevel="1" x14ac:dyDescent="0.2">
      <c r="A676" s="154"/>
      <c r="B676" s="72"/>
      <c r="C676" s="73"/>
      <c r="D676" s="71"/>
      <c r="E676" s="71"/>
      <c r="F676" s="72"/>
      <c r="G676" s="137"/>
      <c r="H676" s="137"/>
      <c r="I676" s="75"/>
      <c r="J676" s="137"/>
      <c r="K676" s="137"/>
      <c r="L676" s="138"/>
      <c r="M676" s="74"/>
      <c r="N676" s="75"/>
      <c r="O676" s="349"/>
    </row>
    <row r="677" spans="1:15" ht="11.1" customHeight="1" outlineLevel="1" x14ac:dyDescent="0.2">
      <c r="A677" s="369" t="s">
        <v>84</v>
      </c>
      <c r="B677" s="76" t="s">
        <v>9</v>
      </c>
      <c r="C677" s="77" t="s">
        <v>109</v>
      </c>
      <c r="D677" s="360" t="s">
        <v>214</v>
      </c>
      <c r="E677" s="360" t="s">
        <v>162</v>
      </c>
      <c r="F677" s="78" t="s">
        <v>28</v>
      </c>
      <c r="G677" s="139">
        <f>SUM(G678:G683)</f>
        <v>2976757</v>
      </c>
      <c r="H677" s="139">
        <f>SUM(H678:H683)</f>
        <v>33058</v>
      </c>
      <c r="I677" s="39">
        <f t="shared" ref="I677:I683" si="288">IF(G677&gt;0,H677/G677*100,"-")</f>
        <v>1.1105374069835059</v>
      </c>
      <c r="J677" s="139">
        <f>SUM(J678:J683)</f>
        <v>2403457</v>
      </c>
      <c r="K677" s="139">
        <f>SUM(K678:K683)</f>
        <v>23300</v>
      </c>
      <c r="L677" s="139">
        <f>SUM(L678:L683)</f>
        <v>2426757</v>
      </c>
      <c r="M677" s="38">
        <f>SUM(M678:M683)</f>
        <v>33056.92</v>
      </c>
      <c r="N677" s="39">
        <f t="shared" ref="N677:N683" si="289">IF(L677&gt;0,M677/L677*100,"-")</f>
        <v>1.3621850065746179</v>
      </c>
      <c r="O677" s="361" t="s">
        <v>524</v>
      </c>
    </row>
    <row r="678" spans="1:15" ht="11.1" customHeight="1" outlineLevel="1" x14ac:dyDescent="0.2">
      <c r="A678" s="369"/>
      <c r="B678" s="76" t="s">
        <v>10</v>
      </c>
      <c r="C678" s="77" t="s">
        <v>110</v>
      </c>
      <c r="D678" s="360"/>
      <c r="E678" s="360"/>
      <c r="F678" s="79" t="s">
        <v>15</v>
      </c>
      <c r="G678" s="140">
        <v>443019</v>
      </c>
      <c r="H678" s="268">
        <f t="shared" ref="H678:H683" si="290">ROUNDUP(0+M678,0)</f>
        <v>14671</v>
      </c>
      <c r="I678" s="81">
        <f t="shared" si="288"/>
        <v>3.3115961166451102</v>
      </c>
      <c r="J678" s="140">
        <v>360519</v>
      </c>
      <c r="K678" s="141">
        <f t="shared" ref="K678:K683" si="291">L678-J678</f>
        <v>0</v>
      </c>
      <c r="L678" s="140">
        <v>360519</v>
      </c>
      <c r="M678" s="83">
        <v>14670.21</v>
      </c>
      <c r="N678" s="81">
        <f t="shared" si="289"/>
        <v>4.0691919149892239</v>
      </c>
      <c r="O678" s="361"/>
    </row>
    <row r="679" spans="1:15" ht="11.1" customHeight="1" outlineLevel="1" x14ac:dyDescent="0.2">
      <c r="A679" s="369"/>
      <c r="B679" s="76" t="s">
        <v>11</v>
      </c>
      <c r="C679" s="82" t="s">
        <v>111</v>
      </c>
      <c r="D679" s="360"/>
      <c r="E679" s="360"/>
      <c r="F679" s="79" t="s">
        <v>7</v>
      </c>
      <c r="G679" s="140">
        <v>2510438</v>
      </c>
      <c r="H679" s="268">
        <f t="shared" si="290"/>
        <v>0</v>
      </c>
      <c r="I679" s="81">
        <f t="shared" si="288"/>
        <v>0</v>
      </c>
      <c r="J679" s="140">
        <v>2042938</v>
      </c>
      <c r="K679" s="141">
        <f t="shared" si="291"/>
        <v>0</v>
      </c>
      <c r="L679" s="140">
        <v>2042938</v>
      </c>
      <c r="M679" s="83">
        <v>0</v>
      </c>
      <c r="N679" s="81">
        <f t="shared" si="289"/>
        <v>0</v>
      </c>
      <c r="O679" s="361"/>
    </row>
    <row r="680" spans="1:15" ht="11.1" customHeight="1" outlineLevel="1" x14ac:dyDescent="0.2">
      <c r="A680" s="119"/>
      <c r="B680" s="76" t="s">
        <v>12</v>
      </c>
      <c r="C680" s="82" t="s">
        <v>389</v>
      </c>
      <c r="D680" s="110"/>
      <c r="E680" s="110"/>
      <c r="F680" s="79" t="s">
        <v>8</v>
      </c>
      <c r="G680" s="140">
        <v>0</v>
      </c>
      <c r="H680" s="268">
        <f t="shared" si="290"/>
        <v>0</v>
      </c>
      <c r="I680" s="81" t="str">
        <f t="shared" si="288"/>
        <v>-</v>
      </c>
      <c r="J680" s="140">
        <v>0</v>
      </c>
      <c r="K680" s="141">
        <f t="shared" si="291"/>
        <v>0</v>
      </c>
      <c r="L680" s="140">
        <v>0</v>
      </c>
      <c r="M680" s="80">
        <v>0</v>
      </c>
      <c r="N680" s="81" t="str">
        <f t="shared" si="289"/>
        <v>-</v>
      </c>
      <c r="O680" s="361"/>
    </row>
    <row r="681" spans="1:15" ht="11.1" customHeight="1" outlineLevel="1" x14ac:dyDescent="0.2">
      <c r="A681" s="119"/>
      <c r="B681" s="76"/>
      <c r="C681" s="82" t="s">
        <v>391</v>
      </c>
      <c r="D681" s="110"/>
      <c r="E681" s="110"/>
      <c r="F681" s="79" t="s">
        <v>22</v>
      </c>
      <c r="G681" s="141">
        <v>0</v>
      </c>
      <c r="H681" s="268">
        <f t="shared" si="290"/>
        <v>0</v>
      </c>
      <c r="I681" s="81" t="str">
        <f t="shared" si="288"/>
        <v>-</v>
      </c>
      <c r="J681" s="141">
        <v>0</v>
      </c>
      <c r="K681" s="141">
        <f t="shared" si="291"/>
        <v>0</v>
      </c>
      <c r="L681" s="140">
        <v>0</v>
      </c>
      <c r="M681" s="89">
        <v>0</v>
      </c>
      <c r="N681" s="81" t="str">
        <f t="shared" si="289"/>
        <v>-</v>
      </c>
      <c r="O681" s="361"/>
    </row>
    <row r="682" spans="1:15" ht="11.1" customHeight="1" outlineLevel="1" x14ac:dyDescent="0.2">
      <c r="A682" s="119"/>
      <c r="B682" s="76"/>
      <c r="C682" s="82" t="s">
        <v>390</v>
      </c>
      <c r="D682" s="110"/>
      <c r="E682" s="110"/>
      <c r="F682" s="107" t="s">
        <v>45</v>
      </c>
      <c r="G682" s="141">
        <v>0</v>
      </c>
      <c r="H682" s="268">
        <f t="shared" si="290"/>
        <v>0</v>
      </c>
      <c r="I682" s="81" t="str">
        <f t="shared" si="288"/>
        <v>-</v>
      </c>
      <c r="J682" s="141">
        <v>0</v>
      </c>
      <c r="K682" s="141">
        <f t="shared" si="291"/>
        <v>0</v>
      </c>
      <c r="L682" s="140">
        <v>0</v>
      </c>
      <c r="M682" s="89">
        <v>0</v>
      </c>
      <c r="N682" s="81" t="str">
        <f t="shared" si="289"/>
        <v>-</v>
      </c>
      <c r="O682" s="361"/>
    </row>
    <row r="683" spans="1:15" ht="11.1" customHeight="1" outlineLevel="1" x14ac:dyDescent="0.2">
      <c r="A683" s="119"/>
      <c r="B683" s="76" t="s">
        <v>23</v>
      </c>
      <c r="C683" s="82" t="s">
        <v>159</v>
      </c>
      <c r="D683" s="110"/>
      <c r="E683" s="110"/>
      <c r="F683" s="107" t="s">
        <v>46</v>
      </c>
      <c r="G683" s="141">
        <v>23300</v>
      </c>
      <c r="H683" s="268">
        <f t="shared" si="290"/>
        <v>18387</v>
      </c>
      <c r="I683" s="81">
        <f t="shared" si="288"/>
        <v>78.914163090128753</v>
      </c>
      <c r="J683" s="141">
        <v>0</v>
      </c>
      <c r="K683" s="141">
        <f t="shared" si="291"/>
        <v>23300</v>
      </c>
      <c r="L683" s="140">
        <v>23300</v>
      </c>
      <c r="M683" s="89">
        <v>18386.71</v>
      </c>
      <c r="N683" s="81">
        <f t="shared" si="289"/>
        <v>78.912918454935621</v>
      </c>
      <c r="O683" s="361"/>
    </row>
    <row r="684" spans="1:15" ht="3.95" customHeight="1" outlineLevel="1" x14ac:dyDescent="0.2">
      <c r="A684" s="120"/>
      <c r="B684" s="85"/>
      <c r="C684" s="86"/>
      <c r="D684" s="84"/>
      <c r="E684" s="84"/>
      <c r="F684" s="85"/>
      <c r="G684" s="142"/>
      <c r="H684" s="142"/>
      <c r="I684" s="85"/>
      <c r="J684" s="142"/>
      <c r="K684" s="142"/>
      <c r="L684" s="143"/>
      <c r="M684" s="87"/>
      <c r="N684" s="88"/>
      <c r="O684" s="350"/>
    </row>
    <row r="685" spans="1:15" ht="3.95" customHeight="1" outlineLevel="1" x14ac:dyDescent="0.2">
      <c r="A685" s="154"/>
      <c r="B685" s="72"/>
      <c r="C685" s="73"/>
      <c r="D685" s="71"/>
      <c r="E685" s="71"/>
      <c r="F685" s="72"/>
      <c r="G685" s="137"/>
      <c r="H685" s="137"/>
      <c r="I685" s="75"/>
      <c r="J685" s="137"/>
      <c r="K685" s="137"/>
      <c r="L685" s="138"/>
      <c r="M685" s="74"/>
      <c r="N685" s="75"/>
      <c r="O685" s="349"/>
    </row>
    <row r="686" spans="1:15" ht="11.1" customHeight="1" outlineLevel="1" x14ac:dyDescent="0.2">
      <c r="A686" s="369" t="s">
        <v>86</v>
      </c>
      <c r="B686" s="76" t="s">
        <v>9</v>
      </c>
      <c r="C686" s="77" t="s">
        <v>109</v>
      </c>
      <c r="D686" s="360" t="s">
        <v>357</v>
      </c>
      <c r="E686" s="360" t="s">
        <v>162</v>
      </c>
      <c r="F686" s="78" t="s">
        <v>28</v>
      </c>
      <c r="G686" s="139">
        <f>SUM(G687:G692)</f>
        <v>21975350</v>
      </c>
      <c r="H686" s="139">
        <f>SUM(H687:H692)</f>
        <v>84751</v>
      </c>
      <c r="I686" s="39">
        <f t="shared" ref="I686:I692" si="292">IF(G686&gt;0,H686/G686*100,"-")</f>
        <v>0.38566393709315211</v>
      </c>
      <c r="J686" s="139">
        <f>SUM(J687:J692)</f>
        <v>2485150</v>
      </c>
      <c r="K686" s="139">
        <f>SUM(K687:K692)</f>
        <v>66200</v>
      </c>
      <c r="L686" s="139">
        <f>SUM(L687:L692)</f>
        <v>2551350</v>
      </c>
      <c r="M686" s="38">
        <f>SUM(M687:M692)</f>
        <v>84750.93</v>
      </c>
      <c r="N686" s="39">
        <f t="shared" ref="N686:N692" si="293">IF(L686&gt;0,M686/L686*100,"-")</f>
        <v>3.3218072784996173</v>
      </c>
      <c r="O686" s="361" t="s">
        <v>525</v>
      </c>
    </row>
    <row r="687" spans="1:15" ht="11.1" customHeight="1" outlineLevel="1" x14ac:dyDescent="0.2">
      <c r="A687" s="369"/>
      <c r="B687" s="76" t="s">
        <v>10</v>
      </c>
      <c r="C687" s="77" t="s">
        <v>110</v>
      </c>
      <c r="D687" s="360"/>
      <c r="E687" s="360"/>
      <c r="F687" s="79" t="s">
        <v>15</v>
      </c>
      <c r="G687" s="140">
        <v>482550</v>
      </c>
      <c r="H687" s="268">
        <f t="shared" ref="H687:H692" si="294">ROUNDUP(0+M687,0)</f>
        <v>28290</v>
      </c>
      <c r="I687" s="81">
        <f t="shared" si="292"/>
        <v>5.8626049114081447</v>
      </c>
      <c r="J687" s="140">
        <v>482550</v>
      </c>
      <c r="K687" s="141">
        <f t="shared" ref="K687:K692" si="295">L687-J687</f>
        <v>0</v>
      </c>
      <c r="L687" s="140">
        <v>482550</v>
      </c>
      <c r="M687" s="83">
        <v>28290</v>
      </c>
      <c r="N687" s="81">
        <f t="shared" si="293"/>
        <v>5.8626049114081447</v>
      </c>
      <c r="O687" s="361"/>
    </row>
    <row r="688" spans="1:15" ht="11.1" customHeight="1" outlineLevel="1" x14ac:dyDescent="0.2">
      <c r="A688" s="369"/>
      <c r="B688" s="76" t="s">
        <v>11</v>
      </c>
      <c r="C688" s="82" t="s">
        <v>111</v>
      </c>
      <c r="D688" s="360"/>
      <c r="E688" s="360"/>
      <c r="F688" s="79" t="s">
        <v>7</v>
      </c>
      <c r="G688" s="140">
        <v>18576750</v>
      </c>
      <c r="H688" s="268">
        <f t="shared" si="294"/>
        <v>0</v>
      </c>
      <c r="I688" s="81">
        <f t="shared" si="292"/>
        <v>0</v>
      </c>
      <c r="J688" s="140">
        <v>2002600</v>
      </c>
      <c r="K688" s="141">
        <f t="shared" si="295"/>
        <v>0</v>
      </c>
      <c r="L688" s="140">
        <v>2002600</v>
      </c>
      <c r="M688" s="83">
        <v>0</v>
      </c>
      <c r="N688" s="81">
        <f t="shared" si="293"/>
        <v>0</v>
      </c>
      <c r="O688" s="361"/>
    </row>
    <row r="689" spans="1:15" ht="11.1" customHeight="1" outlineLevel="1" x14ac:dyDescent="0.2">
      <c r="A689" s="119"/>
      <c r="B689" s="76" t="s">
        <v>12</v>
      </c>
      <c r="C689" s="82" t="s">
        <v>389</v>
      </c>
      <c r="D689" s="110"/>
      <c r="E689" s="110"/>
      <c r="F689" s="79" t="s">
        <v>8</v>
      </c>
      <c r="G689" s="140">
        <v>2849850</v>
      </c>
      <c r="H689" s="268">
        <f t="shared" si="294"/>
        <v>0</v>
      </c>
      <c r="I689" s="81">
        <f t="shared" si="292"/>
        <v>0</v>
      </c>
      <c r="J689" s="140">
        <v>0</v>
      </c>
      <c r="K689" s="141">
        <f t="shared" si="295"/>
        <v>0</v>
      </c>
      <c r="L689" s="140">
        <v>0</v>
      </c>
      <c r="M689" s="80">
        <v>0</v>
      </c>
      <c r="N689" s="81" t="str">
        <f t="shared" si="293"/>
        <v>-</v>
      </c>
      <c r="O689" s="361"/>
    </row>
    <row r="690" spans="1:15" ht="11.1" customHeight="1" outlineLevel="1" x14ac:dyDescent="0.2">
      <c r="A690" s="119"/>
      <c r="B690" s="76"/>
      <c r="C690" s="82" t="s">
        <v>398</v>
      </c>
      <c r="D690" s="110"/>
      <c r="E690" s="110"/>
      <c r="F690" s="79" t="s">
        <v>22</v>
      </c>
      <c r="G690" s="141">
        <v>0</v>
      </c>
      <c r="H690" s="268">
        <f t="shared" si="294"/>
        <v>0</v>
      </c>
      <c r="I690" s="81" t="str">
        <f t="shared" si="292"/>
        <v>-</v>
      </c>
      <c r="J690" s="141">
        <v>0</v>
      </c>
      <c r="K690" s="141">
        <f t="shared" si="295"/>
        <v>0</v>
      </c>
      <c r="L690" s="140">
        <v>0</v>
      </c>
      <c r="M690" s="89">
        <v>0</v>
      </c>
      <c r="N690" s="81" t="str">
        <f t="shared" si="293"/>
        <v>-</v>
      </c>
      <c r="O690" s="361"/>
    </row>
    <row r="691" spans="1:15" ht="11.1" customHeight="1" outlineLevel="1" x14ac:dyDescent="0.2">
      <c r="A691" s="119"/>
      <c r="B691" s="76"/>
      <c r="C691" s="82" t="s">
        <v>399</v>
      </c>
      <c r="D691" s="110"/>
      <c r="E691" s="110"/>
      <c r="F691" s="107" t="s">
        <v>45</v>
      </c>
      <c r="G691" s="141">
        <v>0</v>
      </c>
      <c r="H691" s="268">
        <f t="shared" si="294"/>
        <v>0</v>
      </c>
      <c r="I691" s="81" t="str">
        <f t="shared" si="292"/>
        <v>-</v>
      </c>
      <c r="J691" s="141">
        <v>0</v>
      </c>
      <c r="K691" s="141">
        <f t="shared" si="295"/>
        <v>0</v>
      </c>
      <c r="L691" s="140">
        <v>0</v>
      </c>
      <c r="M691" s="89">
        <v>0</v>
      </c>
      <c r="N691" s="81" t="str">
        <f t="shared" si="293"/>
        <v>-</v>
      </c>
      <c r="O691" s="361"/>
    </row>
    <row r="692" spans="1:15" ht="11.1" customHeight="1" outlineLevel="1" x14ac:dyDescent="0.2">
      <c r="A692" s="119"/>
      <c r="B692" s="76" t="s">
        <v>23</v>
      </c>
      <c r="C692" s="82" t="s">
        <v>159</v>
      </c>
      <c r="D692" s="110"/>
      <c r="E692" s="110"/>
      <c r="F692" s="107" t="s">
        <v>46</v>
      </c>
      <c r="G692" s="141">
        <v>66200</v>
      </c>
      <c r="H692" s="268">
        <f t="shared" si="294"/>
        <v>56461</v>
      </c>
      <c r="I692" s="81">
        <f t="shared" si="292"/>
        <v>85.28851963746223</v>
      </c>
      <c r="J692" s="141">
        <v>0</v>
      </c>
      <c r="K692" s="141">
        <f t="shared" si="295"/>
        <v>66200</v>
      </c>
      <c r="L692" s="140">
        <v>66200</v>
      </c>
      <c r="M692" s="89">
        <v>56460.93</v>
      </c>
      <c r="N692" s="81">
        <f t="shared" si="293"/>
        <v>85.288413897280975</v>
      </c>
      <c r="O692" s="361"/>
    </row>
    <row r="693" spans="1:15" ht="3.95" customHeight="1" outlineLevel="1" x14ac:dyDescent="0.2">
      <c r="A693" s="120"/>
      <c r="B693" s="85"/>
      <c r="C693" s="86"/>
      <c r="D693" s="84"/>
      <c r="E693" s="84"/>
      <c r="F693" s="85"/>
      <c r="G693" s="142"/>
      <c r="H693" s="142"/>
      <c r="I693" s="85"/>
      <c r="J693" s="142"/>
      <c r="K693" s="142"/>
      <c r="L693" s="143"/>
      <c r="M693" s="87"/>
      <c r="N693" s="88"/>
      <c r="O693" s="350"/>
    </row>
    <row r="694" spans="1:15" ht="3.95" customHeight="1" outlineLevel="1" x14ac:dyDescent="0.2">
      <c r="A694" s="154"/>
      <c r="B694" s="72"/>
      <c r="C694" s="73"/>
      <c r="D694" s="71"/>
      <c r="E694" s="71"/>
      <c r="F694" s="72"/>
      <c r="G694" s="137"/>
      <c r="H694" s="137"/>
      <c r="I694" s="75"/>
      <c r="J694" s="137"/>
      <c r="K694" s="137"/>
      <c r="L694" s="138"/>
      <c r="M694" s="74"/>
      <c r="N694" s="75"/>
      <c r="O694" s="349"/>
    </row>
    <row r="695" spans="1:15" ht="11.1" customHeight="1" outlineLevel="1" x14ac:dyDescent="0.2">
      <c r="A695" s="369" t="s">
        <v>87</v>
      </c>
      <c r="B695" s="76" t="s">
        <v>9</v>
      </c>
      <c r="C695" s="77" t="s">
        <v>109</v>
      </c>
      <c r="D695" s="360" t="s">
        <v>467</v>
      </c>
      <c r="E695" s="360" t="s">
        <v>162</v>
      </c>
      <c r="F695" s="78" t="s">
        <v>28</v>
      </c>
      <c r="G695" s="139">
        <f>SUM(G696:G701)</f>
        <v>43694950</v>
      </c>
      <c r="H695" s="139">
        <f>SUM(H696:H701)</f>
        <v>47955</v>
      </c>
      <c r="I695" s="39">
        <f t="shared" ref="I695:I701" si="296">IF(G695&gt;0,H695/G695*100,"-")</f>
        <v>0.10974952483067266</v>
      </c>
      <c r="J695" s="139">
        <f>SUM(J696:J701)</f>
        <v>166050</v>
      </c>
      <c r="K695" s="139">
        <f>SUM(K696:K701)</f>
        <v>28900</v>
      </c>
      <c r="L695" s="139">
        <f>SUM(L696:L701)</f>
        <v>194950</v>
      </c>
      <c r="M695" s="38">
        <f>SUM(M696:M701)</f>
        <v>47954.16</v>
      </c>
      <c r="N695" s="39">
        <f t="shared" ref="N695:N701" si="297">IF(L695&gt;0,M695/L695*100,"-")</f>
        <v>24.598184149781996</v>
      </c>
      <c r="O695" s="361" t="s">
        <v>526</v>
      </c>
    </row>
    <row r="696" spans="1:15" ht="11.1" customHeight="1" outlineLevel="1" x14ac:dyDescent="0.2">
      <c r="A696" s="369"/>
      <c r="B696" s="76" t="s">
        <v>10</v>
      </c>
      <c r="C696" s="77" t="s">
        <v>110</v>
      </c>
      <c r="D696" s="360"/>
      <c r="E696" s="360"/>
      <c r="F696" s="79" t="s">
        <v>15</v>
      </c>
      <c r="G696" s="140">
        <v>24908</v>
      </c>
      <c r="H696" s="268">
        <f t="shared" ref="H696:H701" si="298">ROUNDUP(0+M696,0)</f>
        <v>24600</v>
      </c>
      <c r="I696" s="81">
        <f t="shared" si="296"/>
        <v>98.763449494138428</v>
      </c>
      <c r="J696" s="140">
        <v>24908</v>
      </c>
      <c r="K696" s="141">
        <f t="shared" ref="K696:K701" si="299">L696-J696</f>
        <v>0</v>
      </c>
      <c r="L696" s="140">
        <v>24908</v>
      </c>
      <c r="M696" s="83">
        <v>24600</v>
      </c>
      <c r="N696" s="81">
        <f t="shared" si="297"/>
        <v>98.763449494138428</v>
      </c>
      <c r="O696" s="361"/>
    </row>
    <row r="697" spans="1:15" ht="11.1" customHeight="1" outlineLevel="1" x14ac:dyDescent="0.2">
      <c r="A697" s="369"/>
      <c r="B697" s="76" t="s">
        <v>11</v>
      </c>
      <c r="C697" s="82" t="s">
        <v>111</v>
      </c>
      <c r="D697" s="360"/>
      <c r="E697" s="360"/>
      <c r="F697" s="79" t="s">
        <v>7</v>
      </c>
      <c r="G697" s="140">
        <v>31646908</v>
      </c>
      <c r="H697" s="268">
        <f t="shared" si="298"/>
        <v>0</v>
      </c>
      <c r="I697" s="81">
        <f t="shared" si="296"/>
        <v>0</v>
      </c>
      <c r="J697" s="140">
        <v>141142</v>
      </c>
      <c r="K697" s="141">
        <f t="shared" si="299"/>
        <v>0</v>
      </c>
      <c r="L697" s="140">
        <v>141142</v>
      </c>
      <c r="M697" s="83">
        <v>0</v>
      </c>
      <c r="N697" s="81">
        <f t="shared" si="297"/>
        <v>0</v>
      </c>
      <c r="O697" s="361"/>
    </row>
    <row r="698" spans="1:15" ht="11.1" customHeight="1" outlineLevel="1" x14ac:dyDescent="0.2">
      <c r="A698" s="119"/>
      <c r="B698" s="76" t="s">
        <v>12</v>
      </c>
      <c r="C698" s="82" t="s">
        <v>389</v>
      </c>
      <c r="D698" s="110"/>
      <c r="E698" s="110"/>
      <c r="F698" s="79" t="s">
        <v>8</v>
      </c>
      <c r="G698" s="140">
        <v>11994234</v>
      </c>
      <c r="H698" s="268">
        <f t="shared" si="298"/>
        <v>0</v>
      </c>
      <c r="I698" s="81">
        <f t="shared" si="296"/>
        <v>0</v>
      </c>
      <c r="J698" s="140">
        <v>0</v>
      </c>
      <c r="K698" s="141">
        <f t="shared" si="299"/>
        <v>0</v>
      </c>
      <c r="L698" s="140">
        <v>0</v>
      </c>
      <c r="M698" s="80">
        <v>0</v>
      </c>
      <c r="N698" s="81" t="str">
        <f t="shared" si="297"/>
        <v>-</v>
      </c>
      <c r="O698" s="361"/>
    </row>
    <row r="699" spans="1:15" ht="11.1" customHeight="1" outlineLevel="1" x14ac:dyDescent="0.2">
      <c r="A699" s="119"/>
      <c r="B699" s="76"/>
      <c r="C699" s="82" t="s">
        <v>402</v>
      </c>
      <c r="D699" s="110"/>
      <c r="E699" s="110"/>
      <c r="F699" s="79" t="s">
        <v>22</v>
      </c>
      <c r="G699" s="141">
        <v>0</v>
      </c>
      <c r="H699" s="268">
        <f t="shared" si="298"/>
        <v>0</v>
      </c>
      <c r="I699" s="81" t="str">
        <f t="shared" si="296"/>
        <v>-</v>
      </c>
      <c r="J699" s="141">
        <v>0</v>
      </c>
      <c r="K699" s="141">
        <f t="shared" si="299"/>
        <v>0</v>
      </c>
      <c r="L699" s="140">
        <v>0</v>
      </c>
      <c r="M699" s="89">
        <v>0</v>
      </c>
      <c r="N699" s="81" t="str">
        <f t="shared" si="297"/>
        <v>-</v>
      </c>
      <c r="O699" s="361"/>
    </row>
    <row r="700" spans="1:15" ht="11.1" customHeight="1" outlineLevel="1" x14ac:dyDescent="0.2">
      <c r="A700" s="119"/>
      <c r="B700" s="76"/>
      <c r="C700" s="82" t="s">
        <v>400</v>
      </c>
      <c r="D700" s="110"/>
      <c r="E700" s="110"/>
      <c r="F700" s="107" t="s">
        <v>45</v>
      </c>
      <c r="G700" s="141">
        <v>0</v>
      </c>
      <c r="H700" s="268">
        <f t="shared" si="298"/>
        <v>0</v>
      </c>
      <c r="I700" s="81" t="str">
        <f t="shared" si="296"/>
        <v>-</v>
      </c>
      <c r="J700" s="141">
        <v>0</v>
      </c>
      <c r="K700" s="141">
        <f t="shared" si="299"/>
        <v>0</v>
      </c>
      <c r="L700" s="140">
        <v>0</v>
      </c>
      <c r="M700" s="89">
        <v>0</v>
      </c>
      <c r="N700" s="81" t="str">
        <f t="shared" si="297"/>
        <v>-</v>
      </c>
      <c r="O700" s="361"/>
    </row>
    <row r="701" spans="1:15" ht="11.1" customHeight="1" outlineLevel="1" x14ac:dyDescent="0.2">
      <c r="A701" s="119"/>
      <c r="B701" s="76"/>
      <c r="C701" s="82" t="s">
        <v>401</v>
      </c>
      <c r="D701" s="110"/>
      <c r="E701" s="110"/>
      <c r="F701" s="107" t="s">
        <v>46</v>
      </c>
      <c r="G701" s="141">
        <v>28900</v>
      </c>
      <c r="H701" s="268">
        <f t="shared" si="298"/>
        <v>23355</v>
      </c>
      <c r="I701" s="81">
        <f t="shared" si="296"/>
        <v>80.813148788927336</v>
      </c>
      <c r="J701" s="141">
        <v>0</v>
      </c>
      <c r="K701" s="141">
        <f t="shared" si="299"/>
        <v>28900</v>
      </c>
      <c r="L701" s="140">
        <v>28900</v>
      </c>
      <c r="M701" s="89">
        <v>23354.16</v>
      </c>
      <c r="N701" s="81">
        <f t="shared" si="297"/>
        <v>80.810242214532863</v>
      </c>
      <c r="O701" s="361"/>
    </row>
    <row r="702" spans="1:15" ht="11.1" customHeight="1" outlineLevel="1" x14ac:dyDescent="0.2">
      <c r="A702" s="119"/>
      <c r="B702" s="76" t="s">
        <v>23</v>
      </c>
      <c r="C702" s="82" t="s">
        <v>159</v>
      </c>
      <c r="D702" s="110"/>
      <c r="E702" s="110"/>
      <c r="F702" s="107"/>
      <c r="G702" s="141"/>
      <c r="H702" s="141"/>
      <c r="I702" s="151"/>
      <c r="J702" s="141"/>
      <c r="K702" s="141"/>
      <c r="L702" s="140"/>
      <c r="M702" s="89"/>
      <c r="N702" s="81"/>
      <c r="O702" s="356"/>
    </row>
    <row r="703" spans="1:15" ht="3.95" customHeight="1" outlineLevel="1" x14ac:dyDescent="0.2">
      <c r="A703" s="120"/>
      <c r="B703" s="85"/>
      <c r="C703" s="86"/>
      <c r="D703" s="84"/>
      <c r="E703" s="84"/>
      <c r="F703" s="85"/>
      <c r="G703" s="142"/>
      <c r="H703" s="142"/>
      <c r="I703" s="85"/>
      <c r="J703" s="142"/>
      <c r="K703" s="142"/>
      <c r="L703" s="143"/>
      <c r="M703" s="87"/>
      <c r="N703" s="88"/>
      <c r="O703" s="350"/>
    </row>
    <row r="704" spans="1:15" ht="3.95" customHeight="1" outlineLevel="1" x14ac:dyDescent="0.2">
      <c r="A704" s="154"/>
      <c r="B704" s="72"/>
      <c r="C704" s="73"/>
      <c r="D704" s="71"/>
      <c r="E704" s="71"/>
      <c r="F704" s="72"/>
      <c r="G704" s="137"/>
      <c r="H704" s="137"/>
      <c r="I704" s="75"/>
      <c r="J704" s="137"/>
      <c r="K704" s="137"/>
      <c r="L704" s="138"/>
      <c r="M704" s="74"/>
      <c r="N704" s="75"/>
      <c r="O704" s="364" t="s">
        <v>527</v>
      </c>
    </row>
    <row r="705" spans="1:15" ht="11.1" customHeight="1" outlineLevel="1" x14ac:dyDescent="0.2">
      <c r="A705" s="369" t="s">
        <v>88</v>
      </c>
      <c r="B705" s="76" t="s">
        <v>9</v>
      </c>
      <c r="C705" s="77" t="s">
        <v>109</v>
      </c>
      <c r="D705" s="360" t="s">
        <v>428</v>
      </c>
      <c r="E705" s="360" t="s">
        <v>162</v>
      </c>
      <c r="F705" s="78" t="s">
        <v>28</v>
      </c>
      <c r="G705" s="139">
        <f>SUM(G706:G711)</f>
        <v>3716494</v>
      </c>
      <c r="H705" s="139">
        <f>SUM(H706:H711)</f>
        <v>65642</v>
      </c>
      <c r="I705" s="39">
        <f t="shared" ref="I705:I711" si="300">IF(G705&gt;0,H705/G705*100,"-")</f>
        <v>1.7662345210297661</v>
      </c>
      <c r="J705" s="139">
        <f>SUM(J706:J711)</f>
        <v>1384194</v>
      </c>
      <c r="K705" s="139">
        <f>SUM(K706:K711)</f>
        <v>32300</v>
      </c>
      <c r="L705" s="139">
        <f>SUM(L706:L711)</f>
        <v>1416494</v>
      </c>
      <c r="M705" s="38">
        <f>SUM(M706:M711)</f>
        <v>65640.88</v>
      </c>
      <c r="N705" s="39">
        <f t="shared" ref="N705:N711" si="301">IF(L705&gt;0,M705/L705*100,"-")</f>
        <v>4.634038689892086</v>
      </c>
      <c r="O705" s="362"/>
    </row>
    <row r="706" spans="1:15" ht="11.1" customHeight="1" outlineLevel="1" x14ac:dyDescent="0.2">
      <c r="A706" s="369"/>
      <c r="B706" s="76" t="s">
        <v>10</v>
      </c>
      <c r="C706" s="77" t="s">
        <v>110</v>
      </c>
      <c r="D706" s="360"/>
      <c r="E706" s="360"/>
      <c r="F706" s="79" t="s">
        <v>15</v>
      </c>
      <c r="G706" s="140">
        <v>552629</v>
      </c>
      <c r="H706" s="140">
        <f t="shared" ref="H706:H711" si="302">ROUNDUP(0+M706,0)</f>
        <v>37428</v>
      </c>
      <c r="I706" s="81">
        <f t="shared" si="300"/>
        <v>6.7727173202998756</v>
      </c>
      <c r="J706" s="140">
        <v>207629</v>
      </c>
      <c r="K706" s="141">
        <f t="shared" ref="K706:K711" si="303">L706-J706</f>
        <v>0</v>
      </c>
      <c r="L706" s="140">
        <v>207629</v>
      </c>
      <c r="M706" s="83">
        <v>37427.699999999997</v>
      </c>
      <c r="N706" s="81">
        <f t="shared" si="301"/>
        <v>18.026239109180313</v>
      </c>
      <c r="O706" s="362"/>
    </row>
    <row r="707" spans="1:15" ht="11.1" customHeight="1" outlineLevel="1" x14ac:dyDescent="0.2">
      <c r="A707" s="369"/>
      <c r="B707" s="76" t="s">
        <v>11</v>
      </c>
      <c r="C707" s="82" t="s">
        <v>111</v>
      </c>
      <c r="D707" s="360"/>
      <c r="E707" s="360"/>
      <c r="F707" s="79" t="s">
        <v>7</v>
      </c>
      <c r="G707" s="140">
        <v>3131565</v>
      </c>
      <c r="H707" s="268">
        <f t="shared" si="302"/>
        <v>0</v>
      </c>
      <c r="I707" s="81">
        <f t="shared" si="300"/>
        <v>0</v>
      </c>
      <c r="J707" s="140">
        <v>1176565</v>
      </c>
      <c r="K707" s="141">
        <f t="shared" si="303"/>
        <v>0</v>
      </c>
      <c r="L707" s="140">
        <v>1176565</v>
      </c>
      <c r="M707" s="83">
        <v>0</v>
      </c>
      <c r="N707" s="81">
        <f t="shared" si="301"/>
        <v>0</v>
      </c>
      <c r="O707" s="362"/>
    </row>
    <row r="708" spans="1:15" ht="11.1" customHeight="1" outlineLevel="1" x14ac:dyDescent="0.2">
      <c r="A708" s="119"/>
      <c r="B708" s="76" t="s">
        <v>12</v>
      </c>
      <c r="C708" s="82" t="s">
        <v>389</v>
      </c>
      <c r="D708" s="110"/>
      <c r="E708" s="110"/>
      <c r="F708" s="79" t="s">
        <v>8</v>
      </c>
      <c r="G708" s="140">
        <v>0</v>
      </c>
      <c r="H708" s="268">
        <f t="shared" si="302"/>
        <v>0</v>
      </c>
      <c r="I708" s="81" t="str">
        <f t="shared" si="300"/>
        <v>-</v>
      </c>
      <c r="J708" s="140">
        <v>0</v>
      </c>
      <c r="K708" s="141">
        <f t="shared" si="303"/>
        <v>0</v>
      </c>
      <c r="L708" s="140">
        <v>0</v>
      </c>
      <c r="M708" s="80">
        <v>0</v>
      </c>
      <c r="N708" s="81" t="str">
        <f t="shared" si="301"/>
        <v>-</v>
      </c>
      <c r="O708" s="362"/>
    </row>
    <row r="709" spans="1:15" ht="11.1" customHeight="1" outlineLevel="1" x14ac:dyDescent="0.2">
      <c r="A709" s="119"/>
      <c r="B709" s="76"/>
      <c r="C709" s="82" t="s">
        <v>403</v>
      </c>
      <c r="D709" s="110"/>
      <c r="E709" s="110"/>
      <c r="F709" s="79" t="s">
        <v>22</v>
      </c>
      <c r="G709" s="141">
        <v>0</v>
      </c>
      <c r="H709" s="268">
        <f t="shared" si="302"/>
        <v>0</v>
      </c>
      <c r="I709" s="81" t="str">
        <f t="shared" si="300"/>
        <v>-</v>
      </c>
      <c r="J709" s="141">
        <v>0</v>
      </c>
      <c r="K709" s="141">
        <f t="shared" si="303"/>
        <v>0</v>
      </c>
      <c r="L709" s="140">
        <v>0</v>
      </c>
      <c r="M709" s="89">
        <v>0</v>
      </c>
      <c r="N709" s="81" t="str">
        <f t="shared" si="301"/>
        <v>-</v>
      </c>
      <c r="O709" s="362"/>
    </row>
    <row r="710" spans="1:15" ht="11.1" customHeight="1" outlineLevel="1" x14ac:dyDescent="0.2">
      <c r="A710" s="119"/>
      <c r="B710" s="76"/>
      <c r="C710" s="82" t="s">
        <v>404</v>
      </c>
      <c r="D710" s="110"/>
      <c r="E710" s="110"/>
      <c r="F710" s="107" t="s">
        <v>45</v>
      </c>
      <c r="G710" s="141">
        <v>0</v>
      </c>
      <c r="H710" s="268">
        <f t="shared" si="302"/>
        <v>0</v>
      </c>
      <c r="I710" s="81" t="str">
        <f t="shared" si="300"/>
        <v>-</v>
      </c>
      <c r="J710" s="141">
        <v>0</v>
      </c>
      <c r="K710" s="141">
        <f t="shared" si="303"/>
        <v>0</v>
      </c>
      <c r="L710" s="140">
        <v>0</v>
      </c>
      <c r="M710" s="89">
        <v>0</v>
      </c>
      <c r="N710" s="81" t="str">
        <f t="shared" si="301"/>
        <v>-</v>
      </c>
      <c r="O710" s="362"/>
    </row>
    <row r="711" spans="1:15" ht="11.1" customHeight="1" outlineLevel="1" x14ac:dyDescent="0.2">
      <c r="A711" s="119"/>
      <c r="B711" s="76"/>
      <c r="C711" s="82" t="s">
        <v>405</v>
      </c>
      <c r="D711" s="110"/>
      <c r="E711" s="110"/>
      <c r="F711" s="107" t="s">
        <v>46</v>
      </c>
      <c r="G711" s="141">
        <v>32300</v>
      </c>
      <c r="H711" s="268">
        <f t="shared" si="302"/>
        <v>28214</v>
      </c>
      <c r="I711" s="81">
        <f t="shared" si="300"/>
        <v>87.349845201238381</v>
      </c>
      <c r="J711" s="141">
        <v>0</v>
      </c>
      <c r="K711" s="141">
        <f t="shared" si="303"/>
        <v>32300</v>
      </c>
      <c r="L711" s="140">
        <v>32300</v>
      </c>
      <c r="M711" s="89">
        <v>28213.18</v>
      </c>
      <c r="N711" s="81">
        <f t="shared" si="301"/>
        <v>87.34730650154799</v>
      </c>
      <c r="O711" s="362"/>
    </row>
    <row r="712" spans="1:15" ht="11.1" customHeight="1" outlineLevel="1" x14ac:dyDescent="0.2">
      <c r="A712" s="119"/>
      <c r="B712" s="76" t="s">
        <v>23</v>
      </c>
      <c r="C712" s="82" t="s">
        <v>159</v>
      </c>
      <c r="D712" s="110"/>
      <c r="E712" s="110"/>
      <c r="F712" s="107"/>
      <c r="G712" s="141"/>
      <c r="H712" s="141"/>
      <c r="I712" s="151"/>
      <c r="J712" s="141"/>
      <c r="K712" s="141"/>
      <c r="L712" s="140"/>
      <c r="M712" s="89"/>
      <c r="N712" s="81"/>
      <c r="O712" s="362"/>
    </row>
    <row r="713" spans="1:15" ht="3.95" customHeight="1" outlineLevel="1" x14ac:dyDescent="0.2">
      <c r="A713" s="120"/>
      <c r="B713" s="85"/>
      <c r="C713" s="86"/>
      <c r="D713" s="84"/>
      <c r="E713" s="84"/>
      <c r="F713" s="85"/>
      <c r="G713" s="142"/>
      <c r="H713" s="142"/>
      <c r="I713" s="85"/>
      <c r="J713" s="142"/>
      <c r="K713" s="142"/>
      <c r="L713" s="143"/>
      <c r="M713" s="87"/>
      <c r="N713" s="88"/>
      <c r="O713" s="363"/>
    </row>
    <row r="714" spans="1:15" ht="3.95" customHeight="1" outlineLevel="1" x14ac:dyDescent="0.2">
      <c r="A714" s="154"/>
      <c r="B714" s="72"/>
      <c r="C714" s="73"/>
      <c r="D714" s="71"/>
      <c r="E714" s="71"/>
      <c r="F714" s="72"/>
      <c r="G714" s="137"/>
      <c r="H714" s="137"/>
      <c r="I714" s="75"/>
      <c r="J714" s="137"/>
      <c r="K714" s="137"/>
      <c r="L714" s="138"/>
      <c r="M714" s="74"/>
      <c r="N714" s="75"/>
      <c r="O714" s="364" t="s">
        <v>528</v>
      </c>
    </row>
    <row r="715" spans="1:15" ht="11.1" customHeight="1" outlineLevel="1" x14ac:dyDescent="0.2">
      <c r="A715" s="369" t="s">
        <v>89</v>
      </c>
      <c r="B715" s="76" t="s">
        <v>9</v>
      </c>
      <c r="C715" s="77" t="s">
        <v>109</v>
      </c>
      <c r="D715" s="360" t="s">
        <v>140</v>
      </c>
      <c r="E715" s="360" t="s">
        <v>160</v>
      </c>
      <c r="F715" s="78" t="s">
        <v>28</v>
      </c>
      <c r="G715" s="139">
        <f>SUM(G716:G721)</f>
        <v>29994188</v>
      </c>
      <c r="H715" s="139">
        <f>SUM(H716:H721)</f>
        <v>29795672</v>
      </c>
      <c r="I715" s="39">
        <f t="shared" ref="I715:I721" si="304">IF(G715&gt;0,H715/G715*100,"-")</f>
        <v>99.338151777937782</v>
      </c>
      <c r="J715" s="139">
        <f>SUM(J716:J721)</f>
        <v>2276244</v>
      </c>
      <c r="K715" s="139">
        <f>SUM(K716:K721)</f>
        <v>-193148</v>
      </c>
      <c r="L715" s="139">
        <f>SUM(L716:L721)</f>
        <v>2083096</v>
      </c>
      <c r="M715" s="38">
        <f>SUM(M716:M721)</f>
        <v>1884578.2100000002</v>
      </c>
      <c r="N715" s="39">
        <f t="shared" ref="N715:N721" si="305">IF(L715&gt;0,M715/L715*100,"-")</f>
        <v>90.470060429284118</v>
      </c>
      <c r="O715" s="362"/>
    </row>
    <row r="716" spans="1:15" ht="11.1" customHeight="1" outlineLevel="1" x14ac:dyDescent="0.2">
      <c r="A716" s="369"/>
      <c r="B716" s="76" t="s">
        <v>10</v>
      </c>
      <c r="C716" s="77" t="s">
        <v>110</v>
      </c>
      <c r="D716" s="360"/>
      <c r="E716" s="360"/>
      <c r="F716" s="79" t="s">
        <v>15</v>
      </c>
      <c r="G716" s="140">
        <v>697968</v>
      </c>
      <c r="H716" s="140">
        <f>ROUNDUP(697968+M716,0)</f>
        <v>697968</v>
      </c>
      <c r="I716" s="81">
        <f t="shared" si="304"/>
        <v>100</v>
      </c>
      <c r="J716" s="140">
        <v>0</v>
      </c>
      <c r="K716" s="141">
        <f t="shared" ref="K716:K721" si="306">L716-J716</f>
        <v>0</v>
      </c>
      <c r="L716" s="140">
        <v>0</v>
      </c>
      <c r="M716" s="83">
        <v>0</v>
      </c>
      <c r="N716" s="81" t="str">
        <f t="shared" si="305"/>
        <v>-</v>
      </c>
      <c r="O716" s="362"/>
    </row>
    <row r="717" spans="1:15" ht="11.1" customHeight="1" outlineLevel="1" x14ac:dyDescent="0.2">
      <c r="A717" s="369"/>
      <c r="B717" s="76" t="s">
        <v>11</v>
      </c>
      <c r="C717" s="82" t="s">
        <v>111</v>
      </c>
      <c r="D717" s="360"/>
      <c r="E717" s="360"/>
      <c r="F717" s="79" t="s">
        <v>7</v>
      </c>
      <c r="G717" s="140">
        <v>23814650</v>
      </c>
      <c r="H717" s="185">
        <f>ROUNDUP(22318956+M717,0)</f>
        <v>23707469</v>
      </c>
      <c r="I717" s="81">
        <f t="shared" si="304"/>
        <v>99.549936698628784</v>
      </c>
      <c r="J717" s="140">
        <v>1355536</v>
      </c>
      <c r="K717" s="141">
        <f t="shared" si="306"/>
        <v>140158</v>
      </c>
      <c r="L717" s="140">
        <v>1495694</v>
      </c>
      <c r="M717" s="83">
        <v>1388512.56</v>
      </c>
      <c r="N717" s="81">
        <f t="shared" si="305"/>
        <v>92.833999467805583</v>
      </c>
      <c r="O717" s="362"/>
    </row>
    <row r="718" spans="1:15" ht="11.1" customHeight="1" outlineLevel="1" x14ac:dyDescent="0.2">
      <c r="A718" s="119"/>
      <c r="B718" s="76" t="s">
        <v>12</v>
      </c>
      <c r="C718" s="82" t="s">
        <v>389</v>
      </c>
      <c r="D718" s="110"/>
      <c r="E718" s="110"/>
      <c r="F718" s="79" t="s">
        <v>8</v>
      </c>
      <c r="G718" s="140">
        <v>5090302</v>
      </c>
      <c r="H718" s="140">
        <f>ROUNDUP(4742650+M718,0)</f>
        <v>5003665</v>
      </c>
      <c r="I718" s="81">
        <f t="shared" si="304"/>
        <v>98.297998822073822</v>
      </c>
      <c r="J718" s="140">
        <v>320708</v>
      </c>
      <c r="K718" s="141">
        <f t="shared" si="306"/>
        <v>26944</v>
      </c>
      <c r="L718" s="140">
        <v>347652</v>
      </c>
      <c r="M718" s="80">
        <v>261014.58</v>
      </c>
      <c r="N718" s="81">
        <f t="shared" si="305"/>
        <v>75.07926892409651</v>
      </c>
      <c r="O718" s="362"/>
    </row>
    <row r="719" spans="1:15" ht="11.1" customHeight="1" outlineLevel="1" x14ac:dyDescent="0.2">
      <c r="A719" s="119"/>
      <c r="B719" s="76"/>
      <c r="C719" s="82" t="s">
        <v>407</v>
      </c>
      <c r="D719" s="110"/>
      <c r="E719" s="110"/>
      <c r="F719" s="79" t="s">
        <v>22</v>
      </c>
      <c r="G719" s="140">
        <v>0</v>
      </c>
      <c r="H719" s="268">
        <f>ROUNDUP(0+M719,0)</f>
        <v>0</v>
      </c>
      <c r="I719" s="81" t="str">
        <f t="shared" si="304"/>
        <v>-</v>
      </c>
      <c r="J719" s="140">
        <v>0</v>
      </c>
      <c r="K719" s="141">
        <f t="shared" si="306"/>
        <v>0</v>
      </c>
      <c r="L719" s="140">
        <v>0</v>
      </c>
      <c r="M719" s="83">
        <v>0</v>
      </c>
      <c r="N719" s="81" t="str">
        <f t="shared" si="305"/>
        <v>-</v>
      </c>
      <c r="O719" s="362"/>
    </row>
    <row r="720" spans="1:15" ht="11.1" customHeight="1" outlineLevel="1" x14ac:dyDescent="0.2">
      <c r="A720" s="119"/>
      <c r="B720" s="76"/>
      <c r="C720" s="82" t="s">
        <v>406</v>
      </c>
      <c r="D720" s="110"/>
      <c r="E720" s="110"/>
      <c r="F720" s="107" t="s">
        <v>45</v>
      </c>
      <c r="G720" s="140">
        <v>0</v>
      </c>
      <c r="H720" s="268">
        <f>ROUNDUP(0+M720,0)</f>
        <v>0</v>
      </c>
      <c r="I720" s="81" t="str">
        <f t="shared" si="304"/>
        <v>-</v>
      </c>
      <c r="J720" s="140">
        <v>0</v>
      </c>
      <c r="K720" s="141">
        <f t="shared" si="306"/>
        <v>0</v>
      </c>
      <c r="L720" s="140">
        <v>0</v>
      </c>
      <c r="M720" s="83">
        <v>0</v>
      </c>
      <c r="N720" s="81" t="str">
        <f t="shared" si="305"/>
        <v>-</v>
      </c>
      <c r="O720" s="362"/>
    </row>
    <row r="721" spans="1:15" ht="11.1" customHeight="1" outlineLevel="1" x14ac:dyDescent="0.2">
      <c r="A721" s="119"/>
      <c r="B721" s="76" t="s">
        <v>23</v>
      </c>
      <c r="C721" s="82" t="s">
        <v>159</v>
      </c>
      <c r="D721" s="110"/>
      <c r="E721" s="110"/>
      <c r="F721" s="107" t="s">
        <v>46</v>
      </c>
      <c r="G721" s="141">
        <v>391268</v>
      </c>
      <c r="H721" s="141">
        <f>ROUNDUP(151518+M721,0)</f>
        <v>386570</v>
      </c>
      <c r="I721" s="81">
        <f t="shared" si="304"/>
        <v>98.799288467239847</v>
      </c>
      <c r="J721" s="141">
        <v>600000</v>
      </c>
      <c r="K721" s="141">
        <f t="shared" si="306"/>
        <v>-360250</v>
      </c>
      <c r="L721" s="140">
        <v>239750</v>
      </c>
      <c r="M721" s="89">
        <v>235051.07</v>
      </c>
      <c r="N721" s="81">
        <f t="shared" si="305"/>
        <v>98.040070907195002</v>
      </c>
      <c r="O721" s="362"/>
    </row>
    <row r="722" spans="1:15" ht="18.75" customHeight="1" outlineLevel="1" x14ac:dyDescent="0.2">
      <c r="A722" s="119"/>
      <c r="B722" s="76"/>
      <c r="C722" s="82"/>
      <c r="D722" s="110"/>
      <c r="E722" s="110"/>
      <c r="F722" s="107"/>
      <c r="G722" s="141"/>
      <c r="H722" s="141"/>
      <c r="I722" s="151"/>
      <c r="J722" s="141"/>
      <c r="K722" s="141"/>
      <c r="L722" s="140"/>
      <c r="M722" s="89"/>
      <c r="N722" s="81"/>
      <c r="O722" s="362"/>
    </row>
    <row r="723" spans="1:15" ht="3.95" customHeight="1" outlineLevel="1" x14ac:dyDescent="0.2">
      <c r="A723" s="120"/>
      <c r="B723" s="85"/>
      <c r="C723" s="86"/>
      <c r="D723" s="84"/>
      <c r="E723" s="84"/>
      <c r="F723" s="85"/>
      <c r="G723" s="142"/>
      <c r="H723" s="142"/>
      <c r="I723" s="85"/>
      <c r="J723" s="142"/>
      <c r="K723" s="142"/>
      <c r="L723" s="143"/>
      <c r="M723" s="87"/>
      <c r="N723" s="88"/>
      <c r="O723" s="363"/>
    </row>
    <row r="724" spans="1:15" ht="3.95" customHeight="1" outlineLevel="1" x14ac:dyDescent="0.2">
      <c r="A724" s="154"/>
      <c r="B724" s="72"/>
      <c r="C724" s="73"/>
      <c r="D724" s="71"/>
      <c r="E724" s="71"/>
      <c r="F724" s="72"/>
      <c r="G724" s="137"/>
      <c r="H724" s="137"/>
      <c r="I724" s="75"/>
      <c r="J724" s="137"/>
      <c r="K724" s="137"/>
      <c r="L724" s="138"/>
      <c r="M724" s="74"/>
      <c r="N724" s="75"/>
      <c r="O724" s="349"/>
    </row>
    <row r="725" spans="1:15" ht="11.1" customHeight="1" outlineLevel="1" x14ac:dyDescent="0.2">
      <c r="A725" s="369" t="s">
        <v>90</v>
      </c>
      <c r="B725" s="76" t="s">
        <v>9</v>
      </c>
      <c r="C725" s="77" t="s">
        <v>109</v>
      </c>
      <c r="D725" s="360" t="s">
        <v>164</v>
      </c>
      <c r="E725" s="360" t="s">
        <v>162</v>
      </c>
      <c r="F725" s="78" t="s">
        <v>28</v>
      </c>
      <c r="G725" s="139">
        <f>SUM(G726:G731)</f>
        <v>216375970</v>
      </c>
      <c r="H725" s="139">
        <f>SUM(H726:H731)</f>
        <v>134499302</v>
      </c>
      <c r="I725" s="39">
        <f t="shared" ref="I725:I731" si="307">IF(G725&gt;0,H725/G725*100,"-")</f>
        <v>62.159999560025078</v>
      </c>
      <c r="J725" s="139">
        <f>SUM(J726:J731)</f>
        <v>136200415</v>
      </c>
      <c r="K725" s="139">
        <f>SUM(K726:K731)</f>
        <v>4493517</v>
      </c>
      <c r="L725" s="139">
        <f>SUM(L726:L731)</f>
        <v>140693932</v>
      </c>
      <c r="M725" s="38">
        <f>SUM(M726:M731)</f>
        <v>80182124.719999984</v>
      </c>
      <c r="N725" s="39">
        <f t="shared" ref="N725:N731" si="308">IF(L725&gt;0,M725/L725*100,"-")</f>
        <v>56.990464037923104</v>
      </c>
      <c r="O725" s="361" t="s">
        <v>529</v>
      </c>
    </row>
    <row r="726" spans="1:15" ht="11.1" customHeight="1" outlineLevel="1" x14ac:dyDescent="0.2">
      <c r="A726" s="369"/>
      <c r="B726" s="76" t="s">
        <v>10</v>
      </c>
      <c r="C726" s="77" t="s">
        <v>110</v>
      </c>
      <c r="D726" s="360"/>
      <c r="E726" s="360"/>
      <c r="F726" s="79" t="s">
        <v>15</v>
      </c>
      <c r="G726" s="140">
        <v>41731683</v>
      </c>
      <c r="H726" s="140">
        <f>ROUNDUP(4397350+M726,0)</f>
        <v>4397350</v>
      </c>
      <c r="I726" s="81">
        <f t="shared" si="307"/>
        <v>10.537197840786819</v>
      </c>
      <c r="J726" s="140">
        <v>36958948</v>
      </c>
      <c r="K726" s="141">
        <f t="shared" ref="K726:K731" si="309">L726-J726</f>
        <v>-2570562</v>
      </c>
      <c r="L726" s="140">
        <v>34388386</v>
      </c>
      <c r="M726" s="83">
        <v>0</v>
      </c>
      <c r="N726" s="81">
        <f t="shared" si="308"/>
        <v>0</v>
      </c>
      <c r="O726" s="361"/>
    </row>
    <row r="727" spans="1:15" ht="11.1" customHeight="1" outlineLevel="1" x14ac:dyDescent="0.2">
      <c r="A727" s="369"/>
      <c r="B727" s="76" t="s">
        <v>11</v>
      </c>
      <c r="C727" s="82" t="s">
        <v>111</v>
      </c>
      <c r="D727" s="360"/>
      <c r="E727" s="360"/>
      <c r="F727" s="79" t="s">
        <v>7</v>
      </c>
      <c r="G727" s="140">
        <v>90217183</v>
      </c>
      <c r="H727" s="185">
        <f>ROUNDUP(25448537+M727,0)</f>
        <v>67858881</v>
      </c>
      <c r="I727" s="81">
        <f t="shared" si="307"/>
        <v>75.217246585941396</v>
      </c>
      <c r="J727" s="140">
        <v>62618646</v>
      </c>
      <c r="K727" s="141">
        <f t="shared" si="309"/>
        <v>0</v>
      </c>
      <c r="L727" s="140">
        <v>62618646</v>
      </c>
      <c r="M727" s="83">
        <v>42410343.43</v>
      </c>
      <c r="N727" s="81">
        <f t="shared" si="308"/>
        <v>67.727979027205407</v>
      </c>
      <c r="O727" s="361"/>
    </row>
    <row r="728" spans="1:15" ht="11.1" customHeight="1" outlineLevel="1" x14ac:dyDescent="0.2">
      <c r="A728" s="119"/>
      <c r="B728" s="76" t="s">
        <v>12</v>
      </c>
      <c r="C728" s="82" t="s">
        <v>389</v>
      </c>
      <c r="D728" s="110"/>
      <c r="E728" s="110"/>
      <c r="F728" s="79" t="s">
        <v>8</v>
      </c>
      <c r="G728" s="140">
        <v>81688164</v>
      </c>
      <c r="H728" s="185">
        <f>ROUNDUP(23990728+M728,0)</f>
        <v>59548627</v>
      </c>
      <c r="I728" s="81">
        <f t="shared" si="307"/>
        <v>72.897497120880331</v>
      </c>
      <c r="J728" s="140">
        <v>36622821</v>
      </c>
      <c r="K728" s="141">
        <f t="shared" si="309"/>
        <v>4805699</v>
      </c>
      <c r="L728" s="140">
        <v>41428520</v>
      </c>
      <c r="M728" s="80">
        <v>35557898.079999998</v>
      </c>
      <c r="N728" s="81">
        <f t="shared" si="308"/>
        <v>85.829515705605701</v>
      </c>
      <c r="O728" s="361"/>
    </row>
    <row r="729" spans="1:15" ht="11.1" customHeight="1" outlineLevel="1" x14ac:dyDescent="0.2">
      <c r="A729" s="119"/>
      <c r="B729" s="76"/>
      <c r="C729" s="82" t="s">
        <v>408</v>
      </c>
      <c r="D729" s="110"/>
      <c r="E729" s="110"/>
      <c r="F729" s="79" t="s">
        <v>22</v>
      </c>
      <c r="G729" s="140">
        <v>0</v>
      </c>
      <c r="H729" s="268">
        <f>ROUNDUP(0+M729,0)</f>
        <v>0</v>
      </c>
      <c r="I729" s="81" t="str">
        <f t="shared" si="307"/>
        <v>-</v>
      </c>
      <c r="J729" s="140">
        <v>0</v>
      </c>
      <c r="K729" s="141">
        <f t="shared" si="309"/>
        <v>0</v>
      </c>
      <c r="L729" s="140">
        <v>0</v>
      </c>
      <c r="M729" s="83">
        <v>0</v>
      </c>
      <c r="N729" s="81" t="str">
        <f t="shared" si="308"/>
        <v>-</v>
      </c>
      <c r="O729" s="361"/>
    </row>
    <row r="730" spans="1:15" ht="11.1" customHeight="1" outlineLevel="1" x14ac:dyDescent="0.2">
      <c r="A730" s="119"/>
      <c r="B730" s="76"/>
      <c r="C730" s="82" t="s">
        <v>409</v>
      </c>
      <c r="D730" s="110"/>
      <c r="E730" s="110"/>
      <c r="F730" s="107" t="s">
        <v>45</v>
      </c>
      <c r="G730" s="140">
        <v>0</v>
      </c>
      <c r="H730" s="268">
        <f>ROUNDUP(0+M730,0)</f>
        <v>0</v>
      </c>
      <c r="I730" s="81" t="str">
        <f t="shared" si="307"/>
        <v>-</v>
      </c>
      <c r="J730" s="140">
        <v>0</v>
      </c>
      <c r="K730" s="141">
        <f t="shared" si="309"/>
        <v>0</v>
      </c>
      <c r="L730" s="140">
        <v>0</v>
      </c>
      <c r="M730" s="83">
        <v>0</v>
      </c>
      <c r="N730" s="81" t="str">
        <f t="shared" si="308"/>
        <v>-</v>
      </c>
      <c r="O730" s="361"/>
    </row>
    <row r="731" spans="1:15" ht="11.1" customHeight="1" outlineLevel="1" x14ac:dyDescent="0.2">
      <c r="A731" s="119"/>
      <c r="B731" s="76"/>
      <c r="C731" s="82" t="s">
        <v>163</v>
      </c>
      <c r="D731" s="110"/>
      <c r="E731" s="110"/>
      <c r="F731" s="107" t="s">
        <v>46</v>
      </c>
      <c r="G731" s="141">
        <v>2738940</v>
      </c>
      <c r="H731" s="141">
        <f>ROUNDUP(480560+M731,0)</f>
        <v>2694444</v>
      </c>
      <c r="I731" s="81">
        <f t="shared" si="307"/>
        <v>98.375429910841419</v>
      </c>
      <c r="J731" s="141">
        <v>0</v>
      </c>
      <c r="K731" s="141">
        <f t="shared" si="309"/>
        <v>2258380</v>
      </c>
      <c r="L731" s="140">
        <v>2258380</v>
      </c>
      <c r="M731" s="89">
        <v>2213883.21</v>
      </c>
      <c r="N731" s="81">
        <f t="shared" si="308"/>
        <v>98.029703150045606</v>
      </c>
      <c r="O731" s="361"/>
    </row>
    <row r="732" spans="1:15" ht="11.1" customHeight="1" outlineLevel="1" x14ac:dyDescent="0.2">
      <c r="A732" s="119"/>
      <c r="B732" s="76" t="s">
        <v>23</v>
      </c>
      <c r="C732" s="82" t="s">
        <v>159</v>
      </c>
      <c r="D732" s="110"/>
      <c r="E732" s="110"/>
      <c r="F732" s="107"/>
      <c r="G732" s="141"/>
      <c r="H732" s="141"/>
      <c r="I732" s="151"/>
      <c r="J732" s="141"/>
      <c r="K732" s="141"/>
      <c r="L732" s="140"/>
      <c r="M732" s="89"/>
      <c r="N732" s="81"/>
      <c r="O732" s="356"/>
    </row>
    <row r="733" spans="1:15" ht="3.95" customHeight="1" outlineLevel="1" x14ac:dyDescent="0.2">
      <c r="A733" s="120"/>
      <c r="B733" s="85"/>
      <c r="C733" s="86"/>
      <c r="D733" s="84"/>
      <c r="E733" s="84"/>
      <c r="F733" s="85"/>
      <c r="G733" s="142"/>
      <c r="H733" s="142"/>
      <c r="I733" s="85"/>
      <c r="J733" s="142"/>
      <c r="K733" s="142"/>
      <c r="L733" s="143"/>
      <c r="M733" s="87"/>
      <c r="N733" s="88"/>
      <c r="O733" s="350"/>
    </row>
    <row r="734" spans="1:15" ht="3.95" customHeight="1" outlineLevel="1" x14ac:dyDescent="0.2">
      <c r="A734" s="154"/>
      <c r="B734" s="72"/>
      <c r="C734" s="73"/>
      <c r="D734" s="71"/>
      <c r="E734" s="71"/>
      <c r="F734" s="72"/>
      <c r="G734" s="137"/>
      <c r="H734" s="137"/>
      <c r="I734" s="75"/>
      <c r="J734" s="137"/>
      <c r="K734" s="137"/>
      <c r="L734" s="138"/>
      <c r="M734" s="74"/>
      <c r="N734" s="75"/>
      <c r="O734" s="349"/>
    </row>
    <row r="735" spans="1:15" ht="11.1" customHeight="1" outlineLevel="1" x14ac:dyDescent="0.2">
      <c r="A735" s="369" t="s">
        <v>92</v>
      </c>
      <c r="B735" s="76" t="s">
        <v>9</v>
      </c>
      <c r="C735" s="77" t="s">
        <v>105</v>
      </c>
      <c r="D735" s="360" t="s">
        <v>468</v>
      </c>
      <c r="E735" s="360" t="s">
        <v>162</v>
      </c>
      <c r="F735" s="78" t="s">
        <v>28</v>
      </c>
      <c r="G735" s="260">
        <f>SUM(G736:G741)</f>
        <v>51906674</v>
      </c>
      <c r="H735" s="139">
        <f>SUM(H736:H741)</f>
        <v>37687657</v>
      </c>
      <c r="I735" s="39">
        <f t="shared" ref="I735:I741" si="310">IF(G735&gt;0,H735/G735*100,"-")</f>
        <v>72.606572711632424</v>
      </c>
      <c r="J735" s="139">
        <f>SUM(J736:J741)</f>
        <v>36464649</v>
      </c>
      <c r="K735" s="139">
        <f>SUM(K736:K741)</f>
        <v>714119</v>
      </c>
      <c r="L735" s="139">
        <f>SUM(L736:L741)</f>
        <v>37178768</v>
      </c>
      <c r="M735" s="38">
        <f>SUM(M736:M741)</f>
        <v>31574322.73</v>
      </c>
      <c r="N735" s="39">
        <f t="shared" ref="N735:N741" si="311">IF(L735&gt;0,M735/L735*100,"-")</f>
        <v>84.9256832017672</v>
      </c>
      <c r="O735" s="361" t="s">
        <v>530</v>
      </c>
    </row>
    <row r="736" spans="1:15" ht="11.1" customHeight="1" outlineLevel="1" x14ac:dyDescent="0.2">
      <c r="A736" s="369"/>
      <c r="B736" s="76" t="s">
        <v>10</v>
      </c>
      <c r="C736" s="77" t="s">
        <v>165</v>
      </c>
      <c r="D736" s="360"/>
      <c r="E736" s="360"/>
      <c r="F736" s="79" t="s">
        <v>15</v>
      </c>
      <c r="G736" s="140">
        <v>396476</v>
      </c>
      <c r="H736" s="140">
        <f>ROUNDUP(396476+M736,0)</f>
        <v>396476</v>
      </c>
      <c r="I736" s="81">
        <f t="shared" si="310"/>
        <v>100</v>
      </c>
      <c r="J736" s="140">
        <v>0</v>
      </c>
      <c r="K736" s="141">
        <f t="shared" ref="K736:K741" si="312">L736-J736</f>
        <v>0</v>
      </c>
      <c r="L736" s="140">
        <v>0</v>
      </c>
      <c r="M736" s="83">
        <v>0</v>
      </c>
      <c r="N736" s="81" t="str">
        <f t="shared" si="311"/>
        <v>-</v>
      </c>
      <c r="O736" s="361"/>
    </row>
    <row r="737" spans="1:15" ht="11.1" customHeight="1" outlineLevel="1" x14ac:dyDescent="0.2">
      <c r="A737" s="369"/>
      <c r="B737" s="76" t="s">
        <v>11</v>
      </c>
      <c r="C737" s="82" t="s">
        <v>166</v>
      </c>
      <c r="D737" s="360"/>
      <c r="E737" s="360"/>
      <c r="F737" s="79" t="s">
        <v>7</v>
      </c>
      <c r="G737" s="140">
        <v>29076000</v>
      </c>
      <c r="H737" s="140">
        <f>ROUNDUP(2506115+M737,0)</f>
        <v>20317270</v>
      </c>
      <c r="I737" s="81">
        <f t="shared" si="310"/>
        <v>69.876427293988158</v>
      </c>
      <c r="J737" s="140">
        <v>21453418</v>
      </c>
      <c r="K737" s="141">
        <f t="shared" si="312"/>
        <v>45467</v>
      </c>
      <c r="L737" s="140">
        <v>21498885</v>
      </c>
      <c r="M737" s="83">
        <v>17811154.27</v>
      </c>
      <c r="N737" s="81">
        <f t="shared" si="311"/>
        <v>82.846874477443833</v>
      </c>
      <c r="O737" s="361"/>
    </row>
    <row r="738" spans="1:15" ht="11.1" customHeight="1" outlineLevel="1" x14ac:dyDescent="0.2">
      <c r="A738" s="119"/>
      <c r="B738" s="76"/>
      <c r="C738" s="82" t="s">
        <v>167</v>
      </c>
      <c r="D738" s="110"/>
      <c r="E738" s="110"/>
      <c r="F738" s="79" t="s">
        <v>8</v>
      </c>
      <c r="G738" s="140">
        <v>21945711</v>
      </c>
      <c r="H738" s="140">
        <f>ROUNDUP(3166525+M738,0)</f>
        <v>16511432</v>
      </c>
      <c r="I738" s="81">
        <f t="shared" si="310"/>
        <v>75.237626158478079</v>
      </c>
      <c r="J738" s="140">
        <v>15011231</v>
      </c>
      <c r="K738" s="141">
        <f t="shared" si="312"/>
        <v>224382</v>
      </c>
      <c r="L738" s="140">
        <v>15235613</v>
      </c>
      <c r="M738" s="80">
        <v>13344906.619999999</v>
      </c>
      <c r="N738" s="81">
        <f t="shared" si="311"/>
        <v>87.59021786652103</v>
      </c>
      <c r="O738" s="361"/>
    </row>
    <row r="739" spans="1:15" ht="11.1" customHeight="1" outlineLevel="1" x14ac:dyDescent="0.2">
      <c r="A739" s="119"/>
      <c r="B739" s="76" t="s">
        <v>12</v>
      </c>
      <c r="C739" s="82" t="s">
        <v>275</v>
      </c>
      <c r="D739" s="110"/>
      <c r="E739" s="110"/>
      <c r="F739" s="79" t="s">
        <v>22</v>
      </c>
      <c r="G739" s="140">
        <v>0</v>
      </c>
      <c r="H739" s="268">
        <f>ROUNDUP(0+M739,0)</f>
        <v>0</v>
      </c>
      <c r="I739" s="81" t="str">
        <f t="shared" si="310"/>
        <v>-</v>
      </c>
      <c r="J739" s="140">
        <v>0</v>
      </c>
      <c r="K739" s="141">
        <f t="shared" si="312"/>
        <v>0</v>
      </c>
      <c r="L739" s="140">
        <v>0</v>
      </c>
      <c r="M739" s="83">
        <v>0</v>
      </c>
      <c r="N739" s="81" t="str">
        <f t="shared" si="311"/>
        <v>-</v>
      </c>
      <c r="O739" s="361"/>
    </row>
    <row r="740" spans="1:15" ht="11.1" customHeight="1" outlineLevel="1" x14ac:dyDescent="0.2">
      <c r="A740" s="119"/>
      <c r="B740" s="76"/>
      <c r="C740" s="82" t="s">
        <v>276</v>
      </c>
      <c r="D740" s="110"/>
      <c r="E740" s="110"/>
      <c r="F740" s="107" t="s">
        <v>45</v>
      </c>
      <c r="G740" s="140">
        <v>0</v>
      </c>
      <c r="H740" s="268">
        <f>ROUNDUP(0+M740,0)</f>
        <v>0</v>
      </c>
      <c r="I740" s="81" t="str">
        <f t="shared" si="310"/>
        <v>-</v>
      </c>
      <c r="J740" s="140">
        <v>0</v>
      </c>
      <c r="K740" s="141">
        <f t="shared" si="312"/>
        <v>0</v>
      </c>
      <c r="L740" s="140">
        <v>0</v>
      </c>
      <c r="M740" s="83">
        <v>0</v>
      </c>
      <c r="N740" s="81" t="str">
        <f t="shared" si="311"/>
        <v>-</v>
      </c>
      <c r="O740" s="361"/>
    </row>
    <row r="741" spans="1:15" ht="11.1" customHeight="1" outlineLevel="1" x14ac:dyDescent="0.2">
      <c r="A741" s="119"/>
      <c r="B741" s="76" t="s">
        <v>23</v>
      </c>
      <c r="C741" s="82" t="s">
        <v>158</v>
      </c>
      <c r="D741" s="110"/>
      <c r="E741" s="110"/>
      <c r="F741" s="107" t="s">
        <v>46</v>
      </c>
      <c r="G741" s="141">
        <v>488487</v>
      </c>
      <c r="H741" s="141">
        <f>ROUNDUP(44217+M741,0)</f>
        <v>462479</v>
      </c>
      <c r="I741" s="81">
        <f t="shared" si="310"/>
        <v>94.675805087955254</v>
      </c>
      <c r="J741" s="141">
        <v>0</v>
      </c>
      <c r="K741" s="141">
        <f t="shared" si="312"/>
        <v>444270</v>
      </c>
      <c r="L741" s="140">
        <v>444270</v>
      </c>
      <c r="M741" s="89">
        <v>418261.84</v>
      </c>
      <c r="N741" s="81">
        <f t="shared" si="311"/>
        <v>94.145866252504121</v>
      </c>
      <c r="O741" s="361"/>
    </row>
    <row r="742" spans="1:15" ht="3.95" customHeight="1" outlineLevel="1" x14ac:dyDescent="0.2">
      <c r="A742" s="120"/>
      <c r="B742" s="85"/>
      <c r="C742" s="86"/>
      <c r="D742" s="84"/>
      <c r="E742" s="84"/>
      <c r="F742" s="85"/>
      <c r="G742" s="142"/>
      <c r="H742" s="142"/>
      <c r="I742" s="85"/>
      <c r="J742" s="142"/>
      <c r="K742" s="142"/>
      <c r="L742" s="143"/>
      <c r="M742" s="87"/>
      <c r="N742" s="88"/>
      <c r="O742" s="350"/>
    </row>
    <row r="743" spans="1:15" ht="3.95" customHeight="1" outlineLevel="1" x14ac:dyDescent="0.2">
      <c r="A743" s="154"/>
      <c r="B743" s="72"/>
      <c r="C743" s="73"/>
      <c r="D743" s="71"/>
      <c r="E743" s="71"/>
      <c r="F743" s="72"/>
      <c r="G743" s="137"/>
      <c r="H743" s="137"/>
      <c r="I743" s="75"/>
      <c r="J743" s="137"/>
      <c r="K743" s="137"/>
      <c r="L743" s="138"/>
      <c r="M743" s="74"/>
      <c r="N743" s="75"/>
      <c r="O743" s="349"/>
    </row>
    <row r="744" spans="1:15" ht="11.1" customHeight="1" outlineLevel="1" x14ac:dyDescent="0.2">
      <c r="A744" s="369" t="s">
        <v>93</v>
      </c>
      <c r="B744" s="76" t="s">
        <v>9</v>
      </c>
      <c r="C744" s="77" t="s">
        <v>105</v>
      </c>
      <c r="D744" s="360" t="s">
        <v>469</v>
      </c>
      <c r="E744" s="360" t="s">
        <v>162</v>
      </c>
      <c r="F744" s="78" t="s">
        <v>28</v>
      </c>
      <c r="G744" s="139">
        <f>SUM(G745:G750)</f>
        <v>43361434</v>
      </c>
      <c r="H744" s="139">
        <f>SUM(H745:H750)</f>
        <v>33769564</v>
      </c>
      <c r="I744" s="39">
        <f t="shared" ref="I744:I750" si="313">IF(G744&gt;0,H744/G744*100,"-")</f>
        <v>77.879260173913991</v>
      </c>
      <c r="J744" s="139">
        <f>SUM(J745:J750)</f>
        <v>27976029</v>
      </c>
      <c r="K744" s="139">
        <f>SUM(K745:K750)</f>
        <v>689480</v>
      </c>
      <c r="L744" s="139">
        <f>SUM(L745:L750)</f>
        <v>28665509</v>
      </c>
      <c r="M744" s="38">
        <f>SUM(M745:M750)</f>
        <v>19073637.640000001</v>
      </c>
      <c r="N744" s="39">
        <f t="shared" ref="N744:N750" si="314">IF(L744&gt;0,M744/L744*100,"-")</f>
        <v>66.538632333373187</v>
      </c>
      <c r="O744" s="361" t="s">
        <v>531</v>
      </c>
    </row>
    <row r="745" spans="1:15" ht="11.1" customHeight="1" outlineLevel="1" x14ac:dyDescent="0.2">
      <c r="A745" s="369"/>
      <c r="B745" s="76" t="s">
        <v>10</v>
      </c>
      <c r="C745" s="77" t="s">
        <v>165</v>
      </c>
      <c r="D745" s="360"/>
      <c r="E745" s="360"/>
      <c r="F745" s="79" t="s">
        <v>15</v>
      </c>
      <c r="G745" s="140">
        <v>723550</v>
      </c>
      <c r="H745" s="140">
        <f>ROUNDUP(723550+M745,0)</f>
        <v>723550</v>
      </c>
      <c r="I745" s="81">
        <f t="shared" si="313"/>
        <v>100</v>
      </c>
      <c r="J745" s="140">
        <v>0</v>
      </c>
      <c r="K745" s="141">
        <f t="shared" ref="K745:K750" si="315">L745-J745</f>
        <v>0</v>
      </c>
      <c r="L745" s="140">
        <v>0</v>
      </c>
      <c r="M745" s="83">
        <v>0</v>
      </c>
      <c r="N745" s="81" t="str">
        <f t="shared" si="314"/>
        <v>-</v>
      </c>
      <c r="O745" s="361"/>
    </row>
    <row r="746" spans="1:15" ht="11.1" customHeight="1" outlineLevel="1" x14ac:dyDescent="0.2">
      <c r="A746" s="369"/>
      <c r="B746" s="76" t="s">
        <v>11</v>
      </c>
      <c r="C746" s="82" t="s">
        <v>166</v>
      </c>
      <c r="D746" s="360"/>
      <c r="E746" s="360"/>
      <c r="F746" s="79" t="s">
        <v>7</v>
      </c>
      <c r="G746" s="140">
        <v>24564386</v>
      </c>
      <c r="H746" s="185">
        <f>ROUNDUP(8113205+M746,0)</f>
        <v>19062985</v>
      </c>
      <c r="I746" s="81">
        <f t="shared" si="313"/>
        <v>77.604158312770366</v>
      </c>
      <c r="J746" s="140">
        <v>16451181</v>
      </c>
      <c r="K746" s="141">
        <f t="shared" si="315"/>
        <v>0</v>
      </c>
      <c r="L746" s="140">
        <v>16451181</v>
      </c>
      <c r="M746" s="83">
        <v>10949779.32</v>
      </c>
      <c r="N746" s="81">
        <f t="shared" si="314"/>
        <v>66.559229516713728</v>
      </c>
      <c r="O746" s="361"/>
    </row>
    <row r="747" spans="1:15" ht="11.1" customHeight="1" outlineLevel="1" x14ac:dyDescent="0.2">
      <c r="A747" s="119"/>
      <c r="B747" s="76"/>
      <c r="C747" s="82" t="s">
        <v>167</v>
      </c>
      <c r="D747" s="110"/>
      <c r="E747" s="110"/>
      <c r="F747" s="79" t="s">
        <v>8</v>
      </c>
      <c r="G747" s="140">
        <v>17297150</v>
      </c>
      <c r="H747" s="185">
        <f>ROUNDUP(5772302+M747,0)</f>
        <v>13279425</v>
      </c>
      <c r="I747" s="81">
        <f t="shared" si="313"/>
        <v>76.772329545618788</v>
      </c>
      <c r="J747" s="140">
        <v>11524848</v>
      </c>
      <c r="K747" s="141">
        <f t="shared" si="315"/>
        <v>0</v>
      </c>
      <c r="L747" s="140">
        <v>11524848</v>
      </c>
      <c r="M747" s="80">
        <v>7507122.6500000004</v>
      </c>
      <c r="N747" s="81">
        <f t="shared" si="314"/>
        <v>65.138582738791868</v>
      </c>
      <c r="O747" s="361"/>
    </row>
    <row r="748" spans="1:15" ht="11.1" customHeight="1" outlineLevel="1" x14ac:dyDescent="0.2">
      <c r="A748" s="119"/>
      <c r="B748" s="76" t="s">
        <v>12</v>
      </c>
      <c r="C748" s="82" t="s">
        <v>277</v>
      </c>
      <c r="D748" s="110"/>
      <c r="E748" s="110"/>
      <c r="F748" s="79" t="s">
        <v>22</v>
      </c>
      <c r="G748" s="140">
        <v>0</v>
      </c>
      <c r="H748" s="268">
        <f>ROUNDUP(0+M748,0)</f>
        <v>0</v>
      </c>
      <c r="I748" s="81" t="str">
        <f t="shared" si="313"/>
        <v>-</v>
      </c>
      <c r="J748" s="140">
        <v>0</v>
      </c>
      <c r="K748" s="141">
        <f t="shared" si="315"/>
        <v>0</v>
      </c>
      <c r="L748" s="140">
        <v>0</v>
      </c>
      <c r="M748" s="83">
        <v>0</v>
      </c>
      <c r="N748" s="81" t="str">
        <f t="shared" si="314"/>
        <v>-</v>
      </c>
      <c r="O748" s="361"/>
    </row>
    <row r="749" spans="1:15" ht="11.1" customHeight="1" outlineLevel="1" x14ac:dyDescent="0.2">
      <c r="A749" s="119"/>
      <c r="B749" s="76"/>
      <c r="C749" s="82" t="s">
        <v>169</v>
      </c>
      <c r="D749" s="110"/>
      <c r="E749" s="110"/>
      <c r="F749" s="107" t="s">
        <v>45</v>
      </c>
      <c r="G749" s="140">
        <v>0</v>
      </c>
      <c r="H749" s="268">
        <f>ROUNDUP(0+M749,0)</f>
        <v>0</v>
      </c>
      <c r="I749" s="81" t="str">
        <f t="shared" si="313"/>
        <v>-</v>
      </c>
      <c r="J749" s="140">
        <v>0</v>
      </c>
      <c r="K749" s="141">
        <f t="shared" si="315"/>
        <v>0</v>
      </c>
      <c r="L749" s="140">
        <v>0</v>
      </c>
      <c r="M749" s="83">
        <v>0</v>
      </c>
      <c r="N749" s="81" t="str">
        <f t="shared" si="314"/>
        <v>-</v>
      </c>
      <c r="O749" s="361"/>
    </row>
    <row r="750" spans="1:15" ht="11.1" customHeight="1" outlineLevel="1" x14ac:dyDescent="0.2">
      <c r="A750" s="119"/>
      <c r="B750" s="76"/>
      <c r="C750" s="82" t="s">
        <v>278</v>
      </c>
      <c r="D750" s="110"/>
      <c r="E750" s="110"/>
      <c r="F750" s="107" t="s">
        <v>46</v>
      </c>
      <c r="G750" s="141">
        <v>776348</v>
      </c>
      <c r="H750" s="141">
        <f>ROUNDUP(86868+M750,0)</f>
        <v>703604</v>
      </c>
      <c r="I750" s="81">
        <f t="shared" si="313"/>
        <v>90.62997521729946</v>
      </c>
      <c r="J750" s="141">
        <v>0</v>
      </c>
      <c r="K750" s="141">
        <f t="shared" si="315"/>
        <v>689480</v>
      </c>
      <c r="L750" s="140">
        <v>689480</v>
      </c>
      <c r="M750" s="89">
        <v>616735.67000000004</v>
      </c>
      <c r="N750" s="81">
        <f t="shared" si="314"/>
        <v>89.449392295643108</v>
      </c>
      <c r="O750" s="361"/>
    </row>
    <row r="751" spans="1:15" ht="11.1" customHeight="1" outlineLevel="1" x14ac:dyDescent="0.2">
      <c r="A751" s="119"/>
      <c r="B751" s="76" t="s">
        <v>23</v>
      </c>
      <c r="C751" s="82" t="s">
        <v>158</v>
      </c>
      <c r="D751" s="110"/>
      <c r="E751" s="110"/>
      <c r="F751" s="107"/>
      <c r="G751" s="141"/>
      <c r="H751" s="141"/>
      <c r="I751" s="151"/>
      <c r="J751" s="141"/>
      <c r="K751" s="141"/>
      <c r="L751" s="140"/>
      <c r="M751" s="89"/>
      <c r="N751" s="81"/>
      <c r="O751" s="356"/>
    </row>
    <row r="752" spans="1:15" ht="3.95" customHeight="1" outlineLevel="1" x14ac:dyDescent="0.2">
      <c r="A752" s="120"/>
      <c r="B752" s="85"/>
      <c r="C752" s="86"/>
      <c r="D752" s="84"/>
      <c r="E752" s="84"/>
      <c r="F752" s="85"/>
      <c r="G752" s="142"/>
      <c r="H752" s="142"/>
      <c r="I752" s="85"/>
      <c r="J752" s="142"/>
      <c r="K752" s="142"/>
      <c r="L752" s="143"/>
      <c r="M752" s="87"/>
      <c r="N752" s="88"/>
      <c r="O752" s="350"/>
    </row>
    <row r="753" spans="1:15" ht="3.95" customHeight="1" outlineLevel="1" x14ac:dyDescent="0.2">
      <c r="A753" s="154"/>
      <c r="B753" s="72"/>
      <c r="C753" s="73"/>
      <c r="D753" s="71"/>
      <c r="E753" s="71"/>
      <c r="F753" s="72"/>
      <c r="G753" s="137"/>
      <c r="H753" s="137"/>
      <c r="I753" s="75"/>
      <c r="J753" s="137"/>
      <c r="K753" s="137"/>
      <c r="L753" s="138"/>
      <c r="M753" s="74"/>
      <c r="N753" s="75"/>
      <c r="O753" s="349"/>
    </row>
    <row r="754" spans="1:15" ht="11.1" customHeight="1" outlineLevel="1" x14ac:dyDescent="0.2">
      <c r="A754" s="369" t="s">
        <v>94</v>
      </c>
      <c r="B754" s="76" t="s">
        <v>9</v>
      </c>
      <c r="C754" s="77" t="s">
        <v>105</v>
      </c>
      <c r="D754" s="360" t="s">
        <v>168</v>
      </c>
      <c r="E754" s="360" t="s">
        <v>162</v>
      </c>
      <c r="F754" s="78" t="s">
        <v>28</v>
      </c>
      <c r="G754" s="139">
        <f>SUM(G755:G760)</f>
        <v>25702259</v>
      </c>
      <c r="H754" s="139">
        <f>SUM(H755:H760)</f>
        <v>24258968</v>
      </c>
      <c r="I754" s="39">
        <f t="shared" ref="I754:I760" si="316">IF(G754&gt;0,H754/G754*100,"-")</f>
        <v>94.384575301338302</v>
      </c>
      <c r="J754" s="139">
        <f>SUM(J755:J760)</f>
        <v>3937960</v>
      </c>
      <c r="K754" s="139">
        <f>SUM(K755:K760)</f>
        <v>700178</v>
      </c>
      <c r="L754" s="139">
        <f>SUM(L755:L760)</f>
        <v>4638138</v>
      </c>
      <c r="M754" s="38">
        <f>SUM(M755:M760)</f>
        <v>3194845.5599999996</v>
      </c>
      <c r="N754" s="39">
        <f t="shared" ref="N754:N760" si="317">IF(L754&gt;0,M754/L754*100,"-")</f>
        <v>68.882072072887851</v>
      </c>
      <c r="O754" s="361" t="s">
        <v>532</v>
      </c>
    </row>
    <row r="755" spans="1:15" ht="11.1" customHeight="1" outlineLevel="1" x14ac:dyDescent="0.2">
      <c r="A755" s="369"/>
      <c r="B755" s="76" t="s">
        <v>10</v>
      </c>
      <c r="C755" s="77" t="s">
        <v>165</v>
      </c>
      <c r="D755" s="360"/>
      <c r="E755" s="360"/>
      <c r="F755" s="79" t="s">
        <v>15</v>
      </c>
      <c r="G755" s="140">
        <v>391846</v>
      </c>
      <c r="H755" s="140">
        <f>ROUNDUP(387249+M755,0)</f>
        <v>387249</v>
      </c>
      <c r="I755" s="81">
        <f t="shared" si="316"/>
        <v>98.826835032129964</v>
      </c>
      <c r="J755" s="140">
        <v>0</v>
      </c>
      <c r="K755" s="141">
        <f t="shared" ref="K755:K760" si="318">L755-J755</f>
        <v>4597</v>
      </c>
      <c r="L755" s="140">
        <v>4597</v>
      </c>
      <c r="M755" s="83">
        <v>0</v>
      </c>
      <c r="N755" s="81">
        <f t="shared" si="317"/>
        <v>0</v>
      </c>
      <c r="O755" s="361"/>
    </row>
    <row r="756" spans="1:15" ht="11.1" customHeight="1" outlineLevel="1" x14ac:dyDescent="0.2">
      <c r="A756" s="369"/>
      <c r="B756" s="76" t="s">
        <v>11</v>
      </c>
      <c r="C756" s="82" t="s">
        <v>166</v>
      </c>
      <c r="D756" s="360"/>
      <c r="E756" s="360"/>
      <c r="F756" s="79" t="s">
        <v>7</v>
      </c>
      <c r="G756" s="140">
        <v>11723756</v>
      </c>
      <c r="H756" s="140">
        <f>ROUNDUP(9761011+M756,0)</f>
        <v>11206018</v>
      </c>
      <c r="I756" s="81">
        <f t="shared" si="316"/>
        <v>95.583855549364898</v>
      </c>
      <c r="J756" s="140">
        <v>1928357</v>
      </c>
      <c r="K756" s="141">
        <f t="shared" si="318"/>
        <v>34388</v>
      </c>
      <c r="L756" s="140">
        <v>1962745</v>
      </c>
      <c r="M756" s="83">
        <v>1445006.97</v>
      </c>
      <c r="N756" s="81">
        <f t="shared" si="317"/>
        <v>73.621737413673188</v>
      </c>
      <c r="O756" s="361"/>
    </row>
    <row r="757" spans="1:15" ht="11.1" customHeight="1" outlineLevel="1" x14ac:dyDescent="0.2">
      <c r="A757" s="119"/>
      <c r="B757" s="76"/>
      <c r="C757" s="82" t="s">
        <v>167</v>
      </c>
      <c r="D757" s="110"/>
      <c r="E757" s="110"/>
      <c r="F757" s="79" t="s">
        <v>8</v>
      </c>
      <c r="G757" s="140">
        <v>10880756</v>
      </c>
      <c r="H757" s="140">
        <f>ROUNDUP(8738830+M757,0)</f>
        <v>9968379</v>
      </c>
      <c r="I757" s="81">
        <f t="shared" si="316"/>
        <v>91.614764635839634</v>
      </c>
      <c r="J757" s="140">
        <v>2009603</v>
      </c>
      <c r="K757" s="141">
        <f t="shared" si="318"/>
        <v>132323</v>
      </c>
      <c r="L757" s="140">
        <v>2141926</v>
      </c>
      <c r="M757" s="80">
        <v>1229548.17</v>
      </c>
      <c r="N757" s="81">
        <f t="shared" si="317"/>
        <v>57.403858489975846</v>
      </c>
      <c r="O757" s="361"/>
    </row>
    <row r="758" spans="1:15" ht="11.1" customHeight="1" outlineLevel="1" x14ac:dyDescent="0.2">
      <c r="A758" s="119"/>
      <c r="B758" s="76" t="s">
        <v>12</v>
      </c>
      <c r="C758" s="82" t="s">
        <v>279</v>
      </c>
      <c r="D758" s="110"/>
      <c r="E758" s="110"/>
      <c r="F758" s="79" t="s">
        <v>22</v>
      </c>
      <c r="G758" s="140">
        <v>2064759</v>
      </c>
      <c r="H758" s="140">
        <f>ROUNDUP(2064759+M758,0)</f>
        <v>2064759</v>
      </c>
      <c r="I758" s="81">
        <f t="shared" si="316"/>
        <v>100</v>
      </c>
      <c r="J758" s="140">
        <v>0</v>
      </c>
      <c r="K758" s="141">
        <f t="shared" si="318"/>
        <v>0</v>
      </c>
      <c r="L758" s="140">
        <v>0</v>
      </c>
      <c r="M758" s="89">
        <v>0</v>
      </c>
      <c r="N758" s="81" t="str">
        <f t="shared" si="317"/>
        <v>-</v>
      </c>
      <c r="O758" s="361"/>
    </row>
    <row r="759" spans="1:15" ht="11.1" customHeight="1" outlineLevel="1" x14ac:dyDescent="0.2">
      <c r="A759" s="119"/>
      <c r="B759" s="76"/>
      <c r="C759" s="82" t="s">
        <v>171</v>
      </c>
      <c r="D759" s="110"/>
      <c r="E759" s="110"/>
      <c r="F759" s="107" t="s">
        <v>45</v>
      </c>
      <c r="G759" s="140">
        <v>0</v>
      </c>
      <c r="H759" s="268">
        <f>ROUNDUP(0+M759,0)</f>
        <v>0</v>
      </c>
      <c r="I759" s="81" t="str">
        <f t="shared" si="316"/>
        <v>-</v>
      </c>
      <c r="J759" s="140">
        <v>0</v>
      </c>
      <c r="K759" s="141">
        <f t="shared" si="318"/>
        <v>0</v>
      </c>
      <c r="L759" s="140">
        <v>0</v>
      </c>
      <c r="M759" s="83">
        <v>0</v>
      </c>
      <c r="N759" s="81" t="str">
        <f t="shared" si="317"/>
        <v>-</v>
      </c>
      <c r="O759" s="361"/>
    </row>
    <row r="760" spans="1:15" ht="11.1" customHeight="1" outlineLevel="1" x14ac:dyDescent="0.2">
      <c r="A760" s="119"/>
      <c r="B760" s="76"/>
      <c r="C760" s="82" t="s">
        <v>280</v>
      </c>
      <c r="D760" s="110"/>
      <c r="E760" s="110"/>
      <c r="F760" s="107" t="s">
        <v>46</v>
      </c>
      <c r="G760" s="141">
        <v>641142</v>
      </c>
      <c r="H760" s="141">
        <f>ROUNDUP(112272+M760,0)</f>
        <v>632563</v>
      </c>
      <c r="I760" s="81">
        <f t="shared" si="316"/>
        <v>98.661918888483356</v>
      </c>
      <c r="J760" s="141">
        <v>0</v>
      </c>
      <c r="K760" s="141">
        <f t="shared" si="318"/>
        <v>528870</v>
      </c>
      <c r="L760" s="140">
        <v>528870</v>
      </c>
      <c r="M760" s="89">
        <v>520290.42</v>
      </c>
      <c r="N760" s="81">
        <f t="shared" si="317"/>
        <v>98.377752566793347</v>
      </c>
      <c r="O760" s="361"/>
    </row>
    <row r="761" spans="1:15" ht="11.1" customHeight="1" outlineLevel="1" x14ac:dyDescent="0.2">
      <c r="A761" s="119"/>
      <c r="B761" s="76" t="s">
        <v>23</v>
      </c>
      <c r="C761" s="82" t="s">
        <v>158</v>
      </c>
      <c r="D761" s="110"/>
      <c r="E761" s="110"/>
      <c r="F761" s="107"/>
      <c r="G761" s="141"/>
      <c r="H761" s="141"/>
      <c r="I761" s="151"/>
      <c r="J761" s="141"/>
      <c r="K761" s="141"/>
      <c r="L761" s="140"/>
      <c r="M761" s="89"/>
      <c r="N761" s="81"/>
      <c r="O761" s="362"/>
    </row>
    <row r="762" spans="1:15" ht="3.95" customHeight="1" outlineLevel="1" x14ac:dyDescent="0.2">
      <c r="A762" s="120"/>
      <c r="B762" s="85"/>
      <c r="C762" s="86"/>
      <c r="D762" s="84"/>
      <c r="E762" s="84"/>
      <c r="F762" s="85"/>
      <c r="G762" s="142"/>
      <c r="H762" s="142"/>
      <c r="I762" s="85"/>
      <c r="J762" s="142"/>
      <c r="K762" s="142"/>
      <c r="L762" s="143"/>
      <c r="M762" s="87"/>
      <c r="N762" s="88"/>
      <c r="O762" s="363"/>
    </row>
    <row r="763" spans="1:15" ht="3.95" customHeight="1" outlineLevel="1" x14ac:dyDescent="0.2">
      <c r="A763" s="154"/>
      <c r="B763" s="72"/>
      <c r="C763" s="73"/>
      <c r="D763" s="71"/>
      <c r="E763" s="71"/>
      <c r="F763" s="72"/>
      <c r="G763" s="137"/>
      <c r="H763" s="137"/>
      <c r="I763" s="75"/>
      <c r="J763" s="137"/>
      <c r="K763" s="137"/>
      <c r="L763" s="138"/>
      <c r="M763" s="74"/>
      <c r="N763" s="75"/>
      <c r="O763" s="349"/>
    </row>
    <row r="764" spans="1:15" ht="11.1" customHeight="1" outlineLevel="1" x14ac:dyDescent="0.2">
      <c r="A764" s="369" t="s">
        <v>98</v>
      </c>
      <c r="B764" s="76" t="s">
        <v>9</v>
      </c>
      <c r="C764" s="150" t="s">
        <v>105</v>
      </c>
      <c r="D764" s="360" t="s">
        <v>410</v>
      </c>
      <c r="E764" s="360" t="s">
        <v>162</v>
      </c>
      <c r="F764" s="78" t="s">
        <v>28</v>
      </c>
      <c r="G764" s="139">
        <f>SUM(G765:G770)</f>
        <v>19100240</v>
      </c>
      <c r="H764" s="139">
        <f>SUM(H765:H770)</f>
        <v>471225</v>
      </c>
      <c r="I764" s="39">
        <f t="shared" ref="I764:I770" si="319">IF(G764&gt;0,H764/G764*100,"-")</f>
        <v>2.4671155964532381</v>
      </c>
      <c r="J764" s="139">
        <f>SUM(J765:J770)</f>
        <v>6899960</v>
      </c>
      <c r="K764" s="139">
        <f>SUM(K765:K770)</f>
        <v>52200</v>
      </c>
      <c r="L764" s="139">
        <f>SUM(L765:L770)</f>
        <v>6952160</v>
      </c>
      <c r="M764" s="38">
        <f>SUM(M765:M770)</f>
        <v>135183.41999999998</v>
      </c>
      <c r="N764" s="39">
        <f t="shared" ref="N764:N770" si="320">IF(L764&gt;0,M764/L764*100,"-")</f>
        <v>1.9444808519942001</v>
      </c>
      <c r="O764" s="361" t="s">
        <v>533</v>
      </c>
    </row>
    <row r="765" spans="1:15" ht="11.1" customHeight="1" outlineLevel="1" x14ac:dyDescent="0.2">
      <c r="A765" s="369"/>
      <c r="B765" s="76" t="s">
        <v>10</v>
      </c>
      <c r="C765" s="150" t="s">
        <v>121</v>
      </c>
      <c r="D765" s="360"/>
      <c r="E765" s="360"/>
      <c r="F765" s="79" t="s">
        <v>15</v>
      </c>
      <c r="G765" s="140">
        <v>3156680</v>
      </c>
      <c r="H765" s="140">
        <f>ROUNDUP(50811+M765,0)</f>
        <v>50811</v>
      </c>
      <c r="I765" s="81">
        <f t="shared" si="319"/>
        <v>1.6096341726117311</v>
      </c>
      <c r="J765" s="140">
        <v>83869</v>
      </c>
      <c r="K765" s="141">
        <f t="shared" ref="K765:K770" si="321">L765-J765</f>
        <v>0</v>
      </c>
      <c r="L765" s="140">
        <v>83869</v>
      </c>
      <c r="M765" s="83">
        <v>0</v>
      </c>
      <c r="N765" s="81">
        <f t="shared" si="320"/>
        <v>0</v>
      </c>
      <c r="O765" s="361"/>
    </row>
    <row r="766" spans="1:15" ht="11.1" customHeight="1" outlineLevel="1" x14ac:dyDescent="0.2">
      <c r="A766" s="369"/>
      <c r="B766" s="76"/>
      <c r="C766" s="82" t="s">
        <v>122</v>
      </c>
      <c r="D766" s="360"/>
      <c r="E766" s="360"/>
      <c r="F766" s="79" t="s">
        <v>7</v>
      </c>
      <c r="G766" s="140">
        <v>9535000</v>
      </c>
      <c r="H766" s="140">
        <f>ROUNDUP(105000+M766,0)</f>
        <v>144870</v>
      </c>
      <c r="I766" s="81">
        <f t="shared" si="319"/>
        <v>1.519349764027268</v>
      </c>
      <c r="J766" s="140">
        <v>1956000</v>
      </c>
      <c r="K766" s="141">
        <f t="shared" si="321"/>
        <v>0</v>
      </c>
      <c r="L766" s="140">
        <v>1956000</v>
      </c>
      <c r="M766" s="83">
        <v>39869.4</v>
      </c>
      <c r="N766" s="81">
        <f t="shared" si="320"/>
        <v>2.0383128834355828</v>
      </c>
      <c r="O766" s="361"/>
    </row>
    <row r="767" spans="1:15" ht="11.1" customHeight="1" outlineLevel="1" x14ac:dyDescent="0.2">
      <c r="A767" s="119"/>
      <c r="B767" s="76" t="s">
        <v>11</v>
      </c>
      <c r="C767" s="82" t="s">
        <v>175</v>
      </c>
      <c r="D767" s="110"/>
      <c r="E767" s="110"/>
      <c r="F767" s="79" t="s">
        <v>8</v>
      </c>
      <c r="G767" s="140">
        <v>3463800</v>
      </c>
      <c r="H767" s="140">
        <f>ROUNDUP(173700+M767,0)</f>
        <v>231871</v>
      </c>
      <c r="I767" s="81">
        <f t="shared" si="319"/>
        <v>6.6941220624747384</v>
      </c>
      <c r="J767" s="140">
        <v>1974060</v>
      </c>
      <c r="K767" s="141">
        <f t="shared" si="321"/>
        <v>0</v>
      </c>
      <c r="L767" s="140">
        <v>1974060</v>
      </c>
      <c r="M767" s="80">
        <f>26579.6+31591.21</f>
        <v>58170.81</v>
      </c>
      <c r="N767" s="81">
        <f t="shared" si="320"/>
        <v>2.946759976900398</v>
      </c>
      <c r="O767" s="361"/>
    </row>
    <row r="768" spans="1:15" ht="11.1" customHeight="1" outlineLevel="1" x14ac:dyDescent="0.2">
      <c r="A768" s="119"/>
      <c r="B768" s="76"/>
      <c r="C768" s="82" t="s">
        <v>123</v>
      </c>
      <c r="D768" s="110"/>
      <c r="E768" s="110"/>
      <c r="F768" s="79" t="s">
        <v>22</v>
      </c>
      <c r="G768" s="140">
        <v>2886031</v>
      </c>
      <c r="H768" s="268">
        <f>ROUNDUP(0+M768,0)</f>
        <v>24354</v>
      </c>
      <c r="I768" s="81">
        <f t="shared" si="319"/>
        <v>0.84385787955846625</v>
      </c>
      <c r="J768" s="140">
        <v>2886031</v>
      </c>
      <c r="K768" s="141">
        <f t="shared" si="321"/>
        <v>0</v>
      </c>
      <c r="L768" s="140">
        <v>2886031</v>
      </c>
      <c r="M768" s="83">
        <v>24354</v>
      </c>
      <c r="N768" s="81">
        <f t="shared" si="320"/>
        <v>0.84385787955846625</v>
      </c>
      <c r="O768" s="361"/>
    </row>
    <row r="769" spans="1:15" ht="11.1" customHeight="1" outlineLevel="1" x14ac:dyDescent="0.2">
      <c r="A769" s="119"/>
      <c r="B769" s="76" t="s">
        <v>12</v>
      </c>
      <c r="C769" s="82" t="s">
        <v>281</v>
      </c>
      <c r="D769" s="110"/>
      <c r="E769" s="110"/>
      <c r="F769" s="107" t="s">
        <v>45</v>
      </c>
      <c r="G769" s="140">
        <v>0</v>
      </c>
      <c r="H769" s="268">
        <f>ROUNDUP(0+M769,0)</f>
        <v>0</v>
      </c>
      <c r="I769" s="81" t="str">
        <f t="shared" si="319"/>
        <v>-</v>
      </c>
      <c r="J769" s="140">
        <v>0</v>
      </c>
      <c r="K769" s="141">
        <f t="shared" si="321"/>
        <v>0</v>
      </c>
      <c r="L769" s="140">
        <v>0</v>
      </c>
      <c r="M769" s="83">
        <v>0</v>
      </c>
      <c r="N769" s="81" t="str">
        <f t="shared" si="320"/>
        <v>-</v>
      </c>
      <c r="O769" s="361"/>
    </row>
    <row r="770" spans="1:15" ht="11.1" customHeight="1" outlineLevel="1" x14ac:dyDescent="0.2">
      <c r="A770" s="119"/>
      <c r="B770" s="76"/>
      <c r="C770" s="82" t="s">
        <v>172</v>
      </c>
      <c r="D770" s="110"/>
      <c r="E770" s="110"/>
      <c r="F770" s="107" t="s">
        <v>46</v>
      </c>
      <c r="G770" s="141">
        <v>58729</v>
      </c>
      <c r="H770" s="141">
        <f>ROUNDUP(6529+M770,0)</f>
        <v>19319</v>
      </c>
      <c r="I770" s="81">
        <f t="shared" si="319"/>
        <v>32.895162526179575</v>
      </c>
      <c r="J770" s="141">
        <v>0</v>
      </c>
      <c r="K770" s="141">
        <f t="shared" si="321"/>
        <v>52200</v>
      </c>
      <c r="L770" s="140">
        <v>52200</v>
      </c>
      <c r="M770" s="89">
        <f>44380.42-31591.21</f>
        <v>12789.21</v>
      </c>
      <c r="N770" s="81">
        <f t="shared" si="320"/>
        <v>24.500402298850574</v>
      </c>
      <c r="O770" s="361"/>
    </row>
    <row r="771" spans="1:15" ht="11.1" customHeight="1" outlineLevel="1" x14ac:dyDescent="0.2">
      <c r="A771" s="119"/>
      <c r="B771" s="76"/>
      <c r="C771" s="82" t="s">
        <v>282</v>
      </c>
      <c r="D771" s="110"/>
      <c r="E771" s="110"/>
      <c r="F771" s="107"/>
      <c r="G771" s="141"/>
      <c r="H771" s="141"/>
      <c r="I771" s="151"/>
      <c r="J771" s="141"/>
      <c r="K771" s="141"/>
      <c r="L771" s="140"/>
      <c r="M771" s="89"/>
      <c r="N771" s="81"/>
      <c r="O771" s="362"/>
    </row>
    <row r="772" spans="1:15" ht="11.1" customHeight="1" outlineLevel="1" x14ac:dyDescent="0.2">
      <c r="A772" s="119"/>
      <c r="B772" s="76" t="s">
        <v>23</v>
      </c>
      <c r="C772" s="82" t="s">
        <v>173</v>
      </c>
      <c r="D772" s="110"/>
      <c r="E772" s="110"/>
      <c r="F772" s="107"/>
      <c r="G772" s="141"/>
      <c r="H772" s="141"/>
      <c r="I772" s="151"/>
      <c r="J772" s="141"/>
      <c r="K772" s="141"/>
      <c r="L772" s="140"/>
      <c r="M772" s="89"/>
      <c r="N772" s="81"/>
      <c r="O772" s="362"/>
    </row>
    <row r="773" spans="1:15" ht="3.95" customHeight="1" outlineLevel="1" x14ac:dyDescent="0.2">
      <c r="A773" s="120"/>
      <c r="B773" s="85"/>
      <c r="C773" s="86"/>
      <c r="D773" s="84"/>
      <c r="E773" s="84"/>
      <c r="F773" s="85"/>
      <c r="G773" s="142"/>
      <c r="H773" s="142"/>
      <c r="I773" s="85"/>
      <c r="J773" s="142"/>
      <c r="K773" s="142"/>
      <c r="L773" s="143"/>
      <c r="M773" s="87"/>
      <c r="N773" s="88"/>
      <c r="O773" s="363"/>
    </row>
    <row r="774" spans="1:15" ht="3.95" customHeight="1" outlineLevel="1" x14ac:dyDescent="0.2">
      <c r="A774" s="154"/>
      <c r="B774" s="72"/>
      <c r="C774" s="73"/>
      <c r="D774" s="71"/>
      <c r="E774" s="71"/>
      <c r="F774" s="72"/>
      <c r="G774" s="137"/>
      <c r="H774" s="137"/>
      <c r="I774" s="75"/>
      <c r="J774" s="137"/>
      <c r="K774" s="137"/>
      <c r="L774" s="138"/>
      <c r="M774" s="74"/>
      <c r="N774" s="75"/>
      <c r="O774" s="364" t="s">
        <v>534</v>
      </c>
    </row>
    <row r="775" spans="1:15" ht="11.1" customHeight="1" outlineLevel="1" x14ac:dyDescent="0.2">
      <c r="A775" s="369" t="s">
        <v>99</v>
      </c>
      <c r="B775" s="76" t="s">
        <v>9</v>
      </c>
      <c r="C775" s="150" t="s">
        <v>105</v>
      </c>
      <c r="D775" s="360" t="s">
        <v>140</v>
      </c>
      <c r="E775" s="360" t="s">
        <v>160</v>
      </c>
      <c r="F775" s="78" t="s">
        <v>28</v>
      </c>
      <c r="G775" s="139">
        <f>SUM(G776:G781)</f>
        <v>7679021</v>
      </c>
      <c r="H775" s="139">
        <f>SUM(H776:H781)</f>
        <v>7405727</v>
      </c>
      <c r="I775" s="39">
        <f t="shared" ref="I775:I781" si="322">IF(G775&gt;0,H775/G775*100,"-")</f>
        <v>96.441030699095634</v>
      </c>
      <c r="J775" s="139">
        <f>SUM(J776:J781)</f>
        <v>1111421</v>
      </c>
      <c r="K775" s="139">
        <f>SUM(K776:K781)</f>
        <v>40470</v>
      </c>
      <c r="L775" s="139">
        <f>SUM(L776:L781)</f>
        <v>1151891</v>
      </c>
      <c r="M775" s="38">
        <f>SUM(M776:M781)</f>
        <v>878596.39999999991</v>
      </c>
      <c r="N775" s="39">
        <f t="shared" ref="N775:N781" si="323">IF(L775&gt;0,M775/L775*100,"-")</f>
        <v>76.274265533804837</v>
      </c>
      <c r="O775" s="362"/>
    </row>
    <row r="776" spans="1:15" ht="11.1" customHeight="1" outlineLevel="1" x14ac:dyDescent="0.2">
      <c r="A776" s="369"/>
      <c r="B776" s="76" t="s">
        <v>10</v>
      </c>
      <c r="C776" s="150" t="s">
        <v>121</v>
      </c>
      <c r="D776" s="360"/>
      <c r="E776" s="360"/>
      <c r="F776" s="79" t="s">
        <v>15</v>
      </c>
      <c r="G776" s="140">
        <v>1165804</v>
      </c>
      <c r="H776" s="140">
        <f>ROUNDUP(1029022+M776,0)</f>
        <v>1111832</v>
      </c>
      <c r="I776" s="81">
        <f t="shared" si="322"/>
        <v>95.370405316845719</v>
      </c>
      <c r="J776" s="140">
        <v>136782</v>
      </c>
      <c r="K776" s="141">
        <f t="shared" ref="K776:K781" si="324">L776-J776</f>
        <v>0</v>
      </c>
      <c r="L776" s="140">
        <v>136782</v>
      </c>
      <c r="M776" s="83">
        <v>82809.81</v>
      </c>
      <c r="N776" s="81">
        <f t="shared" si="323"/>
        <v>60.541452822739828</v>
      </c>
      <c r="O776" s="362"/>
    </row>
    <row r="777" spans="1:15" ht="11.1" customHeight="1" outlineLevel="1" x14ac:dyDescent="0.2">
      <c r="A777" s="369"/>
      <c r="B777" s="76"/>
      <c r="C777" s="82" t="s">
        <v>122</v>
      </c>
      <c r="D777" s="360"/>
      <c r="E777" s="360"/>
      <c r="F777" s="79" t="s">
        <v>7</v>
      </c>
      <c r="G777" s="140">
        <v>5735871</v>
      </c>
      <c r="H777" s="140">
        <f>ROUNDUP(4835796+M777,0)</f>
        <v>5518022</v>
      </c>
      <c r="I777" s="81">
        <f t="shared" si="322"/>
        <v>96.201989200942634</v>
      </c>
      <c r="J777" s="140">
        <v>900075</v>
      </c>
      <c r="K777" s="141">
        <f t="shared" si="324"/>
        <v>0</v>
      </c>
      <c r="L777" s="140">
        <v>900075</v>
      </c>
      <c r="M777" s="83">
        <v>682225.62</v>
      </c>
      <c r="N777" s="81">
        <f t="shared" si="323"/>
        <v>75.796530289142567</v>
      </c>
      <c r="O777" s="362"/>
    </row>
    <row r="778" spans="1:15" ht="11.1" customHeight="1" outlineLevel="1" x14ac:dyDescent="0.2">
      <c r="A778" s="119"/>
      <c r="B778" s="76" t="s">
        <v>11</v>
      </c>
      <c r="C778" s="82" t="s">
        <v>175</v>
      </c>
      <c r="D778" s="110"/>
      <c r="E778" s="110"/>
      <c r="F778" s="79" t="s">
        <v>8</v>
      </c>
      <c r="G778" s="140">
        <v>717392</v>
      </c>
      <c r="H778" s="140">
        <f>ROUNDUP(642828+M778,0)</f>
        <v>717392</v>
      </c>
      <c r="I778" s="81">
        <f t="shared" si="322"/>
        <v>100</v>
      </c>
      <c r="J778" s="140">
        <v>74564</v>
      </c>
      <c r="K778" s="141">
        <f t="shared" si="324"/>
        <v>0</v>
      </c>
      <c r="L778" s="140">
        <v>74564</v>
      </c>
      <c r="M778" s="80">
        <v>74564</v>
      </c>
      <c r="N778" s="81">
        <f t="shared" si="323"/>
        <v>100</v>
      </c>
      <c r="O778" s="362"/>
    </row>
    <row r="779" spans="1:15" ht="11.1" customHeight="1" outlineLevel="1" x14ac:dyDescent="0.2">
      <c r="A779" s="119"/>
      <c r="B779" s="76"/>
      <c r="C779" s="82" t="s">
        <v>123</v>
      </c>
      <c r="D779" s="110"/>
      <c r="E779" s="110"/>
      <c r="F779" s="79" t="s">
        <v>22</v>
      </c>
      <c r="G779" s="140">
        <v>0</v>
      </c>
      <c r="H779" s="268">
        <f>ROUNDUP(0+M779,0)</f>
        <v>0</v>
      </c>
      <c r="I779" s="81" t="str">
        <f t="shared" si="322"/>
        <v>-</v>
      </c>
      <c r="J779" s="140">
        <v>0</v>
      </c>
      <c r="K779" s="141">
        <f t="shared" si="324"/>
        <v>0</v>
      </c>
      <c r="L779" s="140">
        <v>0</v>
      </c>
      <c r="M779" s="83">
        <v>0</v>
      </c>
      <c r="N779" s="81" t="str">
        <f t="shared" si="323"/>
        <v>-</v>
      </c>
      <c r="O779" s="362"/>
    </row>
    <row r="780" spans="1:15" ht="11.1" customHeight="1" outlineLevel="1" x14ac:dyDescent="0.2">
      <c r="A780" s="119"/>
      <c r="B780" s="76" t="s">
        <v>12</v>
      </c>
      <c r="C780" s="82" t="s">
        <v>283</v>
      </c>
      <c r="D780" s="110"/>
      <c r="E780" s="110"/>
      <c r="F780" s="107" t="s">
        <v>45</v>
      </c>
      <c r="G780" s="140">
        <v>0</v>
      </c>
      <c r="H780" s="268">
        <f>ROUNDUP(0+M780,0)</f>
        <v>0</v>
      </c>
      <c r="I780" s="81" t="str">
        <f t="shared" si="322"/>
        <v>-</v>
      </c>
      <c r="J780" s="140">
        <v>0</v>
      </c>
      <c r="K780" s="141">
        <f t="shared" si="324"/>
        <v>0</v>
      </c>
      <c r="L780" s="140">
        <v>0</v>
      </c>
      <c r="M780" s="83">
        <v>0</v>
      </c>
      <c r="N780" s="81" t="str">
        <f t="shared" si="323"/>
        <v>-</v>
      </c>
      <c r="O780" s="362"/>
    </row>
    <row r="781" spans="1:15" ht="11.1" customHeight="1" outlineLevel="1" x14ac:dyDescent="0.2">
      <c r="A781" s="119"/>
      <c r="B781" s="76"/>
      <c r="C781" s="82" t="s">
        <v>284</v>
      </c>
      <c r="D781" s="110"/>
      <c r="E781" s="110"/>
      <c r="F781" s="107" t="s">
        <v>46</v>
      </c>
      <c r="G781" s="141">
        <v>59954</v>
      </c>
      <c r="H781" s="141">
        <f>ROUNDUP(19484+M781,0)</f>
        <v>58481</v>
      </c>
      <c r="I781" s="81">
        <f t="shared" si="322"/>
        <v>97.543116389231741</v>
      </c>
      <c r="J781" s="141">
        <v>0</v>
      </c>
      <c r="K781" s="141">
        <f t="shared" si="324"/>
        <v>40470</v>
      </c>
      <c r="L781" s="140">
        <v>40470</v>
      </c>
      <c r="M781" s="89">
        <v>38996.97</v>
      </c>
      <c r="N781" s="81">
        <f t="shared" si="323"/>
        <v>96.360192735359533</v>
      </c>
      <c r="O781" s="362"/>
    </row>
    <row r="782" spans="1:15" ht="11.1" customHeight="1" outlineLevel="1" x14ac:dyDescent="0.2">
      <c r="A782" s="119"/>
      <c r="B782" s="76" t="s">
        <v>23</v>
      </c>
      <c r="C782" s="82" t="s">
        <v>173</v>
      </c>
      <c r="D782" s="110"/>
      <c r="E782" s="110"/>
      <c r="F782" s="107"/>
      <c r="G782" s="141"/>
      <c r="H782" s="141"/>
      <c r="I782" s="151"/>
      <c r="J782" s="141"/>
      <c r="K782" s="141"/>
      <c r="L782" s="140"/>
      <c r="M782" s="89"/>
      <c r="N782" s="81"/>
      <c r="O782" s="362"/>
    </row>
    <row r="783" spans="1:15" ht="3.95" customHeight="1" outlineLevel="1" x14ac:dyDescent="0.2">
      <c r="A783" s="120"/>
      <c r="B783" s="85"/>
      <c r="C783" s="86"/>
      <c r="D783" s="84"/>
      <c r="E783" s="84"/>
      <c r="F783" s="85"/>
      <c r="G783" s="142"/>
      <c r="H783" s="142"/>
      <c r="I783" s="85"/>
      <c r="J783" s="142"/>
      <c r="K783" s="142"/>
      <c r="L783" s="143"/>
      <c r="M783" s="87"/>
      <c r="N783" s="88"/>
      <c r="O783" s="363"/>
    </row>
    <row r="784" spans="1:15" ht="3.95" customHeight="1" outlineLevel="1" x14ac:dyDescent="0.2">
      <c r="A784" s="154"/>
      <c r="B784" s="72"/>
      <c r="C784" s="73"/>
      <c r="D784" s="71"/>
      <c r="E784" s="71"/>
      <c r="F784" s="72"/>
      <c r="G784" s="137"/>
      <c r="H784" s="137"/>
      <c r="I784" s="75"/>
      <c r="J784" s="137"/>
      <c r="K784" s="137"/>
      <c r="L784" s="138"/>
      <c r="M784" s="74"/>
      <c r="N784" s="75"/>
      <c r="O784" s="349"/>
    </row>
    <row r="785" spans="1:15" ht="11.1" customHeight="1" outlineLevel="1" x14ac:dyDescent="0.2">
      <c r="A785" s="369" t="s">
        <v>100</v>
      </c>
      <c r="B785" s="76" t="s">
        <v>9</v>
      </c>
      <c r="C785" s="150" t="s">
        <v>105</v>
      </c>
      <c r="D785" s="360" t="s">
        <v>140</v>
      </c>
      <c r="E785" s="360" t="s">
        <v>162</v>
      </c>
      <c r="F785" s="78" t="s">
        <v>28</v>
      </c>
      <c r="G785" s="139">
        <f>SUM(G786:G791)</f>
        <v>9736601</v>
      </c>
      <c r="H785" s="139">
        <f>SUM(H786:H791)</f>
        <v>8446913</v>
      </c>
      <c r="I785" s="39">
        <f t="shared" ref="I785:I791" si="325">IF(G785&gt;0,H785/G785*100,"-")</f>
        <v>86.754227681713573</v>
      </c>
      <c r="J785" s="139">
        <f>SUM(J786:J791)</f>
        <v>3995955</v>
      </c>
      <c r="K785" s="139">
        <f>SUM(K786:K791)</f>
        <v>131050</v>
      </c>
      <c r="L785" s="139">
        <f>SUM(L786:L791)</f>
        <v>4127005</v>
      </c>
      <c r="M785" s="38">
        <f>SUM(M786:M791)</f>
        <v>2837315.11</v>
      </c>
      <c r="N785" s="39">
        <f t="shared" ref="N785:N791" si="326">IF(L785&gt;0,M785/L785*100,"-")</f>
        <v>68.74997994913987</v>
      </c>
      <c r="O785" s="361" t="s">
        <v>535</v>
      </c>
    </row>
    <row r="786" spans="1:15" ht="11.1" customHeight="1" outlineLevel="1" x14ac:dyDescent="0.2">
      <c r="A786" s="369"/>
      <c r="B786" s="76" t="s">
        <v>10</v>
      </c>
      <c r="C786" s="150" t="s">
        <v>121</v>
      </c>
      <c r="D786" s="360"/>
      <c r="E786" s="360"/>
      <c r="F786" s="79" t="s">
        <v>15</v>
      </c>
      <c r="G786" s="140">
        <v>465125</v>
      </c>
      <c r="H786" s="140">
        <f>ROUNDUP(201325+M786,0)</f>
        <v>272515</v>
      </c>
      <c r="I786" s="81">
        <f t="shared" si="325"/>
        <v>58.589626444504162</v>
      </c>
      <c r="J786" s="140">
        <v>263800</v>
      </c>
      <c r="K786" s="141">
        <f t="shared" ref="K786:K791" si="327">L786-J786</f>
        <v>0</v>
      </c>
      <c r="L786" s="140">
        <v>263800</v>
      </c>
      <c r="M786" s="83">
        <v>71189.440000000002</v>
      </c>
      <c r="N786" s="81">
        <f t="shared" si="326"/>
        <v>26.986141015921156</v>
      </c>
      <c r="O786" s="361"/>
    </row>
    <row r="787" spans="1:15" ht="11.1" customHeight="1" outlineLevel="1" x14ac:dyDescent="0.2">
      <c r="A787" s="369"/>
      <c r="B787" s="76"/>
      <c r="C787" s="82" t="s">
        <v>122</v>
      </c>
      <c r="D787" s="360"/>
      <c r="E787" s="360"/>
      <c r="F787" s="79" t="s">
        <v>7</v>
      </c>
      <c r="G787" s="140">
        <v>7362532</v>
      </c>
      <c r="H787" s="140">
        <f>ROUNDUP(4018420+M787,0)</f>
        <v>6279076</v>
      </c>
      <c r="I787" s="81">
        <f t="shared" si="325"/>
        <v>85.28419299230211</v>
      </c>
      <c r="J787" s="140">
        <v>3344112</v>
      </c>
      <c r="K787" s="141">
        <f t="shared" si="327"/>
        <v>0</v>
      </c>
      <c r="L787" s="140">
        <v>3344112</v>
      </c>
      <c r="M787" s="83">
        <v>2260655.04</v>
      </c>
      <c r="N787" s="81">
        <f t="shared" si="326"/>
        <v>67.601056423947526</v>
      </c>
      <c r="O787" s="361"/>
    </row>
    <row r="788" spans="1:15" ht="11.1" customHeight="1" outlineLevel="1" x14ac:dyDescent="0.2">
      <c r="A788" s="119"/>
      <c r="B788" s="76" t="s">
        <v>11</v>
      </c>
      <c r="C788" s="82" t="s">
        <v>175</v>
      </c>
      <c r="D788" s="110"/>
      <c r="E788" s="110"/>
      <c r="F788" s="79" t="s">
        <v>8</v>
      </c>
      <c r="G788" s="140">
        <v>1762800</v>
      </c>
      <c r="H788" s="140">
        <f>ROUNDUP(1374757+M788,0)</f>
        <v>1762800</v>
      </c>
      <c r="I788" s="81">
        <f t="shared" si="325"/>
        <v>100</v>
      </c>
      <c r="J788" s="140">
        <v>388043</v>
      </c>
      <c r="K788" s="141">
        <f t="shared" si="327"/>
        <v>0</v>
      </c>
      <c r="L788" s="140">
        <v>388043</v>
      </c>
      <c r="M788" s="80">
        <v>388043</v>
      </c>
      <c r="N788" s="81">
        <f t="shared" si="326"/>
        <v>100</v>
      </c>
      <c r="O788" s="361"/>
    </row>
    <row r="789" spans="1:15" ht="11.1" customHeight="1" outlineLevel="1" x14ac:dyDescent="0.2">
      <c r="A789" s="119"/>
      <c r="B789" s="76"/>
      <c r="C789" s="82" t="s">
        <v>123</v>
      </c>
      <c r="D789" s="110"/>
      <c r="E789" s="110"/>
      <c r="F789" s="79" t="s">
        <v>22</v>
      </c>
      <c r="G789" s="140">
        <v>0</v>
      </c>
      <c r="H789" s="268">
        <f>ROUNDUP(0+M789,0)</f>
        <v>0</v>
      </c>
      <c r="I789" s="81" t="str">
        <f t="shared" si="325"/>
        <v>-</v>
      </c>
      <c r="J789" s="140">
        <v>0</v>
      </c>
      <c r="K789" s="141">
        <f t="shared" si="327"/>
        <v>0</v>
      </c>
      <c r="L789" s="140">
        <v>0</v>
      </c>
      <c r="M789" s="83">
        <v>0</v>
      </c>
      <c r="N789" s="81" t="str">
        <f t="shared" si="326"/>
        <v>-</v>
      </c>
      <c r="O789" s="361"/>
    </row>
    <row r="790" spans="1:15" ht="11.1" customHeight="1" outlineLevel="1" x14ac:dyDescent="0.2">
      <c r="A790" s="119"/>
      <c r="B790" s="76" t="s">
        <v>12</v>
      </c>
      <c r="C790" s="82" t="s">
        <v>285</v>
      </c>
      <c r="D790" s="110"/>
      <c r="E790" s="110"/>
      <c r="F790" s="107" t="s">
        <v>45</v>
      </c>
      <c r="G790" s="140">
        <v>0</v>
      </c>
      <c r="H790" s="268">
        <f>ROUNDUP(0+M790,0)</f>
        <v>0</v>
      </c>
      <c r="I790" s="81" t="str">
        <f t="shared" si="325"/>
        <v>-</v>
      </c>
      <c r="J790" s="140">
        <v>0</v>
      </c>
      <c r="K790" s="141">
        <f t="shared" si="327"/>
        <v>0</v>
      </c>
      <c r="L790" s="140">
        <v>0</v>
      </c>
      <c r="M790" s="83">
        <v>0</v>
      </c>
      <c r="N790" s="81" t="str">
        <f t="shared" si="326"/>
        <v>-</v>
      </c>
      <c r="O790" s="361"/>
    </row>
    <row r="791" spans="1:15" ht="11.1" customHeight="1" outlineLevel="1" x14ac:dyDescent="0.2">
      <c r="A791" s="119"/>
      <c r="B791" s="76"/>
      <c r="C791" s="82" t="s">
        <v>411</v>
      </c>
      <c r="D791" s="110"/>
      <c r="E791" s="110"/>
      <c r="F791" s="107" t="s">
        <v>46</v>
      </c>
      <c r="G791" s="141">
        <v>146144</v>
      </c>
      <c r="H791" s="141">
        <f>ROUNDUP(15094+M791,0)</f>
        <v>132522</v>
      </c>
      <c r="I791" s="81">
        <f t="shared" si="325"/>
        <v>90.67905627326472</v>
      </c>
      <c r="J791" s="141">
        <v>0</v>
      </c>
      <c r="K791" s="141">
        <f t="shared" si="327"/>
        <v>131050</v>
      </c>
      <c r="L791" s="140">
        <v>131050</v>
      </c>
      <c r="M791" s="89">
        <v>117427.63</v>
      </c>
      <c r="N791" s="81">
        <f t="shared" si="326"/>
        <v>89.605211751239992</v>
      </c>
      <c r="O791" s="361"/>
    </row>
    <row r="792" spans="1:15" ht="11.1" customHeight="1" outlineLevel="1" x14ac:dyDescent="0.2">
      <c r="A792" s="119"/>
      <c r="B792" s="76"/>
      <c r="C792" s="82" t="s">
        <v>412</v>
      </c>
      <c r="D792" s="110"/>
      <c r="E792" s="110"/>
      <c r="F792" s="107"/>
      <c r="G792" s="141"/>
      <c r="H792" s="141"/>
      <c r="I792" s="151"/>
      <c r="J792" s="141"/>
      <c r="K792" s="141"/>
      <c r="L792" s="140"/>
      <c r="M792" s="89"/>
      <c r="N792" s="81"/>
      <c r="O792" s="362"/>
    </row>
    <row r="793" spans="1:15" ht="11.1" customHeight="1" outlineLevel="1" x14ac:dyDescent="0.2">
      <c r="A793" s="119"/>
      <c r="B793" s="76" t="s">
        <v>23</v>
      </c>
      <c r="C793" s="82" t="s">
        <v>173</v>
      </c>
      <c r="D793" s="110"/>
      <c r="E793" s="110"/>
      <c r="F793" s="107"/>
      <c r="G793" s="141"/>
      <c r="H793" s="141"/>
      <c r="I793" s="151"/>
      <c r="J793" s="141"/>
      <c r="K793" s="141"/>
      <c r="L793" s="140"/>
      <c r="M793" s="89"/>
      <c r="N793" s="81"/>
      <c r="O793" s="362"/>
    </row>
    <row r="794" spans="1:15" ht="21" customHeight="1" outlineLevel="1" x14ac:dyDescent="0.2">
      <c r="A794" s="119"/>
      <c r="B794" s="76"/>
      <c r="C794" s="82"/>
      <c r="D794" s="110"/>
      <c r="E794" s="110"/>
      <c r="F794" s="107"/>
      <c r="G794" s="141"/>
      <c r="H794" s="141"/>
      <c r="I794" s="151"/>
      <c r="J794" s="141"/>
      <c r="K794" s="141"/>
      <c r="L794" s="140"/>
      <c r="M794" s="89"/>
      <c r="N794" s="81"/>
      <c r="O794" s="362"/>
    </row>
    <row r="795" spans="1:15" ht="3.95" customHeight="1" outlineLevel="1" x14ac:dyDescent="0.2">
      <c r="A795" s="120"/>
      <c r="B795" s="85"/>
      <c r="C795" s="86"/>
      <c r="D795" s="84"/>
      <c r="E795" s="84"/>
      <c r="F795" s="85"/>
      <c r="G795" s="142"/>
      <c r="H795" s="142"/>
      <c r="I795" s="85"/>
      <c r="J795" s="142"/>
      <c r="K795" s="142"/>
      <c r="L795" s="143"/>
      <c r="M795" s="87"/>
      <c r="N795" s="88"/>
      <c r="O795" s="363"/>
    </row>
    <row r="796" spans="1:15" ht="3.95" customHeight="1" outlineLevel="1" x14ac:dyDescent="0.2">
      <c r="A796" s="154"/>
      <c r="B796" s="72"/>
      <c r="C796" s="73"/>
      <c r="D796" s="71"/>
      <c r="E796" s="71"/>
      <c r="F796" s="72"/>
      <c r="G796" s="137"/>
      <c r="H796" s="137"/>
      <c r="I796" s="75"/>
      <c r="J796" s="137"/>
      <c r="K796" s="137"/>
      <c r="L796" s="138"/>
      <c r="M796" s="74"/>
      <c r="N796" s="75"/>
      <c r="O796" s="349"/>
    </row>
    <row r="797" spans="1:15" ht="11.1" customHeight="1" outlineLevel="1" x14ac:dyDescent="0.2">
      <c r="A797" s="369" t="s">
        <v>101</v>
      </c>
      <c r="B797" s="76" t="s">
        <v>9</v>
      </c>
      <c r="C797" s="150" t="s">
        <v>105</v>
      </c>
      <c r="D797" s="360" t="s">
        <v>410</v>
      </c>
      <c r="E797" s="360" t="s">
        <v>162</v>
      </c>
      <c r="F797" s="78" t="s">
        <v>28</v>
      </c>
      <c r="G797" s="139">
        <f>SUM(G798:G803)</f>
        <v>12121761</v>
      </c>
      <c r="H797" s="260">
        <f>SUM(H798:H803)</f>
        <v>366776</v>
      </c>
      <c r="I797" s="39">
        <f t="shared" ref="I797:I803" si="328">IF(G797&gt;0,H797/G797*100,"-")</f>
        <v>3.0257649857970308</v>
      </c>
      <c r="J797" s="139">
        <f>SUM(J798:J803)</f>
        <v>7630700</v>
      </c>
      <c r="K797" s="139">
        <f>SUM(K798:K803)</f>
        <v>46500</v>
      </c>
      <c r="L797" s="139">
        <f>SUM(L798:L803)</f>
        <v>7677200</v>
      </c>
      <c r="M797" s="38">
        <f>SUM(M798:M803)</f>
        <v>222213.42</v>
      </c>
      <c r="N797" s="39">
        <f t="shared" ref="N797:N803" si="329">IF(L797&gt;0,M797/L797*100,"-")</f>
        <v>2.8944591778252491</v>
      </c>
      <c r="O797" s="361" t="s">
        <v>536</v>
      </c>
    </row>
    <row r="798" spans="1:15" ht="11.1" customHeight="1" outlineLevel="1" x14ac:dyDescent="0.2">
      <c r="A798" s="369"/>
      <c r="B798" s="76" t="s">
        <v>10</v>
      </c>
      <c r="C798" s="150" t="s">
        <v>121</v>
      </c>
      <c r="D798" s="360"/>
      <c r="E798" s="360"/>
      <c r="F798" s="79" t="s">
        <v>15</v>
      </c>
      <c r="G798" s="140">
        <v>3309261</v>
      </c>
      <c r="H798" s="140">
        <f>ROUNDUP(144561+M798,0)</f>
        <v>227045</v>
      </c>
      <c r="I798" s="81">
        <f t="shared" si="328"/>
        <v>6.8608973423371564</v>
      </c>
      <c r="J798" s="140">
        <v>2094700</v>
      </c>
      <c r="K798" s="141">
        <f t="shared" ref="K798:K803" si="330">L798-J798</f>
        <v>0</v>
      </c>
      <c r="L798" s="140">
        <v>2094700</v>
      </c>
      <c r="M798" s="83">
        <v>82483.64</v>
      </c>
      <c r="N798" s="81">
        <f t="shared" si="329"/>
        <v>3.9377304625960758</v>
      </c>
      <c r="O798" s="361"/>
    </row>
    <row r="799" spans="1:15" ht="11.1" customHeight="1" outlineLevel="1" x14ac:dyDescent="0.2">
      <c r="A799" s="369"/>
      <c r="B799" s="76"/>
      <c r="C799" s="82" t="s">
        <v>122</v>
      </c>
      <c r="D799" s="360"/>
      <c r="E799" s="360"/>
      <c r="F799" s="79" t="s">
        <v>7</v>
      </c>
      <c r="G799" s="140">
        <v>8766000</v>
      </c>
      <c r="H799" s="268">
        <f>ROUNDUP(0+M799,0)</f>
        <v>102244</v>
      </c>
      <c r="I799" s="81">
        <f t="shared" si="328"/>
        <v>1.1663700661647274</v>
      </c>
      <c r="J799" s="140">
        <v>5536000</v>
      </c>
      <c r="K799" s="141">
        <f t="shared" si="330"/>
        <v>0</v>
      </c>
      <c r="L799" s="140">
        <v>5536000</v>
      </c>
      <c r="M799" s="83">
        <v>102243.05</v>
      </c>
      <c r="N799" s="81">
        <f t="shared" si="329"/>
        <v>1.8468759031791908</v>
      </c>
      <c r="O799" s="361"/>
    </row>
    <row r="800" spans="1:15" ht="11.1" customHeight="1" outlineLevel="1" x14ac:dyDescent="0.2">
      <c r="A800" s="119"/>
      <c r="B800" s="76" t="s">
        <v>11</v>
      </c>
      <c r="C800" s="82" t="s">
        <v>175</v>
      </c>
      <c r="D800" s="110"/>
      <c r="E800" s="110"/>
      <c r="F800" s="79" t="s">
        <v>8</v>
      </c>
      <c r="G800" s="140">
        <v>0</v>
      </c>
      <c r="H800" s="268">
        <f>ROUNDUP(0+M800,0)</f>
        <v>0</v>
      </c>
      <c r="I800" s="81" t="str">
        <f t="shared" si="328"/>
        <v>-</v>
      </c>
      <c r="J800" s="140">
        <v>0</v>
      </c>
      <c r="K800" s="141">
        <f t="shared" si="330"/>
        <v>0</v>
      </c>
      <c r="L800" s="140">
        <v>0</v>
      </c>
      <c r="M800" s="83">
        <v>0</v>
      </c>
      <c r="N800" s="81" t="str">
        <f t="shared" si="329"/>
        <v>-</v>
      </c>
      <c r="O800" s="361"/>
    </row>
    <row r="801" spans="1:15" ht="11.1" customHeight="1" outlineLevel="1" x14ac:dyDescent="0.2">
      <c r="A801" s="119"/>
      <c r="B801" s="76"/>
      <c r="C801" s="82" t="s">
        <v>123</v>
      </c>
      <c r="D801" s="110"/>
      <c r="E801" s="110"/>
      <c r="F801" s="79" t="s">
        <v>22</v>
      </c>
      <c r="G801" s="140">
        <v>0</v>
      </c>
      <c r="H801" s="268">
        <f>ROUNDUP(0+M801,0)</f>
        <v>0</v>
      </c>
      <c r="I801" s="81" t="str">
        <f t="shared" si="328"/>
        <v>-</v>
      </c>
      <c r="J801" s="140">
        <v>0</v>
      </c>
      <c r="K801" s="141">
        <f t="shared" si="330"/>
        <v>0</v>
      </c>
      <c r="L801" s="140">
        <v>0</v>
      </c>
      <c r="M801" s="83">
        <v>0</v>
      </c>
      <c r="N801" s="81" t="str">
        <f t="shared" si="329"/>
        <v>-</v>
      </c>
      <c r="O801" s="361"/>
    </row>
    <row r="802" spans="1:15" ht="11.1" customHeight="1" outlineLevel="1" x14ac:dyDescent="0.2">
      <c r="A802" s="119"/>
      <c r="B802" s="76" t="s">
        <v>12</v>
      </c>
      <c r="C802" s="82" t="s">
        <v>286</v>
      </c>
      <c r="D802" s="110"/>
      <c r="E802" s="110"/>
      <c r="F802" s="107" t="s">
        <v>45</v>
      </c>
      <c r="G802" s="140">
        <v>0</v>
      </c>
      <c r="H802" s="268">
        <f>ROUNDUP(0+M802,0)</f>
        <v>0</v>
      </c>
      <c r="I802" s="81" t="str">
        <f t="shared" si="328"/>
        <v>-</v>
      </c>
      <c r="J802" s="140">
        <v>0</v>
      </c>
      <c r="K802" s="141">
        <f t="shared" si="330"/>
        <v>0</v>
      </c>
      <c r="L802" s="140">
        <v>0</v>
      </c>
      <c r="M802" s="83">
        <v>0</v>
      </c>
      <c r="N802" s="81" t="str">
        <f t="shared" si="329"/>
        <v>-</v>
      </c>
      <c r="O802" s="361"/>
    </row>
    <row r="803" spans="1:15" ht="11.1" customHeight="1" outlineLevel="1" x14ac:dyDescent="0.2">
      <c r="A803" s="119"/>
      <c r="B803" s="76"/>
      <c r="C803" s="82" t="s">
        <v>174</v>
      </c>
      <c r="D803" s="110"/>
      <c r="E803" s="110"/>
      <c r="F803" s="107" t="s">
        <v>46</v>
      </c>
      <c r="G803" s="140">
        <v>46500</v>
      </c>
      <c r="H803" s="268">
        <f>ROUNDUP(0+M803,0)</f>
        <v>37487</v>
      </c>
      <c r="I803" s="81">
        <f t="shared" si="328"/>
        <v>80.617204301075276</v>
      </c>
      <c r="J803" s="140">
        <v>0</v>
      </c>
      <c r="K803" s="141">
        <f t="shared" si="330"/>
        <v>46500</v>
      </c>
      <c r="L803" s="140">
        <v>46500</v>
      </c>
      <c r="M803" s="83">
        <v>37486.730000000003</v>
      </c>
      <c r="N803" s="81">
        <f t="shared" si="329"/>
        <v>80.616623655913983</v>
      </c>
      <c r="O803" s="361"/>
    </row>
    <row r="804" spans="1:15" ht="11.1" customHeight="1" outlineLevel="1" x14ac:dyDescent="0.2">
      <c r="A804" s="119"/>
      <c r="B804" s="76"/>
      <c r="C804" s="82" t="s">
        <v>287</v>
      </c>
      <c r="D804" s="110"/>
      <c r="E804" s="110"/>
      <c r="F804" s="107"/>
      <c r="G804" s="141"/>
      <c r="H804" s="141"/>
      <c r="I804" s="151"/>
      <c r="J804" s="141"/>
      <c r="K804" s="141"/>
      <c r="L804" s="140"/>
      <c r="M804" s="89"/>
      <c r="N804" s="81"/>
      <c r="O804" s="362"/>
    </row>
    <row r="805" spans="1:15" ht="11.1" customHeight="1" outlineLevel="1" x14ac:dyDescent="0.2">
      <c r="A805" s="119"/>
      <c r="B805" s="76" t="s">
        <v>23</v>
      </c>
      <c r="C805" s="82" t="s">
        <v>173</v>
      </c>
      <c r="D805" s="110"/>
      <c r="E805" s="110"/>
      <c r="F805" s="107"/>
      <c r="G805" s="141"/>
      <c r="H805" s="141"/>
      <c r="I805" s="151"/>
      <c r="J805" s="141"/>
      <c r="K805" s="141"/>
      <c r="L805" s="140"/>
      <c r="M805" s="89"/>
      <c r="N805" s="81"/>
      <c r="O805" s="362"/>
    </row>
    <row r="806" spans="1:15" ht="3.95" customHeight="1" outlineLevel="1" x14ac:dyDescent="0.2">
      <c r="A806" s="120"/>
      <c r="B806" s="85"/>
      <c r="C806" s="86"/>
      <c r="D806" s="84"/>
      <c r="E806" s="84"/>
      <c r="F806" s="85"/>
      <c r="G806" s="142"/>
      <c r="H806" s="142"/>
      <c r="I806" s="85"/>
      <c r="J806" s="142"/>
      <c r="K806" s="142"/>
      <c r="L806" s="143"/>
      <c r="M806" s="87"/>
      <c r="N806" s="88"/>
      <c r="O806" s="363"/>
    </row>
    <row r="807" spans="1:15" ht="3.95" customHeight="1" outlineLevel="1" x14ac:dyDescent="0.2">
      <c r="A807" s="154"/>
      <c r="B807" s="72"/>
      <c r="C807" s="73"/>
      <c r="D807" s="71"/>
      <c r="E807" s="71"/>
      <c r="F807" s="72"/>
      <c r="G807" s="137"/>
      <c r="H807" s="137"/>
      <c r="I807" s="75"/>
      <c r="J807" s="137"/>
      <c r="K807" s="137"/>
      <c r="L807" s="138"/>
      <c r="M807" s="74"/>
      <c r="N807" s="75"/>
      <c r="O807" s="364" t="s">
        <v>537</v>
      </c>
    </row>
    <row r="808" spans="1:15" ht="11.1" customHeight="1" outlineLevel="1" x14ac:dyDescent="0.2">
      <c r="A808" s="369" t="s">
        <v>102</v>
      </c>
      <c r="B808" s="76" t="s">
        <v>9</v>
      </c>
      <c r="C808" s="150" t="s">
        <v>105</v>
      </c>
      <c r="D808" s="360" t="s">
        <v>168</v>
      </c>
      <c r="E808" s="360" t="s">
        <v>162</v>
      </c>
      <c r="F808" s="78" t="s">
        <v>28</v>
      </c>
      <c r="G808" s="139">
        <f>SUM(G809:G814)</f>
        <v>8642780</v>
      </c>
      <c r="H808" s="139">
        <f>SUM(H809:H814)</f>
        <v>7047274</v>
      </c>
      <c r="I808" s="39">
        <f t="shared" ref="I808:I814" si="331">IF(G808&gt;0,H808/G808*100,"-")</f>
        <v>81.539435228016913</v>
      </c>
      <c r="J808" s="139">
        <f>SUM(J809:J814)</f>
        <v>4263187</v>
      </c>
      <c r="K808" s="139">
        <f>SUM(K809:K814)</f>
        <v>75370</v>
      </c>
      <c r="L808" s="139">
        <f>SUM(L809:L814)</f>
        <v>4338557</v>
      </c>
      <c r="M808" s="38">
        <f>SUM(M809:M814)</f>
        <v>2743050.6599999997</v>
      </c>
      <c r="N808" s="39">
        <f t="shared" ref="N808:N814" si="332">IF(L808&gt;0,M808/L808*100,"-")</f>
        <v>63.224953826813831</v>
      </c>
      <c r="O808" s="361"/>
    </row>
    <row r="809" spans="1:15" ht="11.1" customHeight="1" outlineLevel="1" x14ac:dyDescent="0.2">
      <c r="A809" s="369"/>
      <c r="B809" s="76" t="s">
        <v>10</v>
      </c>
      <c r="C809" s="150" t="s">
        <v>121</v>
      </c>
      <c r="D809" s="360"/>
      <c r="E809" s="360"/>
      <c r="F809" s="79" t="s">
        <v>15</v>
      </c>
      <c r="G809" s="140">
        <v>65145</v>
      </c>
      <c r="H809" s="140">
        <f>ROUNDUP(65145+M809,0)</f>
        <v>65145</v>
      </c>
      <c r="I809" s="81">
        <f t="shared" si="331"/>
        <v>100</v>
      </c>
      <c r="J809" s="140">
        <v>0</v>
      </c>
      <c r="K809" s="141">
        <f t="shared" ref="K809:K814" si="333">L809-J809</f>
        <v>0</v>
      </c>
      <c r="L809" s="140">
        <v>0</v>
      </c>
      <c r="M809" s="83">
        <v>0</v>
      </c>
      <c r="N809" s="81" t="str">
        <f t="shared" si="332"/>
        <v>-</v>
      </c>
      <c r="O809" s="361"/>
    </row>
    <row r="810" spans="1:15" ht="11.1" customHeight="1" outlineLevel="1" x14ac:dyDescent="0.2">
      <c r="A810" s="369"/>
      <c r="B810" s="76"/>
      <c r="C810" s="82" t="s">
        <v>122</v>
      </c>
      <c r="D810" s="360"/>
      <c r="E810" s="360"/>
      <c r="F810" s="79" t="s">
        <v>7</v>
      </c>
      <c r="G810" s="140">
        <v>6790930</v>
      </c>
      <c r="H810" s="140">
        <f>ROUNDUP(3342244+M810,0)</f>
        <v>5588661</v>
      </c>
      <c r="I810" s="81">
        <f t="shared" si="331"/>
        <v>82.295959463578626</v>
      </c>
      <c r="J810" s="140">
        <v>3448686</v>
      </c>
      <c r="K810" s="141">
        <f t="shared" si="333"/>
        <v>0</v>
      </c>
      <c r="L810" s="140">
        <v>3448686</v>
      </c>
      <c r="M810" s="83">
        <v>2246416.73</v>
      </c>
      <c r="N810" s="81">
        <f t="shared" si="332"/>
        <v>65.138337616123948</v>
      </c>
      <c r="O810" s="361"/>
    </row>
    <row r="811" spans="1:15" ht="11.1" customHeight="1" outlineLevel="1" x14ac:dyDescent="0.2">
      <c r="A811" s="119"/>
      <c r="B811" s="76" t="s">
        <v>11</v>
      </c>
      <c r="C811" s="82" t="s">
        <v>175</v>
      </c>
      <c r="D811" s="110"/>
      <c r="E811" s="110"/>
      <c r="F811" s="79" t="s">
        <v>8</v>
      </c>
      <c r="G811" s="140">
        <v>1692950</v>
      </c>
      <c r="H811" s="140">
        <f>ROUNDUP(878449+M811,0)</f>
        <v>1308249</v>
      </c>
      <c r="I811" s="81">
        <f t="shared" si="331"/>
        <v>77.276292861572998</v>
      </c>
      <c r="J811" s="140">
        <v>814501</v>
      </c>
      <c r="K811" s="141">
        <f t="shared" si="333"/>
        <v>0</v>
      </c>
      <c r="L811" s="140">
        <v>814501</v>
      </c>
      <c r="M811" s="80">
        <v>429799.99</v>
      </c>
      <c r="N811" s="81">
        <f t="shared" si="332"/>
        <v>52.768503660523436</v>
      </c>
      <c r="O811" s="361"/>
    </row>
    <row r="812" spans="1:15" ht="11.1" customHeight="1" outlineLevel="1" x14ac:dyDescent="0.2">
      <c r="A812" s="119"/>
      <c r="B812" s="76"/>
      <c r="C812" s="82" t="s">
        <v>123</v>
      </c>
      <c r="D812" s="110"/>
      <c r="E812" s="110"/>
      <c r="F812" s="79" t="s">
        <v>22</v>
      </c>
      <c r="G812" s="140">
        <v>0</v>
      </c>
      <c r="H812" s="268">
        <f>ROUNDUP(0+M812,0)</f>
        <v>0</v>
      </c>
      <c r="I812" s="81" t="str">
        <f t="shared" si="331"/>
        <v>-</v>
      </c>
      <c r="J812" s="140">
        <v>0</v>
      </c>
      <c r="K812" s="141">
        <f t="shared" si="333"/>
        <v>0</v>
      </c>
      <c r="L812" s="140">
        <v>0</v>
      </c>
      <c r="M812" s="83">
        <v>0</v>
      </c>
      <c r="N812" s="81" t="str">
        <f t="shared" si="332"/>
        <v>-</v>
      </c>
      <c r="O812" s="361"/>
    </row>
    <row r="813" spans="1:15" ht="11.1" customHeight="1" outlineLevel="1" x14ac:dyDescent="0.2">
      <c r="A813" s="119"/>
      <c r="B813" s="76" t="s">
        <v>12</v>
      </c>
      <c r="C813" s="82" t="s">
        <v>288</v>
      </c>
      <c r="D813" s="110"/>
      <c r="E813" s="110"/>
      <c r="F813" s="107" t="s">
        <v>45</v>
      </c>
      <c r="G813" s="140">
        <v>0</v>
      </c>
      <c r="H813" s="268">
        <f>ROUNDUP(0+M813,0)</f>
        <v>0</v>
      </c>
      <c r="I813" s="81" t="str">
        <f t="shared" si="331"/>
        <v>-</v>
      </c>
      <c r="J813" s="140">
        <v>0</v>
      </c>
      <c r="K813" s="141">
        <f t="shared" si="333"/>
        <v>0</v>
      </c>
      <c r="L813" s="140">
        <v>0</v>
      </c>
      <c r="M813" s="83">
        <v>0</v>
      </c>
      <c r="N813" s="81" t="str">
        <f t="shared" si="332"/>
        <v>-</v>
      </c>
      <c r="O813" s="361"/>
    </row>
    <row r="814" spans="1:15" ht="11.1" customHeight="1" outlineLevel="1" x14ac:dyDescent="0.2">
      <c r="A814" s="119"/>
      <c r="B814" s="76"/>
      <c r="C814" s="82" t="s">
        <v>289</v>
      </c>
      <c r="D814" s="110"/>
      <c r="E814" s="110"/>
      <c r="F814" s="107" t="s">
        <v>46</v>
      </c>
      <c r="G814" s="141">
        <v>93755</v>
      </c>
      <c r="H814" s="141">
        <f>ROUNDUP(18385+M814,0)</f>
        <v>85219</v>
      </c>
      <c r="I814" s="81">
        <f t="shared" si="331"/>
        <v>90.89541891099141</v>
      </c>
      <c r="J814" s="141">
        <v>0</v>
      </c>
      <c r="K814" s="141">
        <f t="shared" si="333"/>
        <v>75370</v>
      </c>
      <c r="L814" s="140">
        <v>75370</v>
      </c>
      <c r="M814" s="89">
        <v>66833.94</v>
      </c>
      <c r="N814" s="81">
        <f t="shared" si="332"/>
        <v>88.674459333952498</v>
      </c>
      <c r="O814" s="361"/>
    </row>
    <row r="815" spans="1:15" ht="11.1" customHeight="1" outlineLevel="1" x14ac:dyDescent="0.2">
      <c r="A815" s="119"/>
      <c r="B815" s="76" t="s">
        <v>23</v>
      </c>
      <c r="C815" s="82" t="s">
        <v>173</v>
      </c>
      <c r="D815" s="110"/>
      <c r="E815" s="110"/>
      <c r="F815" s="107"/>
      <c r="G815" s="141"/>
      <c r="H815" s="141"/>
      <c r="I815" s="151"/>
      <c r="J815" s="141"/>
      <c r="K815" s="141"/>
      <c r="L815" s="140"/>
      <c r="M815" s="89"/>
      <c r="N815" s="81"/>
      <c r="O815" s="361"/>
    </row>
    <row r="816" spans="1:15" ht="11.1" customHeight="1" outlineLevel="1" x14ac:dyDescent="0.2">
      <c r="A816" s="119"/>
      <c r="B816" s="76"/>
      <c r="C816" s="82"/>
      <c r="D816" s="110"/>
      <c r="E816" s="110"/>
      <c r="F816" s="107"/>
      <c r="G816" s="141"/>
      <c r="H816" s="141"/>
      <c r="I816" s="151"/>
      <c r="J816" s="141"/>
      <c r="K816" s="141"/>
      <c r="L816" s="140"/>
      <c r="M816" s="89"/>
      <c r="N816" s="81"/>
      <c r="O816" s="361"/>
    </row>
    <row r="817" spans="1:15" ht="3.95" customHeight="1" outlineLevel="1" x14ac:dyDescent="0.2">
      <c r="A817" s="120"/>
      <c r="B817" s="85"/>
      <c r="C817" s="86"/>
      <c r="D817" s="84"/>
      <c r="E817" s="84"/>
      <c r="F817" s="85"/>
      <c r="G817" s="142"/>
      <c r="H817" s="142"/>
      <c r="I817" s="85"/>
      <c r="J817" s="142"/>
      <c r="K817" s="142"/>
      <c r="L817" s="143"/>
      <c r="M817" s="87"/>
      <c r="N817" s="88"/>
      <c r="O817" s="365"/>
    </row>
    <row r="818" spans="1:15" ht="3.95" customHeight="1" outlineLevel="1" x14ac:dyDescent="0.2">
      <c r="A818" s="154"/>
      <c r="B818" s="72"/>
      <c r="C818" s="73"/>
      <c r="D818" s="71"/>
      <c r="E818" s="71"/>
      <c r="F818" s="72"/>
      <c r="G818" s="137"/>
      <c r="H818" s="137"/>
      <c r="I818" s="75"/>
      <c r="J818" s="137"/>
      <c r="K818" s="137"/>
      <c r="L818" s="138"/>
      <c r="M818" s="74"/>
      <c r="N818" s="75"/>
      <c r="O818" s="349"/>
    </row>
    <row r="819" spans="1:15" ht="11.1" customHeight="1" outlineLevel="1" x14ac:dyDescent="0.2">
      <c r="A819" s="369" t="s">
        <v>239</v>
      </c>
      <c r="B819" s="76" t="s">
        <v>9</v>
      </c>
      <c r="C819" s="150" t="s">
        <v>105</v>
      </c>
      <c r="D819" s="360" t="s">
        <v>140</v>
      </c>
      <c r="E819" s="360" t="s">
        <v>162</v>
      </c>
      <c r="F819" s="78" t="s">
        <v>28</v>
      </c>
      <c r="G819" s="139">
        <f>SUM(G820:G825)</f>
        <v>9745707</v>
      </c>
      <c r="H819" s="260">
        <f>SUM(H820:H825)</f>
        <v>9742486</v>
      </c>
      <c r="I819" s="39">
        <f t="shared" ref="I819:I825" si="334">IF(G819&gt;0,H819/G819*100,"-")</f>
        <v>99.966949550196816</v>
      </c>
      <c r="J819" s="139">
        <f>SUM(J820:J825)</f>
        <v>0</v>
      </c>
      <c r="K819" s="139">
        <f>SUM(K820:K825)</f>
        <v>1328983</v>
      </c>
      <c r="L819" s="139">
        <f>SUM(L820:L825)</f>
        <v>1328983</v>
      </c>
      <c r="M819" s="38">
        <f>SUM(M820:M825)</f>
        <v>1325760.75</v>
      </c>
      <c r="N819" s="39">
        <f t="shared" ref="N819:N825" si="335">IF(L819&gt;0,M819/L819*100,"-")</f>
        <v>99.757540164170649</v>
      </c>
      <c r="O819" s="361" t="s">
        <v>538</v>
      </c>
    </row>
    <row r="820" spans="1:15" ht="11.1" customHeight="1" outlineLevel="1" x14ac:dyDescent="0.2">
      <c r="A820" s="369"/>
      <c r="B820" s="76" t="s">
        <v>10</v>
      </c>
      <c r="C820" s="150" t="s">
        <v>121</v>
      </c>
      <c r="D820" s="360"/>
      <c r="E820" s="360"/>
      <c r="F820" s="79" t="s">
        <v>15</v>
      </c>
      <c r="G820" s="140">
        <v>314284</v>
      </c>
      <c r="H820" s="140">
        <f>ROUNDUP(128258+M820,0)</f>
        <v>313458</v>
      </c>
      <c r="I820" s="81">
        <f t="shared" si="334"/>
        <v>99.737180384620288</v>
      </c>
      <c r="J820" s="140">
        <v>0</v>
      </c>
      <c r="K820" s="141">
        <f t="shared" ref="K820:K825" si="336">L820-J820</f>
        <v>186026</v>
      </c>
      <c r="L820" s="140">
        <v>186026</v>
      </c>
      <c r="M820" s="83">
        <v>185199.49</v>
      </c>
      <c r="N820" s="81">
        <f t="shared" si="335"/>
        <v>99.555701891133495</v>
      </c>
      <c r="O820" s="361"/>
    </row>
    <row r="821" spans="1:15" ht="11.1" customHeight="1" outlineLevel="1" x14ac:dyDescent="0.2">
      <c r="A821" s="369"/>
      <c r="B821" s="76"/>
      <c r="C821" s="82" t="s">
        <v>122</v>
      </c>
      <c r="D821" s="360"/>
      <c r="E821" s="360"/>
      <c r="F821" s="79" t="s">
        <v>7</v>
      </c>
      <c r="G821" s="140">
        <v>7495540</v>
      </c>
      <c r="H821" s="140">
        <f>ROUNDUP(6449802+M821,0)</f>
        <v>7493145</v>
      </c>
      <c r="I821" s="81">
        <f t="shared" si="334"/>
        <v>99.968047665678526</v>
      </c>
      <c r="J821" s="140">
        <v>0</v>
      </c>
      <c r="K821" s="141">
        <f t="shared" si="336"/>
        <v>1045738</v>
      </c>
      <c r="L821" s="140">
        <v>1045738</v>
      </c>
      <c r="M821" s="83">
        <v>1043342.86</v>
      </c>
      <c r="N821" s="81">
        <f t="shared" si="335"/>
        <v>99.770961751413836</v>
      </c>
      <c r="O821" s="361"/>
    </row>
    <row r="822" spans="1:15" ht="11.1" customHeight="1" outlineLevel="1" x14ac:dyDescent="0.2">
      <c r="A822" s="119"/>
      <c r="B822" s="76" t="s">
        <v>11</v>
      </c>
      <c r="C822" s="82" t="s">
        <v>175</v>
      </c>
      <c r="D822" s="110"/>
      <c r="E822" s="110"/>
      <c r="F822" s="79" t="s">
        <v>8</v>
      </c>
      <c r="G822" s="140">
        <v>1838664</v>
      </c>
      <c r="H822" s="140">
        <f>ROUNDUP(1838664+M822,0)</f>
        <v>1838664</v>
      </c>
      <c r="I822" s="81">
        <f t="shared" si="334"/>
        <v>100</v>
      </c>
      <c r="J822" s="140">
        <v>0</v>
      </c>
      <c r="K822" s="141">
        <f t="shared" si="336"/>
        <v>0</v>
      </c>
      <c r="L822" s="140">
        <v>0</v>
      </c>
      <c r="M822" s="80">
        <v>0</v>
      </c>
      <c r="N822" s="81" t="str">
        <f t="shared" si="335"/>
        <v>-</v>
      </c>
      <c r="O822" s="361"/>
    </row>
    <row r="823" spans="1:15" ht="11.1" customHeight="1" outlineLevel="1" x14ac:dyDescent="0.2">
      <c r="A823" s="119"/>
      <c r="B823" s="76"/>
      <c r="C823" s="82" t="s">
        <v>123</v>
      </c>
      <c r="D823" s="110"/>
      <c r="E823" s="110"/>
      <c r="F823" s="79" t="s">
        <v>22</v>
      </c>
      <c r="G823" s="140">
        <v>0</v>
      </c>
      <c r="H823" s="268">
        <f>ROUNDUP(0+M823,0)</f>
        <v>0</v>
      </c>
      <c r="I823" s="81" t="str">
        <f t="shared" si="334"/>
        <v>-</v>
      </c>
      <c r="J823" s="140">
        <v>0</v>
      </c>
      <c r="K823" s="141">
        <f t="shared" si="336"/>
        <v>0</v>
      </c>
      <c r="L823" s="140">
        <v>0</v>
      </c>
      <c r="M823" s="83">
        <v>0</v>
      </c>
      <c r="N823" s="81" t="str">
        <f t="shared" si="335"/>
        <v>-</v>
      </c>
      <c r="O823" s="361"/>
    </row>
    <row r="824" spans="1:15" ht="11.1" customHeight="1" outlineLevel="1" x14ac:dyDescent="0.2">
      <c r="A824" s="119"/>
      <c r="B824" s="76" t="s">
        <v>12</v>
      </c>
      <c r="C824" s="82" t="s">
        <v>290</v>
      </c>
      <c r="D824" s="110"/>
      <c r="E824" s="110"/>
      <c r="F824" s="107" t="s">
        <v>45</v>
      </c>
      <c r="G824" s="140">
        <v>0</v>
      </c>
      <c r="H824" s="268">
        <f>ROUNDUP(0+M824,0)</f>
        <v>0</v>
      </c>
      <c r="I824" s="81" t="str">
        <f t="shared" si="334"/>
        <v>-</v>
      </c>
      <c r="J824" s="140">
        <v>0</v>
      </c>
      <c r="K824" s="141">
        <f t="shared" si="336"/>
        <v>0</v>
      </c>
      <c r="L824" s="140">
        <v>0</v>
      </c>
      <c r="M824" s="83">
        <v>0</v>
      </c>
      <c r="N824" s="81" t="str">
        <f t="shared" si="335"/>
        <v>-</v>
      </c>
      <c r="O824" s="361"/>
    </row>
    <row r="825" spans="1:15" ht="11.1" customHeight="1" outlineLevel="1" x14ac:dyDescent="0.2">
      <c r="A825" s="119"/>
      <c r="B825" s="76"/>
      <c r="C825" s="82" t="s">
        <v>176</v>
      </c>
      <c r="D825" s="110"/>
      <c r="E825" s="110"/>
      <c r="F825" s="107" t="s">
        <v>46</v>
      </c>
      <c r="G825" s="140">
        <v>97219</v>
      </c>
      <c r="H825" s="268">
        <f>ROUNDUP(0+M825,0)</f>
        <v>97219</v>
      </c>
      <c r="I825" s="81">
        <f t="shared" si="334"/>
        <v>100</v>
      </c>
      <c r="J825" s="140">
        <v>0</v>
      </c>
      <c r="K825" s="141">
        <f t="shared" si="336"/>
        <v>97219</v>
      </c>
      <c r="L825" s="140">
        <v>97219</v>
      </c>
      <c r="M825" s="83">
        <v>97218.4</v>
      </c>
      <c r="N825" s="81">
        <f t="shared" si="335"/>
        <v>99.999382836688298</v>
      </c>
      <c r="O825" s="361"/>
    </row>
    <row r="826" spans="1:15" ht="11.1" customHeight="1" outlineLevel="1" x14ac:dyDescent="0.2">
      <c r="A826" s="119"/>
      <c r="B826" s="76"/>
      <c r="C826" s="82" t="s">
        <v>177</v>
      </c>
      <c r="D826" s="110"/>
      <c r="E826" s="110"/>
      <c r="F826" s="107"/>
      <c r="G826" s="141"/>
      <c r="H826" s="141"/>
      <c r="I826" s="151"/>
      <c r="J826" s="141"/>
      <c r="K826" s="141"/>
      <c r="L826" s="140"/>
      <c r="M826" s="89"/>
      <c r="N826" s="81"/>
      <c r="O826" s="362"/>
    </row>
    <row r="827" spans="1:15" ht="11.1" customHeight="1" outlineLevel="1" x14ac:dyDescent="0.2">
      <c r="A827" s="119"/>
      <c r="B827" s="76"/>
      <c r="C827" s="82" t="s">
        <v>291</v>
      </c>
      <c r="D827" s="110"/>
      <c r="E827" s="110"/>
      <c r="F827" s="107"/>
      <c r="G827" s="141"/>
      <c r="H827" s="141"/>
      <c r="I827" s="151"/>
      <c r="J827" s="141"/>
      <c r="K827" s="141"/>
      <c r="L827" s="140"/>
      <c r="M827" s="89"/>
      <c r="N827" s="81"/>
      <c r="O827" s="362"/>
    </row>
    <row r="828" spans="1:15" ht="11.1" customHeight="1" outlineLevel="1" x14ac:dyDescent="0.2">
      <c r="A828" s="119"/>
      <c r="B828" s="76" t="s">
        <v>23</v>
      </c>
      <c r="C828" s="82" t="s">
        <v>173</v>
      </c>
      <c r="D828" s="110"/>
      <c r="E828" s="110"/>
      <c r="F828" s="107"/>
      <c r="G828" s="141"/>
      <c r="H828" s="141"/>
      <c r="I828" s="151"/>
      <c r="J828" s="141"/>
      <c r="K828" s="141"/>
      <c r="L828" s="140"/>
      <c r="M828" s="89"/>
      <c r="N828" s="81"/>
      <c r="O828" s="362"/>
    </row>
    <row r="829" spans="1:15" ht="3.95" customHeight="1" outlineLevel="1" x14ac:dyDescent="0.2">
      <c r="A829" s="120"/>
      <c r="B829" s="85"/>
      <c r="C829" s="86"/>
      <c r="D829" s="84"/>
      <c r="E829" s="84"/>
      <c r="F829" s="85"/>
      <c r="G829" s="142"/>
      <c r="H829" s="142"/>
      <c r="I829" s="85"/>
      <c r="J829" s="142"/>
      <c r="K829" s="142"/>
      <c r="L829" s="143"/>
      <c r="M829" s="87"/>
      <c r="N829" s="88"/>
      <c r="O829" s="363"/>
    </row>
    <row r="830" spans="1:15" ht="3.95" customHeight="1" x14ac:dyDescent="0.2">
      <c r="A830" s="59"/>
      <c r="B830" s="60"/>
      <c r="C830" s="61"/>
      <c r="D830" s="62"/>
      <c r="E830" s="62"/>
      <c r="F830" s="59"/>
      <c r="G830" s="133"/>
      <c r="H830" s="133"/>
      <c r="I830" s="59"/>
      <c r="J830" s="133"/>
      <c r="K830" s="133"/>
      <c r="L830" s="133"/>
      <c r="M830" s="63"/>
      <c r="N830" s="64"/>
      <c r="O830" s="346"/>
    </row>
    <row r="831" spans="1:15" ht="11.45" customHeight="1" x14ac:dyDescent="0.2">
      <c r="A831" s="28" t="s">
        <v>83</v>
      </c>
      <c r="B831" s="370" t="s">
        <v>66</v>
      </c>
      <c r="C831" s="371"/>
      <c r="D831" s="29"/>
      <c r="E831" s="29"/>
      <c r="F831" s="30"/>
      <c r="G831" s="134">
        <f>SUM(G832:G837)</f>
        <v>43148</v>
      </c>
      <c r="H831" s="134">
        <f>SUM(H832:H837)</f>
        <v>42063</v>
      </c>
      <c r="I831" s="32">
        <f>IF(G831&gt;0,H831/G831*100,"-")</f>
        <v>97.485399091499019</v>
      </c>
      <c r="J831" s="134">
        <f>SUM(J832:J837)</f>
        <v>0</v>
      </c>
      <c r="K831" s="134">
        <f>SUM(K832:K837)</f>
        <v>18223</v>
      </c>
      <c r="L831" s="134">
        <f>SUM(L832:L837)</f>
        <v>18223</v>
      </c>
      <c r="M831" s="31">
        <f>SUM(M832:M837)</f>
        <v>17137.37</v>
      </c>
      <c r="N831" s="32">
        <f t="shared" ref="N831:N837" si="337">IF(L831&gt;0,M831/L831*100,"-")</f>
        <v>94.042528672556656</v>
      </c>
      <c r="O831" s="347"/>
    </row>
    <row r="832" spans="1:15" ht="11.45" customHeight="1" x14ac:dyDescent="0.2">
      <c r="A832" s="30"/>
      <c r="B832" s="33"/>
      <c r="C832" s="34"/>
      <c r="D832" s="29"/>
      <c r="E832" s="29"/>
      <c r="F832" s="35" t="s">
        <v>15</v>
      </c>
      <c r="G832" s="135">
        <f>G841</f>
        <v>0</v>
      </c>
      <c r="H832" s="135">
        <f>H841</f>
        <v>0</v>
      </c>
      <c r="I832" s="37" t="str">
        <f t="shared" ref="I832:I837" si="338">IF(G832&gt;0,H832/G832*100,"-")</f>
        <v>-</v>
      </c>
      <c r="J832" s="135">
        <f t="shared" ref="J832:M837" si="339">J841</f>
        <v>0</v>
      </c>
      <c r="K832" s="135">
        <f t="shared" si="339"/>
        <v>0</v>
      </c>
      <c r="L832" s="135">
        <f t="shared" si="339"/>
        <v>0</v>
      </c>
      <c r="M832" s="36">
        <f t="shared" si="339"/>
        <v>0</v>
      </c>
      <c r="N832" s="37" t="str">
        <f t="shared" si="337"/>
        <v>-</v>
      </c>
      <c r="O832" s="347"/>
    </row>
    <row r="833" spans="1:16" ht="11.45" customHeight="1" x14ac:dyDescent="0.2">
      <c r="A833" s="30"/>
      <c r="B833" s="33"/>
      <c r="C833" s="34"/>
      <c r="D833" s="29"/>
      <c r="E833" s="29"/>
      <c r="F833" s="35" t="s">
        <v>7</v>
      </c>
      <c r="G833" s="135">
        <f t="shared" ref="G833:H837" si="340">G842</f>
        <v>36675</v>
      </c>
      <c r="H833" s="135">
        <f t="shared" si="340"/>
        <v>35753</v>
      </c>
      <c r="I833" s="37">
        <f t="shared" si="338"/>
        <v>97.486025903203824</v>
      </c>
      <c r="J833" s="135">
        <f t="shared" si="339"/>
        <v>0</v>
      </c>
      <c r="K833" s="135">
        <f t="shared" si="339"/>
        <v>15489</v>
      </c>
      <c r="L833" s="135">
        <f t="shared" si="339"/>
        <v>15489</v>
      </c>
      <c r="M833" s="36">
        <f t="shared" si="339"/>
        <v>14566.76</v>
      </c>
      <c r="N833" s="37">
        <f t="shared" si="337"/>
        <v>94.04583898250371</v>
      </c>
      <c r="O833" s="347"/>
    </row>
    <row r="834" spans="1:16" ht="11.45" customHeight="1" x14ac:dyDescent="0.2">
      <c r="A834" s="30"/>
      <c r="B834" s="33"/>
      <c r="C834" s="34"/>
      <c r="D834" s="29"/>
      <c r="E834" s="29"/>
      <c r="F834" s="35" t="s">
        <v>8</v>
      </c>
      <c r="G834" s="135">
        <f t="shared" si="340"/>
        <v>0</v>
      </c>
      <c r="H834" s="135">
        <f t="shared" si="340"/>
        <v>0</v>
      </c>
      <c r="I834" s="37" t="str">
        <f t="shared" si="338"/>
        <v>-</v>
      </c>
      <c r="J834" s="135">
        <f t="shared" si="339"/>
        <v>0</v>
      </c>
      <c r="K834" s="135">
        <f t="shared" si="339"/>
        <v>0</v>
      </c>
      <c r="L834" s="135">
        <f t="shared" si="339"/>
        <v>0</v>
      </c>
      <c r="M834" s="36">
        <f t="shared" si="339"/>
        <v>0</v>
      </c>
      <c r="N834" s="37" t="str">
        <f t="shared" si="337"/>
        <v>-</v>
      </c>
      <c r="O834" s="347"/>
    </row>
    <row r="835" spans="1:16" ht="11.45" customHeight="1" x14ac:dyDescent="0.2">
      <c r="A835" s="30"/>
      <c r="B835" s="33"/>
      <c r="C835" s="34"/>
      <c r="D835" s="29"/>
      <c r="E835" s="29"/>
      <c r="F835" s="35" t="s">
        <v>22</v>
      </c>
      <c r="G835" s="135">
        <f t="shared" si="340"/>
        <v>6473</v>
      </c>
      <c r="H835" s="135">
        <f t="shared" si="340"/>
        <v>6310</v>
      </c>
      <c r="I835" s="37">
        <f t="shared" si="338"/>
        <v>97.481847674957507</v>
      </c>
      <c r="J835" s="135">
        <f t="shared" si="339"/>
        <v>0</v>
      </c>
      <c r="K835" s="135">
        <f t="shared" si="339"/>
        <v>2734</v>
      </c>
      <c r="L835" s="135">
        <f t="shared" si="339"/>
        <v>2734</v>
      </c>
      <c r="M835" s="36">
        <f t="shared" si="339"/>
        <v>2570.61</v>
      </c>
      <c r="N835" s="37">
        <f t="shared" si="337"/>
        <v>94.023774689100222</v>
      </c>
      <c r="O835" s="347"/>
    </row>
    <row r="836" spans="1:16" ht="11.45" customHeight="1" x14ac:dyDescent="0.2">
      <c r="A836" s="30"/>
      <c r="B836" s="33"/>
      <c r="C836" s="34"/>
      <c r="D836" s="29"/>
      <c r="E836" s="29"/>
      <c r="F836" s="35" t="s">
        <v>45</v>
      </c>
      <c r="G836" s="135">
        <f t="shared" si="340"/>
        <v>0</v>
      </c>
      <c r="H836" s="135">
        <f t="shared" si="340"/>
        <v>0</v>
      </c>
      <c r="I836" s="37" t="str">
        <f t="shared" si="338"/>
        <v>-</v>
      </c>
      <c r="J836" s="135">
        <f t="shared" si="339"/>
        <v>0</v>
      </c>
      <c r="K836" s="135">
        <f t="shared" si="339"/>
        <v>0</v>
      </c>
      <c r="L836" s="135">
        <f t="shared" si="339"/>
        <v>0</v>
      </c>
      <c r="M836" s="36">
        <f t="shared" si="339"/>
        <v>0</v>
      </c>
      <c r="N836" s="37" t="str">
        <f t="shared" si="337"/>
        <v>-</v>
      </c>
      <c r="O836" s="347"/>
    </row>
    <row r="837" spans="1:16" ht="11.45" customHeight="1" x14ac:dyDescent="0.2">
      <c r="A837" s="30"/>
      <c r="B837" s="33"/>
      <c r="C837" s="34"/>
      <c r="D837" s="29"/>
      <c r="E837" s="29"/>
      <c r="F837" s="35" t="s">
        <v>46</v>
      </c>
      <c r="G837" s="135">
        <f t="shared" si="340"/>
        <v>0</v>
      </c>
      <c r="H837" s="135">
        <f t="shared" si="340"/>
        <v>0</v>
      </c>
      <c r="I837" s="37" t="str">
        <f t="shared" si="338"/>
        <v>-</v>
      </c>
      <c r="J837" s="135">
        <f t="shared" si="339"/>
        <v>0</v>
      </c>
      <c r="K837" s="135">
        <f t="shared" si="339"/>
        <v>0</v>
      </c>
      <c r="L837" s="135">
        <f t="shared" si="339"/>
        <v>0</v>
      </c>
      <c r="M837" s="36">
        <f t="shared" si="339"/>
        <v>0</v>
      </c>
      <c r="N837" s="37" t="str">
        <f t="shared" si="337"/>
        <v>-</v>
      </c>
      <c r="O837" s="347"/>
    </row>
    <row r="838" spans="1:16" ht="3.95" customHeight="1" x14ac:dyDescent="0.2">
      <c r="A838" s="65"/>
      <c r="B838" s="66"/>
      <c r="C838" s="67"/>
      <c r="D838" s="68"/>
      <c r="E838" s="68"/>
      <c r="F838" s="65"/>
      <c r="G838" s="136"/>
      <c r="H838" s="136"/>
      <c r="I838" s="70"/>
      <c r="J838" s="136"/>
      <c r="K838" s="136"/>
      <c r="L838" s="136"/>
      <c r="M838" s="69"/>
      <c r="N838" s="70"/>
      <c r="O838" s="348"/>
    </row>
    <row r="839" spans="1:16" s="15" customFormat="1" ht="3.95" customHeight="1" outlineLevel="1" x14ac:dyDescent="0.2">
      <c r="A839" s="197"/>
      <c r="B839" s="72"/>
      <c r="C839" s="248"/>
      <c r="D839" s="191"/>
      <c r="E839" s="235"/>
      <c r="F839" s="238"/>
      <c r="G839" s="236"/>
      <c r="H839" s="236"/>
      <c r="I839" s="239"/>
      <c r="J839" s="236"/>
      <c r="K839" s="137"/>
      <c r="L839" s="138"/>
      <c r="M839" s="243"/>
      <c r="N839" s="75"/>
      <c r="O839" s="351"/>
      <c r="P839" s="173"/>
    </row>
    <row r="840" spans="1:16" s="15" customFormat="1" ht="11.1" customHeight="1" outlineLevel="1" x14ac:dyDescent="0.2">
      <c r="A840" s="369" t="s">
        <v>245</v>
      </c>
      <c r="B840" s="76" t="s">
        <v>9</v>
      </c>
      <c r="C840" s="177" t="s">
        <v>56</v>
      </c>
      <c r="D840" s="360" t="s">
        <v>214</v>
      </c>
      <c r="E840" s="360" t="s">
        <v>388</v>
      </c>
      <c r="F840" s="240" t="s">
        <v>183</v>
      </c>
      <c r="G840" s="244">
        <f>SUM(G841:G846)</f>
        <v>43148</v>
      </c>
      <c r="H840" s="244">
        <f>SUM(H841:H846)</f>
        <v>42063</v>
      </c>
      <c r="I840" s="245">
        <f t="shared" ref="I840:I846" si="341">IF(G840&gt;0,H840/G840*100,"-")</f>
        <v>97.485399091499019</v>
      </c>
      <c r="J840" s="244">
        <f>SUM(J841:J846)</f>
        <v>0</v>
      </c>
      <c r="K840" s="244">
        <f>SUM(K841:K846)</f>
        <v>18223</v>
      </c>
      <c r="L840" s="246">
        <f>SUM(L841:L846)</f>
        <v>18223</v>
      </c>
      <c r="M840" s="247">
        <f>SUM(M841:M846)</f>
        <v>17137.37</v>
      </c>
      <c r="N840" s="230">
        <f t="shared" ref="N840:N846" si="342">IF(L840&gt;0,M840/L840*100,"-")</f>
        <v>94.042528672556656</v>
      </c>
      <c r="O840" s="361" t="s">
        <v>510</v>
      </c>
      <c r="P840" s="173"/>
    </row>
    <row r="841" spans="1:16" s="15" customFormat="1" ht="11.1" customHeight="1" outlineLevel="1" x14ac:dyDescent="0.2">
      <c r="A841" s="369"/>
      <c r="B841" s="76" t="s">
        <v>10</v>
      </c>
      <c r="C841" s="177" t="s">
        <v>82</v>
      </c>
      <c r="D841" s="360"/>
      <c r="E841" s="360"/>
      <c r="F841" s="79" t="s">
        <v>15</v>
      </c>
      <c r="G841" s="186">
        <v>0</v>
      </c>
      <c r="H841" s="268">
        <f>ROUNDUP(0+M841,0)</f>
        <v>0</v>
      </c>
      <c r="I841" s="187" t="str">
        <f t="shared" si="341"/>
        <v>-</v>
      </c>
      <c r="J841" s="186">
        <v>0</v>
      </c>
      <c r="K841" s="141">
        <f t="shared" ref="K841:K846" si="343">L841-J841</f>
        <v>0</v>
      </c>
      <c r="L841" s="186">
        <v>0</v>
      </c>
      <c r="M841" s="189">
        <v>0</v>
      </c>
      <c r="N841" s="165" t="str">
        <f t="shared" si="342"/>
        <v>-</v>
      </c>
      <c r="O841" s="362"/>
      <c r="P841" s="173"/>
    </row>
    <row r="842" spans="1:16" s="15" customFormat="1" ht="11.1" customHeight="1" outlineLevel="1" x14ac:dyDescent="0.2">
      <c r="A842" s="369"/>
      <c r="B842" s="76" t="s">
        <v>11</v>
      </c>
      <c r="C842" s="172" t="s">
        <v>194</v>
      </c>
      <c r="D842" s="360"/>
      <c r="E842" s="360"/>
      <c r="F842" s="79" t="s">
        <v>7</v>
      </c>
      <c r="G842" s="186">
        <v>36675</v>
      </c>
      <c r="H842" s="268">
        <f>ROUNDUP(21186+M842,0)</f>
        <v>35753</v>
      </c>
      <c r="I842" s="187">
        <f t="shared" si="341"/>
        <v>97.486025903203824</v>
      </c>
      <c r="J842" s="186">
        <v>0</v>
      </c>
      <c r="K842" s="141">
        <f t="shared" si="343"/>
        <v>15489</v>
      </c>
      <c r="L842" s="186">
        <v>15489</v>
      </c>
      <c r="M842" s="189">
        <v>14566.76</v>
      </c>
      <c r="N842" s="165">
        <f t="shared" si="342"/>
        <v>94.04583898250371</v>
      </c>
      <c r="O842" s="362"/>
      <c r="P842" s="173"/>
    </row>
    <row r="843" spans="1:16" s="15" customFormat="1" ht="11.1" customHeight="1" outlineLevel="1" x14ac:dyDescent="0.2">
      <c r="A843" s="119"/>
      <c r="B843" s="76"/>
      <c r="C843" s="172" t="s">
        <v>192</v>
      </c>
      <c r="D843" s="194"/>
      <c r="E843" s="194"/>
      <c r="F843" s="79" t="s">
        <v>8</v>
      </c>
      <c r="G843" s="186">
        <v>0</v>
      </c>
      <c r="H843" s="268">
        <f>ROUNDUP(0+M843,0)</f>
        <v>0</v>
      </c>
      <c r="I843" s="187" t="str">
        <f t="shared" si="341"/>
        <v>-</v>
      </c>
      <c r="J843" s="186">
        <v>0</v>
      </c>
      <c r="K843" s="141">
        <f t="shared" si="343"/>
        <v>0</v>
      </c>
      <c r="L843" s="186">
        <v>0</v>
      </c>
      <c r="M843" s="189">
        <v>0</v>
      </c>
      <c r="N843" s="165" t="str">
        <f t="shared" si="342"/>
        <v>-</v>
      </c>
      <c r="O843" s="362"/>
      <c r="P843" s="173"/>
    </row>
    <row r="844" spans="1:16" s="15" customFormat="1" ht="11.1" customHeight="1" outlineLevel="1" x14ac:dyDescent="0.2">
      <c r="A844" s="119"/>
      <c r="B844" s="76" t="s">
        <v>12</v>
      </c>
      <c r="C844" s="172" t="s">
        <v>230</v>
      </c>
      <c r="D844" s="194"/>
      <c r="E844" s="194"/>
      <c r="F844" s="79" t="s">
        <v>22</v>
      </c>
      <c r="G844" s="188">
        <v>6473</v>
      </c>
      <c r="H844" s="269">
        <f>ROUNDUP(3739+M844,0)</f>
        <v>6310</v>
      </c>
      <c r="I844" s="187">
        <f t="shared" si="341"/>
        <v>97.481847674957507</v>
      </c>
      <c r="J844" s="188">
        <v>0</v>
      </c>
      <c r="K844" s="141">
        <f t="shared" si="343"/>
        <v>2734</v>
      </c>
      <c r="L844" s="186">
        <v>2734</v>
      </c>
      <c r="M844" s="189">
        <v>2570.61</v>
      </c>
      <c r="N844" s="165">
        <f t="shared" si="342"/>
        <v>94.023774689100222</v>
      </c>
      <c r="O844" s="362"/>
      <c r="P844" s="173"/>
    </row>
    <row r="845" spans="1:16" s="15" customFormat="1" ht="11.1" customHeight="1" outlineLevel="1" x14ac:dyDescent="0.2">
      <c r="A845" s="217"/>
      <c r="B845" s="76"/>
      <c r="C845" s="172" t="s">
        <v>195</v>
      </c>
      <c r="D845" s="194"/>
      <c r="E845" s="194"/>
      <c r="F845" s="107" t="s">
        <v>45</v>
      </c>
      <c r="G845" s="188">
        <v>0</v>
      </c>
      <c r="H845" s="268">
        <f>ROUNDUP(0+M845,0)</f>
        <v>0</v>
      </c>
      <c r="I845" s="190" t="str">
        <f t="shared" si="341"/>
        <v>-</v>
      </c>
      <c r="J845" s="188">
        <v>0</v>
      </c>
      <c r="K845" s="141">
        <f t="shared" si="343"/>
        <v>0</v>
      </c>
      <c r="L845" s="186">
        <v>0</v>
      </c>
      <c r="M845" s="189">
        <v>0</v>
      </c>
      <c r="N845" s="165" t="str">
        <f t="shared" si="342"/>
        <v>-</v>
      </c>
      <c r="O845" s="362"/>
      <c r="P845" s="173"/>
    </row>
    <row r="846" spans="1:16" s="15" customFormat="1" ht="11.1" customHeight="1" outlineLevel="1" x14ac:dyDescent="0.2">
      <c r="A846" s="217"/>
      <c r="B846" s="76" t="s">
        <v>23</v>
      </c>
      <c r="C846" s="82" t="s">
        <v>387</v>
      </c>
      <c r="D846" s="194"/>
      <c r="E846" s="194"/>
      <c r="F846" s="107" t="s">
        <v>46</v>
      </c>
      <c r="G846" s="188">
        <v>0</v>
      </c>
      <c r="H846" s="268">
        <f>ROUNDUP(0+M846,0)</f>
        <v>0</v>
      </c>
      <c r="I846" s="190" t="str">
        <f t="shared" si="341"/>
        <v>-</v>
      </c>
      <c r="J846" s="188">
        <v>0</v>
      </c>
      <c r="K846" s="141">
        <f t="shared" si="343"/>
        <v>0</v>
      </c>
      <c r="L846" s="186">
        <v>0</v>
      </c>
      <c r="M846" s="189">
        <v>0</v>
      </c>
      <c r="N846" s="165" t="str">
        <f t="shared" si="342"/>
        <v>-</v>
      </c>
      <c r="O846" s="362"/>
      <c r="P846" s="173"/>
    </row>
    <row r="847" spans="1:16" s="15" customFormat="1" ht="3.95" customHeight="1" outlineLevel="1" x14ac:dyDescent="0.2">
      <c r="A847" s="262"/>
      <c r="B847" s="85"/>
      <c r="C847" s="178"/>
      <c r="D847" s="193"/>
      <c r="E847" s="193"/>
      <c r="F847" s="263"/>
      <c r="G847" s="264"/>
      <c r="H847" s="264"/>
      <c r="I847" s="265"/>
      <c r="J847" s="264"/>
      <c r="K847" s="264"/>
      <c r="L847" s="266"/>
      <c r="M847" s="267"/>
      <c r="N847" s="174"/>
      <c r="O847" s="357"/>
      <c r="P847" s="173"/>
    </row>
    <row r="848" spans="1:16" ht="3.95" customHeight="1" x14ac:dyDescent="0.2">
      <c r="A848" s="59"/>
      <c r="B848" s="60"/>
      <c r="C848" s="61"/>
      <c r="D848" s="62"/>
      <c r="E848" s="62"/>
      <c r="F848" s="59"/>
      <c r="G848" s="133"/>
      <c r="H848" s="133"/>
      <c r="I848" s="59"/>
      <c r="J848" s="133"/>
      <c r="K848" s="133"/>
      <c r="L848" s="133"/>
      <c r="M848" s="63"/>
      <c r="N848" s="64"/>
      <c r="O848" s="346"/>
    </row>
    <row r="849" spans="1:15" ht="11.45" customHeight="1" x14ac:dyDescent="0.2">
      <c r="A849" s="28" t="s">
        <v>84</v>
      </c>
      <c r="B849" s="370" t="s">
        <v>108</v>
      </c>
      <c r="C849" s="371"/>
      <c r="D849" s="29"/>
      <c r="E849" s="29"/>
      <c r="F849" s="30"/>
      <c r="G849" s="134">
        <f>SUM(G850:G855)</f>
        <v>50371</v>
      </c>
      <c r="H849" s="134">
        <f>SUM(H850:H855)</f>
        <v>32767</v>
      </c>
      <c r="I849" s="32">
        <f>IF(G849&gt;0,H849/G849*100,"-")</f>
        <v>65.05131921145103</v>
      </c>
      <c r="J849" s="134">
        <f>SUM(J850:J855)</f>
        <v>7201</v>
      </c>
      <c r="K849" s="134">
        <f>SUM(K850:K855)</f>
        <v>-7201</v>
      </c>
      <c r="L849" s="134">
        <f>SUM(L850:L855)</f>
        <v>0</v>
      </c>
      <c r="M849" s="31">
        <f>SUM(M850:M855)</f>
        <v>0</v>
      </c>
      <c r="N849" s="32" t="str">
        <f t="shared" ref="N849:N855" si="344">IF(L849&gt;0,M849/L849*100,"-")</f>
        <v>-</v>
      </c>
      <c r="O849" s="347"/>
    </row>
    <row r="850" spans="1:15" ht="11.45" customHeight="1" x14ac:dyDescent="0.2">
      <c r="A850" s="30"/>
      <c r="B850" s="33"/>
      <c r="C850" s="34"/>
      <c r="D850" s="29"/>
      <c r="E850" s="29"/>
      <c r="F850" s="35" t="s">
        <v>15</v>
      </c>
      <c r="G850" s="135">
        <f t="shared" ref="G850:H855" si="345">G859</f>
        <v>5038</v>
      </c>
      <c r="H850" s="135">
        <f t="shared" si="345"/>
        <v>3277</v>
      </c>
      <c r="I850" s="37">
        <f t="shared" ref="I850:I855" si="346">IF(G850&gt;0,H850/G850*100,"-")</f>
        <v>65.045653036919418</v>
      </c>
      <c r="J850" s="135">
        <f t="shared" ref="J850:M855" si="347">J859</f>
        <v>720</v>
      </c>
      <c r="K850" s="135">
        <f t="shared" si="347"/>
        <v>-720</v>
      </c>
      <c r="L850" s="135">
        <f t="shared" si="347"/>
        <v>0</v>
      </c>
      <c r="M850" s="36">
        <f t="shared" si="347"/>
        <v>0</v>
      </c>
      <c r="N850" s="37" t="str">
        <f t="shared" si="344"/>
        <v>-</v>
      </c>
      <c r="O850" s="347"/>
    </row>
    <row r="851" spans="1:15" ht="11.45" customHeight="1" x14ac:dyDescent="0.2">
      <c r="A851" s="30"/>
      <c r="B851" s="33"/>
      <c r="C851" s="34"/>
      <c r="D851" s="29"/>
      <c r="E851" s="29"/>
      <c r="F851" s="35" t="s">
        <v>7</v>
      </c>
      <c r="G851" s="135">
        <f t="shared" si="345"/>
        <v>41710</v>
      </c>
      <c r="H851" s="135">
        <f t="shared" si="345"/>
        <v>27134</v>
      </c>
      <c r="I851" s="37">
        <f t="shared" si="346"/>
        <v>65.053943898345722</v>
      </c>
      <c r="J851" s="135">
        <f t="shared" si="347"/>
        <v>5963</v>
      </c>
      <c r="K851" s="135">
        <f t="shared" si="347"/>
        <v>-5963</v>
      </c>
      <c r="L851" s="135">
        <f t="shared" si="347"/>
        <v>0</v>
      </c>
      <c r="M851" s="36">
        <f t="shared" si="347"/>
        <v>0</v>
      </c>
      <c r="N851" s="37" t="str">
        <f t="shared" si="344"/>
        <v>-</v>
      </c>
      <c r="O851" s="347"/>
    </row>
    <row r="852" spans="1:15" ht="11.45" customHeight="1" x14ac:dyDescent="0.2">
      <c r="A852" s="30"/>
      <c r="B852" s="33"/>
      <c r="C852" s="34"/>
      <c r="D852" s="29"/>
      <c r="E852" s="29"/>
      <c r="F852" s="35" t="s">
        <v>8</v>
      </c>
      <c r="G852" s="135">
        <f t="shared" si="345"/>
        <v>0</v>
      </c>
      <c r="H852" s="135">
        <f t="shared" si="345"/>
        <v>0</v>
      </c>
      <c r="I852" s="37" t="str">
        <f t="shared" si="346"/>
        <v>-</v>
      </c>
      <c r="J852" s="135">
        <f t="shared" si="347"/>
        <v>0</v>
      </c>
      <c r="K852" s="135">
        <f t="shared" si="347"/>
        <v>0</v>
      </c>
      <c r="L852" s="135">
        <f t="shared" si="347"/>
        <v>0</v>
      </c>
      <c r="M852" s="36">
        <f t="shared" si="347"/>
        <v>0</v>
      </c>
      <c r="N852" s="37" t="str">
        <f t="shared" si="344"/>
        <v>-</v>
      </c>
      <c r="O852" s="347"/>
    </row>
    <row r="853" spans="1:15" ht="11.45" customHeight="1" x14ac:dyDescent="0.2">
      <c r="A853" s="30"/>
      <c r="B853" s="33"/>
      <c r="C853" s="34"/>
      <c r="D853" s="29"/>
      <c r="E853" s="29"/>
      <c r="F853" s="35" t="s">
        <v>22</v>
      </c>
      <c r="G853" s="135">
        <f t="shared" si="345"/>
        <v>3623</v>
      </c>
      <c r="H853" s="135">
        <f t="shared" si="345"/>
        <v>2356</v>
      </c>
      <c r="I853" s="37">
        <f t="shared" si="346"/>
        <v>65.028981507038367</v>
      </c>
      <c r="J853" s="135">
        <f t="shared" si="347"/>
        <v>518</v>
      </c>
      <c r="K853" s="135">
        <f t="shared" si="347"/>
        <v>-518</v>
      </c>
      <c r="L853" s="135">
        <f t="shared" si="347"/>
        <v>0</v>
      </c>
      <c r="M853" s="36">
        <f t="shared" si="347"/>
        <v>0</v>
      </c>
      <c r="N853" s="37" t="str">
        <f t="shared" si="344"/>
        <v>-</v>
      </c>
      <c r="O853" s="347"/>
    </row>
    <row r="854" spans="1:15" ht="11.45" customHeight="1" x14ac:dyDescent="0.2">
      <c r="A854" s="30"/>
      <c r="B854" s="33"/>
      <c r="C854" s="34"/>
      <c r="D854" s="29"/>
      <c r="E854" s="29"/>
      <c r="F854" s="35" t="s">
        <v>45</v>
      </c>
      <c r="G854" s="135">
        <f t="shared" si="345"/>
        <v>0</v>
      </c>
      <c r="H854" s="135">
        <f t="shared" si="345"/>
        <v>0</v>
      </c>
      <c r="I854" s="37" t="str">
        <f t="shared" si="346"/>
        <v>-</v>
      </c>
      <c r="J854" s="135">
        <f t="shared" si="347"/>
        <v>0</v>
      </c>
      <c r="K854" s="135">
        <f t="shared" si="347"/>
        <v>0</v>
      </c>
      <c r="L854" s="135">
        <f t="shared" si="347"/>
        <v>0</v>
      </c>
      <c r="M854" s="36">
        <f t="shared" si="347"/>
        <v>0</v>
      </c>
      <c r="N854" s="37" t="str">
        <f t="shared" si="344"/>
        <v>-</v>
      </c>
      <c r="O854" s="347"/>
    </row>
    <row r="855" spans="1:15" ht="11.45" customHeight="1" x14ac:dyDescent="0.2">
      <c r="A855" s="30"/>
      <c r="B855" s="33"/>
      <c r="C855" s="34"/>
      <c r="D855" s="29"/>
      <c r="E855" s="29"/>
      <c r="F855" s="35" t="s">
        <v>46</v>
      </c>
      <c r="G855" s="135">
        <f t="shared" si="345"/>
        <v>0</v>
      </c>
      <c r="H855" s="135">
        <f t="shared" si="345"/>
        <v>0</v>
      </c>
      <c r="I855" s="37" t="str">
        <f t="shared" si="346"/>
        <v>-</v>
      </c>
      <c r="J855" s="135">
        <f t="shared" si="347"/>
        <v>0</v>
      </c>
      <c r="K855" s="135">
        <f t="shared" si="347"/>
        <v>0</v>
      </c>
      <c r="L855" s="135">
        <f t="shared" si="347"/>
        <v>0</v>
      </c>
      <c r="M855" s="36">
        <f t="shared" si="347"/>
        <v>0</v>
      </c>
      <c r="N855" s="37" t="str">
        <f t="shared" si="344"/>
        <v>-</v>
      </c>
      <c r="O855" s="347"/>
    </row>
    <row r="856" spans="1:15" ht="3.95" customHeight="1" x14ac:dyDescent="0.2">
      <c r="A856" s="65"/>
      <c r="B856" s="66"/>
      <c r="C856" s="67"/>
      <c r="D856" s="68"/>
      <c r="E856" s="68"/>
      <c r="F856" s="65"/>
      <c r="G856" s="136"/>
      <c r="H856" s="136"/>
      <c r="I856" s="70"/>
      <c r="J856" s="136"/>
      <c r="K856" s="136"/>
      <c r="L856" s="136"/>
      <c r="M856" s="69"/>
      <c r="N856" s="70"/>
      <c r="O856" s="348"/>
    </row>
    <row r="857" spans="1:15" s="95" customFormat="1" ht="3.95" customHeight="1" outlineLevel="1" x14ac:dyDescent="0.2">
      <c r="A857" s="154"/>
      <c r="B857" s="72"/>
      <c r="C857" s="73"/>
      <c r="D857" s="71"/>
      <c r="E857" s="71"/>
      <c r="F857" s="72"/>
      <c r="G857" s="137"/>
      <c r="H857" s="137"/>
      <c r="I857" s="75"/>
      <c r="J857" s="137"/>
      <c r="K857" s="137"/>
      <c r="L857" s="138"/>
      <c r="M857" s="74"/>
      <c r="N857" s="75"/>
      <c r="O857" s="349"/>
    </row>
    <row r="858" spans="1:15" s="95" customFormat="1" ht="11.1" customHeight="1" outlineLevel="1" x14ac:dyDescent="0.2">
      <c r="A858" s="369" t="s">
        <v>246</v>
      </c>
      <c r="B858" s="76" t="s">
        <v>9</v>
      </c>
      <c r="C858" s="77" t="s">
        <v>109</v>
      </c>
      <c r="D858" s="360" t="s">
        <v>381</v>
      </c>
      <c r="E858" s="360" t="s">
        <v>120</v>
      </c>
      <c r="F858" s="78" t="s">
        <v>28</v>
      </c>
      <c r="G858" s="260">
        <f>SUM(G859:G864)</f>
        <v>50371</v>
      </c>
      <c r="H858" s="260">
        <f>SUM(H859:H864)</f>
        <v>32767</v>
      </c>
      <c r="I858" s="39">
        <f t="shared" ref="I858:I864" si="348">IF(G858&gt;0,H858/G858*100,"-")</f>
        <v>65.05131921145103</v>
      </c>
      <c r="J858" s="260">
        <f>SUM(J859:J864)</f>
        <v>7201</v>
      </c>
      <c r="K858" s="139">
        <f>SUM(K859:K864)</f>
        <v>-7201</v>
      </c>
      <c r="L858" s="139">
        <f>SUM(L859:L864)</f>
        <v>0</v>
      </c>
      <c r="M858" s="38">
        <f>SUM(M859:M864)</f>
        <v>0</v>
      </c>
      <c r="N858" s="39" t="str">
        <f t="shared" ref="N858:N864" si="349">IF(L858&gt;0,M858/L858*100,"-")</f>
        <v>-</v>
      </c>
      <c r="O858" s="361" t="s">
        <v>540</v>
      </c>
    </row>
    <row r="859" spans="1:15" s="95" customFormat="1" ht="11.1" customHeight="1" outlineLevel="1" x14ac:dyDescent="0.2">
      <c r="A859" s="369"/>
      <c r="B859" s="76" t="s">
        <v>10</v>
      </c>
      <c r="C859" s="77" t="s">
        <v>113</v>
      </c>
      <c r="D859" s="360"/>
      <c r="E859" s="360"/>
      <c r="F859" s="79" t="s">
        <v>15</v>
      </c>
      <c r="G859" s="140">
        <v>5038</v>
      </c>
      <c r="H859" s="140">
        <f>ROUNDUP(3277+M859,0)</f>
        <v>3277</v>
      </c>
      <c r="I859" s="81">
        <f t="shared" si="348"/>
        <v>65.045653036919418</v>
      </c>
      <c r="J859" s="140">
        <v>720</v>
      </c>
      <c r="K859" s="141">
        <f t="shared" ref="K859:K864" si="350">L859-J859</f>
        <v>-720</v>
      </c>
      <c r="L859" s="140">
        <v>0</v>
      </c>
      <c r="M859" s="80">
        <v>0</v>
      </c>
      <c r="N859" s="81" t="str">
        <f t="shared" si="349"/>
        <v>-</v>
      </c>
      <c r="O859" s="361"/>
    </row>
    <row r="860" spans="1:15" s="95" customFormat="1" ht="11.1" customHeight="1" outlineLevel="1" x14ac:dyDescent="0.2">
      <c r="A860" s="369"/>
      <c r="B860" s="76" t="s">
        <v>11</v>
      </c>
      <c r="C860" s="82" t="s">
        <v>114</v>
      </c>
      <c r="D860" s="360"/>
      <c r="E860" s="360"/>
      <c r="F860" s="79" t="s">
        <v>7</v>
      </c>
      <c r="G860" s="140">
        <v>41710</v>
      </c>
      <c r="H860" s="140">
        <f>ROUNDUP(27134+M860,0)</f>
        <v>27134</v>
      </c>
      <c r="I860" s="81">
        <f t="shared" si="348"/>
        <v>65.053943898345722</v>
      </c>
      <c r="J860" s="140">
        <v>5963</v>
      </c>
      <c r="K860" s="141">
        <f t="shared" si="350"/>
        <v>-5963</v>
      </c>
      <c r="L860" s="140">
        <v>0</v>
      </c>
      <c r="M860" s="83">
        <v>0</v>
      </c>
      <c r="N860" s="81" t="str">
        <f t="shared" si="349"/>
        <v>-</v>
      </c>
      <c r="O860" s="361"/>
    </row>
    <row r="861" spans="1:15" s="95" customFormat="1" ht="11.1" customHeight="1" outlineLevel="1" x14ac:dyDescent="0.2">
      <c r="A861" s="119"/>
      <c r="B861" s="76" t="s">
        <v>12</v>
      </c>
      <c r="C861" s="82" t="s">
        <v>266</v>
      </c>
      <c r="D861" s="110"/>
      <c r="E861" s="110"/>
      <c r="F861" s="79" t="s">
        <v>8</v>
      </c>
      <c r="G861" s="140">
        <v>0</v>
      </c>
      <c r="H861" s="268">
        <f>ROUNDUP(0+M861,0)</f>
        <v>0</v>
      </c>
      <c r="I861" s="81" t="str">
        <f t="shared" si="348"/>
        <v>-</v>
      </c>
      <c r="J861" s="140">
        <v>0</v>
      </c>
      <c r="K861" s="141">
        <f t="shared" si="350"/>
        <v>0</v>
      </c>
      <c r="L861" s="140">
        <v>0</v>
      </c>
      <c r="M861" s="83">
        <v>0</v>
      </c>
      <c r="N861" s="81" t="str">
        <f t="shared" si="349"/>
        <v>-</v>
      </c>
      <c r="O861" s="361"/>
    </row>
    <row r="862" spans="1:15" s="95" customFormat="1" ht="11.1" customHeight="1" outlineLevel="1" x14ac:dyDescent="0.2">
      <c r="A862" s="119"/>
      <c r="B862" s="76" t="s">
        <v>23</v>
      </c>
      <c r="C862" s="82" t="s">
        <v>115</v>
      </c>
      <c r="D862" s="110"/>
      <c r="E862" s="110"/>
      <c r="F862" s="79" t="s">
        <v>22</v>
      </c>
      <c r="G862" s="140">
        <v>3623</v>
      </c>
      <c r="H862" s="140">
        <f>ROUNDUP(2356+M862,0)</f>
        <v>2356</v>
      </c>
      <c r="I862" s="81">
        <f t="shared" si="348"/>
        <v>65.028981507038367</v>
      </c>
      <c r="J862" s="140">
        <v>518</v>
      </c>
      <c r="K862" s="141">
        <f t="shared" si="350"/>
        <v>-518</v>
      </c>
      <c r="L862" s="140">
        <v>0</v>
      </c>
      <c r="M862" s="83">
        <v>0</v>
      </c>
      <c r="N862" s="81" t="str">
        <f t="shared" si="349"/>
        <v>-</v>
      </c>
      <c r="O862" s="361"/>
    </row>
    <row r="863" spans="1:15" s="95" customFormat="1" ht="11.1" customHeight="1" outlineLevel="1" x14ac:dyDescent="0.2">
      <c r="A863" s="119"/>
      <c r="B863" s="76"/>
      <c r="C863" s="82" t="s">
        <v>116</v>
      </c>
      <c r="D863" s="110"/>
      <c r="E863" s="110"/>
      <c r="F863" s="107" t="s">
        <v>45</v>
      </c>
      <c r="G863" s="140">
        <v>0</v>
      </c>
      <c r="H863" s="268">
        <f>ROUNDUP(0+M863,0)</f>
        <v>0</v>
      </c>
      <c r="I863" s="81" t="str">
        <f t="shared" si="348"/>
        <v>-</v>
      </c>
      <c r="J863" s="140">
        <v>0</v>
      </c>
      <c r="K863" s="141">
        <f t="shared" si="350"/>
        <v>0</v>
      </c>
      <c r="L863" s="140">
        <v>0</v>
      </c>
      <c r="M863" s="83">
        <v>0</v>
      </c>
      <c r="N863" s="81" t="str">
        <f t="shared" si="349"/>
        <v>-</v>
      </c>
      <c r="O863" s="361"/>
    </row>
    <row r="864" spans="1:15" s="95" customFormat="1" ht="11.1" customHeight="1" outlineLevel="1" x14ac:dyDescent="0.2">
      <c r="A864" s="119"/>
      <c r="B864" s="76"/>
      <c r="C864" s="82" t="s">
        <v>117</v>
      </c>
      <c r="D864" s="110"/>
      <c r="E864" s="110"/>
      <c r="F864" s="107" t="s">
        <v>46</v>
      </c>
      <c r="G864" s="140">
        <v>0</v>
      </c>
      <c r="H864" s="268">
        <f>ROUNDUP(0+M864,0)</f>
        <v>0</v>
      </c>
      <c r="I864" s="81" t="str">
        <f t="shared" si="348"/>
        <v>-</v>
      </c>
      <c r="J864" s="140">
        <v>0</v>
      </c>
      <c r="K864" s="141">
        <f t="shared" si="350"/>
        <v>0</v>
      </c>
      <c r="L864" s="140">
        <v>0</v>
      </c>
      <c r="M864" s="83">
        <v>0</v>
      </c>
      <c r="N864" s="81" t="str">
        <f t="shared" si="349"/>
        <v>-</v>
      </c>
      <c r="O864" s="361"/>
    </row>
    <row r="865" spans="1:15" s="95" customFormat="1" ht="11.1" customHeight="1" outlineLevel="1" x14ac:dyDescent="0.2">
      <c r="A865" s="119"/>
      <c r="B865" s="76"/>
      <c r="C865" s="82" t="s">
        <v>118</v>
      </c>
      <c r="D865" s="110"/>
      <c r="E865" s="110"/>
      <c r="F865" s="107"/>
      <c r="G865" s="141"/>
      <c r="H865" s="141"/>
      <c r="I865" s="81"/>
      <c r="J865" s="141"/>
      <c r="K865" s="141"/>
      <c r="L865" s="140"/>
      <c r="M865" s="89"/>
      <c r="N865" s="81"/>
      <c r="O865" s="356"/>
    </row>
    <row r="866" spans="1:15" s="95" customFormat="1" ht="11.1" customHeight="1" outlineLevel="1" x14ac:dyDescent="0.2">
      <c r="A866" s="119"/>
      <c r="B866" s="76"/>
      <c r="C866" s="82" t="s">
        <v>119</v>
      </c>
      <c r="D866" s="110"/>
      <c r="E866" s="110"/>
      <c r="F866" s="107"/>
      <c r="G866" s="141"/>
      <c r="H866" s="141"/>
      <c r="I866" s="81"/>
      <c r="J866" s="141"/>
      <c r="K866" s="141"/>
      <c r="L866" s="140"/>
      <c r="M866" s="89"/>
      <c r="N866" s="81"/>
      <c r="O866" s="356"/>
    </row>
    <row r="867" spans="1:15" s="95" customFormat="1" ht="3.95" customHeight="1" outlineLevel="1" x14ac:dyDescent="0.2">
      <c r="A867" s="120"/>
      <c r="B867" s="85"/>
      <c r="C867" s="86"/>
      <c r="D867" s="84"/>
      <c r="E867" s="84"/>
      <c r="F867" s="85"/>
      <c r="G867" s="142"/>
      <c r="H867" s="142"/>
      <c r="I867" s="88"/>
      <c r="J867" s="142"/>
      <c r="K867" s="142"/>
      <c r="L867" s="143"/>
      <c r="M867" s="87"/>
      <c r="N867" s="88"/>
      <c r="O867" s="350"/>
    </row>
    <row r="868" spans="1:15" ht="3.95" customHeight="1" x14ac:dyDescent="0.2">
      <c r="A868" s="59"/>
      <c r="B868" s="60"/>
      <c r="C868" s="61"/>
      <c r="D868" s="62"/>
      <c r="E868" s="62"/>
      <c r="F868" s="59"/>
      <c r="G868" s="133"/>
      <c r="H868" s="133"/>
      <c r="I868" s="59"/>
      <c r="J868" s="133"/>
      <c r="K868" s="133"/>
      <c r="L868" s="133"/>
      <c r="M868" s="63"/>
      <c r="N868" s="64"/>
      <c r="O868" s="346"/>
    </row>
    <row r="869" spans="1:15" ht="11.45" customHeight="1" x14ac:dyDescent="0.2">
      <c r="A869" s="28" t="s">
        <v>86</v>
      </c>
      <c r="B869" s="370" t="s">
        <v>178</v>
      </c>
      <c r="C869" s="371"/>
      <c r="D869" s="29"/>
      <c r="E869" s="29"/>
      <c r="F869" s="30"/>
      <c r="G869" s="134">
        <f>SUM(G870:G875)</f>
        <v>5030700</v>
      </c>
      <c r="H869" s="134">
        <f>SUM(H870:H875)</f>
        <v>0</v>
      </c>
      <c r="I869" s="32">
        <f>IF(G869&gt;0,H869/G869*100,"-")</f>
        <v>0</v>
      </c>
      <c r="J869" s="134">
        <f>SUM(J870:J875)</f>
        <v>0</v>
      </c>
      <c r="K869" s="134">
        <f>SUM(K870:K875)</f>
        <v>0</v>
      </c>
      <c r="L869" s="134">
        <f>SUM(L870:L875)</f>
        <v>0</v>
      </c>
      <c r="M869" s="31">
        <f>SUM(M870:M875)</f>
        <v>0</v>
      </c>
      <c r="N869" s="32" t="str">
        <f t="shared" ref="N869:N875" si="351">IF(L869&gt;0,M869/L869*100,"-")</f>
        <v>-</v>
      </c>
      <c r="O869" s="347"/>
    </row>
    <row r="870" spans="1:15" ht="11.45" customHeight="1" x14ac:dyDescent="0.2">
      <c r="A870" s="30"/>
      <c r="B870" s="33"/>
      <c r="C870" s="34"/>
      <c r="D870" s="29"/>
      <c r="E870" s="29"/>
      <c r="F870" s="35" t="s">
        <v>15</v>
      </c>
      <c r="G870" s="135">
        <f t="shared" ref="G870:H875" si="352">G879</f>
        <v>5030700</v>
      </c>
      <c r="H870" s="135">
        <f t="shared" si="352"/>
        <v>0</v>
      </c>
      <c r="I870" s="37">
        <f t="shared" ref="I870:I875" si="353">IF(G870&gt;0,H870/G870*100,"-")</f>
        <v>0</v>
      </c>
      <c r="J870" s="135">
        <f t="shared" ref="J870:M875" si="354">J879</f>
        <v>0</v>
      </c>
      <c r="K870" s="135">
        <f t="shared" si="354"/>
        <v>0</v>
      </c>
      <c r="L870" s="135">
        <f t="shared" si="354"/>
        <v>0</v>
      </c>
      <c r="M870" s="36">
        <f t="shared" si="354"/>
        <v>0</v>
      </c>
      <c r="N870" s="37" t="str">
        <f t="shared" si="351"/>
        <v>-</v>
      </c>
      <c r="O870" s="347"/>
    </row>
    <row r="871" spans="1:15" ht="11.45" customHeight="1" x14ac:dyDescent="0.2">
      <c r="A871" s="30"/>
      <c r="B871" s="33"/>
      <c r="C871" s="313"/>
      <c r="D871" s="29"/>
      <c r="E871" s="29"/>
      <c r="F871" s="35" t="s">
        <v>7</v>
      </c>
      <c r="G871" s="135">
        <f t="shared" si="352"/>
        <v>0</v>
      </c>
      <c r="H871" s="135">
        <f t="shared" si="352"/>
        <v>0</v>
      </c>
      <c r="I871" s="37" t="str">
        <f t="shared" si="353"/>
        <v>-</v>
      </c>
      <c r="J871" s="135">
        <f t="shared" si="354"/>
        <v>0</v>
      </c>
      <c r="K871" s="135">
        <f t="shared" si="354"/>
        <v>0</v>
      </c>
      <c r="L871" s="135">
        <f t="shared" si="354"/>
        <v>0</v>
      </c>
      <c r="M871" s="36">
        <f t="shared" si="354"/>
        <v>0</v>
      </c>
      <c r="N871" s="37" t="str">
        <f t="shared" si="351"/>
        <v>-</v>
      </c>
      <c r="O871" s="347"/>
    </row>
    <row r="872" spans="1:15" ht="11.45" customHeight="1" x14ac:dyDescent="0.2">
      <c r="A872" s="30"/>
      <c r="B872" s="33"/>
      <c r="C872" s="34"/>
      <c r="D872" s="29"/>
      <c r="E872" s="29"/>
      <c r="F872" s="35" t="s">
        <v>8</v>
      </c>
      <c r="G872" s="135">
        <f t="shared" si="352"/>
        <v>0</v>
      </c>
      <c r="H872" s="135">
        <f t="shared" si="352"/>
        <v>0</v>
      </c>
      <c r="I872" s="37" t="str">
        <f t="shared" si="353"/>
        <v>-</v>
      </c>
      <c r="J872" s="135">
        <f t="shared" si="354"/>
        <v>0</v>
      </c>
      <c r="K872" s="135">
        <f t="shared" si="354"/>
        <v>0</v>
      </c>
      <c r="L872" s="135">
        <f t="shared" si="354"/>
        <v>0</v>
      </c>
      <c r="M872" s="36">
        <f t="shared" si="354"/>
        <v>0</v>
      </c>
      <c r="N872" s="37" t="str">
        <f t="shared" si="351"/>
        <v>-</v>
      </c>
      <c r="O872" s="347"/>
    </row>
    <row r="873" spans="1:15" ht="11.45" customHeight="1" x14ac:dyDescent="0.2">
      <c r="A873" s="30"/>
      <c r="B873" s="33"/>
      <c r="C873" s="34"/>
      <c r="D873" s="29"/>
      <c r="E873" s="29"/>
      <c r="F873" s="35" t="s">
        <v>22</v>
      </c>
      <c r="G873" s="135">
        <f t="shared" si="352"/>
        <v>0</v>
      </c>
      <c r="H873" s="135">
        <f t="shared" si="352"/>
        <v>0</v>
      </c>
      <c r="I873" s="37" t="str">
        <f t="shared" si="353"/>
        <v>-</v>
      </c>
      <c r="J873" s="135">
        <f t="shared" si="354"/>
        <v>0</v>
      </c>
      <c r="K873" s="135">
        <f t="shared" si="354"/>
        <v>0</v>
      </c>
      <c r="L873" s="135">
        <f t="shared" si="354"/>
        <v>0</v>
      </c>
      <c r="M873" s="36">
        <f t="shared" si="354"/>
        <v>0</v>
      </c>
      <c r="N873" s="37" t="str">
        <f t="shared" si="351"/>
        <v>-</v>
      </c>
      <c r="O873" s="347"/>
    </row>
    <row r="874" spans="1:15" ht="11.45" customHeight="1" x14ac:dyDescent="0.2">
      <c r="A874" s="30"/>
      <c r="B874" s="33"/>
      <c r="C874" s="34"/>
      <c r="D874" s="29"/>
      <c r="E874" s="29"/>
      <c r="F874" s="35" t="s">
        <v>45</v>
      </c>
      <c r="G874" s="135">
        <f t="shared" si="352"/>
        <v>0</v>
      </c>
      <c r="H874" s="135">
        <f t="shared" si="352"/>
        <v>0</v>
      </c>
      <c r="I874" s="37" t="str">
        <f t="shared" si="353"/>
        <v>-</v>
      </c>
      <c r="J874" s="135">
        <f t="shared" si="354"/>
        <v>0</v>
      </c>
      <c r="K874" s="135">
        <f t="shared" si="354"/>
        <v>0</v>
      </c>
      <c r="L874" s="135">
        <f t="shared" si="354"/>
        <v>0</v>
      </c>
      <c r="M874" s="36">
        <f t="shared" si="354"/>
        <v>0</v>
      </c>
      <c r="N874" s="37" t="str">
        <f t="shared" si="351"/>
        <v>-</v>
      </c>
      <c r="O874" s="347"/>
    </row>
    <row r="875" spans="1:15" ht="11.45" customHeight="1" x14ac:dyDescent="0.2">
      <c r="A875" s="30"/>
      <c r="B875" s="33"/>
      <c r="C875" s="34"/>
      <c r="D875" s="29"/>
      <c r="E875" s="29"/>
      <c r="F875" s="35" t="s">
        <v>46</v>
      </c>
      <c r="G875" s="135">
        <f t="shared" si="352"/>
        <v>0</v>
      </c>
      <c r="H875" s="135">
        <f t="shared" si="352"/>
        <v>0</v>
      </c>
      <c r="I875" s="37" t="str">
        <f t="shared" si="353"/>
        <v>-</v>
      </c>
      <c r="J875" s="135">
        <f t="shared" si="354"/>
        <v>0</v>
      </c>
      <c r="K875" s="135">
        <f t="shared" si="354"/>
        <v>0</v>
      </c>
      <c r="L875" s="135">
        <f t="shared" si="354"/>
        <v>0</v>
      </c>
      <c r="M875" s="36">
        <f t="shared" si="354"/>
        <v>0</v>
      </c>
      <c r="N875" s="37" t="str">
        <f t="shared" si="351"/>
        <v>-</v>
      </c>
      <c r="O875" s="347"/>
    </row>
    <row r="876" spans="1:15" ht="3.95" customHeight="1" x14ac:dyDescent="0.2">
      <c r="A876" s="65"/>
      <c r="B876" s="66"/>
      <c r="C876" s="67"/>
      <c r="D876" s="68"/>
      <c r="E876" s="68"/>
      <c r="F876" s="65"/>
      <c r="G876" s="136"/>
      <c r="H876" s="136"/>
      <c r="I876" s="70"/>
      <c r="J876" s="136"/>
      <c r="K876" s="136"/>
      <c r="L876" s="136"/>
      <c r="M876" s="69"/>
      <c r="N876" s="70"/>
      <c r="O876" s="348"/>
    </row>
    <row r="877" spans="1:15" s="95" customFormat="1" ht="3.95" customHeight="1" outlineLevel="1" x14ac:dyDescent="0.2">
      <c r="A877" s="154"/>
      <c r="B877" s="72"/>
      <c r="C877" s="73"/>
      <c r="D877" s="71"/>
      <c r="E877" s="71"/>
      <c r="F877" s="72"/>
      <c r="G877" s="137"/>
      <c r="H877" s="137"/>
      <c r="I877" s="75"/>
      <c r="J877" s="137"/>
      <c r="K877" s="137"/>
      <c r="L877" s="138"/>
      <c r="M877" s="74"/>
      <c r="N877" s="75"/>
      <c r="O877" s="349"/>
    </row>
    <row r="878" spans="1:15" s="95" customFormat="1" ht="11.1" customHeight="1" outlineLevel="1" x14ac:dyDescent="0.2">
      <c r="A878" s="369" t="s">
        <v>247</v>
      </c>
      <c r="B878" s="76" t="s">
        <v>9</v>
      </c>
      <c r="C878" s="77" t="s">
        <v>109</v>
      </c>
      <c r="D878" s="360" t="s">
        <v>367</v>
      </c>
      <c r="E878" s="360" t="s">
        <v>180</v>
      </c>
      <c r="F878" s="78" t="s">
        <v>28</v>
      </c>
      <c r="G878" s="139">
        <f>SUM(G879:G884)</f>
        <v>5030700</v>
      </c>
      <c r="H878" s="139">
        <f>SUM(H879:H884)</f>
        <v>0</v>
      </c>
      <c r="I878" s="39">
        <f t="shared" ref="I878:I884" si="355">IF(G878&gt;0,H878/G878*100,"-")</f>
        <v>0</v>
      </c>
      <c r="J878" s="139">
        <f>SUM(J879:J884)</f>
        <v>0</v>
      </c>
      <c r="K878" s="139">
        <f>SUM(K879:K884)</f>
        <v>0</v>
      </c>
      <c r="L878" s="139">
        <f>SUM(L879:L884)</f>
        <v>0</v>
      </c>
      <c r="M878" s="38">
        <f>SUM(M879:M884)</f>
        <v>0</v>
      </c>
      <c r="N878" s="39" t="str">
        <f t="shared" ref="N878:N884" si="356">IF(L878&gt;0,M878/L878*100,"-")</f>
        <v>-</v>
      </c>
      <c r="O878" s="361" t="s">
        <v>540</v>
      </c>
    </row>
    <row r="879" spans="1:15" s="95" customFormat="1" ht="11.1" customHeight="1" outlineLevel="1" x14ac:dyDescent="0.2">
      <c r="A879" s="369"/>
      <c r="B879" s="76" t="s">
        <v>10</v>
      </c>
      <c r="C879" s="77" t="s">
        <v>110</v>
      </c>
      <c r="D879" s="360"/>
      <c r="E879" s="360"/>
      <c r="F879" s="79" t="s">
        <v>15</v>
      </c>
      <c r="G879" s="140">
        <v>5030700</v>
      </c>
      <c r="H879" s="268">
        <f t="shared" ref="H879:H884" si="357">ROUNDUP(0+M879,0)</f>
        <v>0</v>
      </c>
      <c r="I879" s="81">
        <f t="shared" si="355"/>
        <v>0</v>
      </c>
      <c r="J879" s="140">
        <v>0</v>
      </c>
      <c r="K879" s="141">
        <f t="shared" ref="K879:K884" si="358">L879-J879</f>
        <v>0</v>
      </c>
      <c r="L879" s="140">
        <v>0</v>
      </c>
      <c r="M879" s="80">
        <v>0</v>
      </c>
      <c r="N879" s="81" t="str">
        <f t="shared" si="356"/>
        <v>-</v>
      </c>
      <c r="O879" s="361"/>
    </row>
    <row r="880" spans="1:15" s="95" customFormat="1" ht="11.1" customHeight="1" outlineLevel="1" x14ac:dyDescent="0.2">
      <c r="A880" s="369"/>
      <c r="B880" s="76" t="s">
        <v>11</v>
      </c>
      <c r="C880" s="82" t="s">
        <v>111</v>
      </c>
      <c r="D880" s="360"/>
      <c r="E880" s="360"/>
      <c r="F880" s="79" t="s">
        <v>7</v>
      </c>
      <c r="G880" s="140">
        <v>0</v>
      </c>
      <c r="H880" s="268">
        <f t="shared" si="357"/>
        <v>0</v>
      </c>
      <c r="I880" s="81" t="str">
        <f t="shared" si="355"/>
        <v>-</v>
      </c>
      <c r="J880" s="140">
        <v>0</v>
      </c>
      <c r="K880" s="141">
        <f t="shared" si="358"/>
        <v>0</v>
      </c>
      <c r="L880" s="140">
        <v>0</v>
      </c>
      <c r="M880" s="83">
        <v>0</v>
      </c>
      <c r="N880" s="81" t="str">
        <f t="shared" si="356"/>
        <v>-</v>
      </c>
      <c r="O880" s="361"/>
    </row>
    <row r="881" spans="1:15" s="95" customFormat="1" ht="11.1" customHeight="1" outlineLevel="1" x14ac:dyDescent="0.2">
      <c r="A881" s="119"/>
      <c r="B881" s="76" t="s">
        <v>12</v>
      </c>
      <c r="C881" s="82" t="s">
        <v>264</v>
      </c>
      <c r="D881" s="110"/>
      <c r="E881" s="110"/>
      <c r="F881" s="79" t="s">
        <v>8</v>
      </c>
      <c r="G881" s="140">
        <v>0</v>
      </c>
      <c r="H881" s="268">
        <f t="shared" si="357"/>
        <v>0</v>
      </c>
      <c r="I881" s="81" t="str">
        <f t="shared" si="355"/>
        <v>-</v>
      </c>
      <c r="J881" s="140">
        <v>0</v>
      </c>
      <c r="K881" s="141">
        <f t="shared" si="358"/>
        <v>0</v>
      </c>
      <c r="L881" s="140">
        <v>0</v>
      </c>
      <c r="M881" s="80">
        <v>0</v>
      </c>
      <c r="N881" s="81" t="str">
        <f t="shared" si="356"/>
        <v>-</v>
      </c>
      <c r="O881" s="361"/>
    </row>
    <row r="882" spans="1:15" s="95" customFormat="1" ht="11.1" customHeight="1" outlineLevel="1" x14ac:dyDescent="0.2">
      <c r="A882" s="119"/>
      <c r="B882" s="76"/>
      <c r="C882" s="82" t="s">
        <v>386</v>
      </c>
      <c r="D882" s="110"/>
      <c r="E882" s="110"/>
      <c r="F882" s="79" t="s">
        <v>22</v>
      </c>
      <c r="G882" s="140">
        <v>0</v>
      </c>
      <c r="H882" s="268">
        <f t="shared" si="357"/>
        <v>0</v>
      </c>
      <c r="I882" s="81" t="str">
        <f t="shared" si="355"/>
        <v>-</v>
      </c>
      <c r="J882" s="140">
        <v>0</v>
      </c>
      <c r="K882" s="141">
        <f t="shared" si="358"/>
        <v>0</v>
      </c>
      <c r="L882" s="140">
        <v>0</v>
      </c>
      <c r="M882" s="83">
        <v>0</v>
      </c>
      <c r="N882" s="81" t="str">
        <f t="shared" si="356"/>
        <v>-</v>
      </c>
      <c r="O882" s="361"/>
    </row>
    <row r="883" spans="1:15" s="95" customFormat="1" ht="11.1" customHeight="1" outlineLevel="1" x14ac:dyDescent="0.2">
      <c r="A883" s="119"/>
      <c r="B883" s="76" t="s">
        <v>23</v>
      </c>
      <c r="C883" s="82" t="s">
        <v>179</v>
      </c>
      <c r="D883" s="110"/>
      <c r="E883" s="110"/>
      <c r="F883" s="107" t="s">
        <v>45</v>
      </c>
      <c r="G883" s="140">
        <v>0</v>
      </c>
      <c r="H883" s="268">
        <f t="shared" si="357"/>
        <v>0</v>
      </c>
      <c r="I883" s="81" t="str">
        <f t="shared" si="355"/>
        <v>-</v>
      </c>
      <c r="J883" s="140">
        <v>0</v>
      </c>
      <c r="K883" s="141">
        <f t="shared" si="358"/>
        <v>0</v>
      </c>
      <c r="L883" s="140">
        <v>0</v>
      </c>
      <c r="M883" s="83">
        <v>0</v>
      </c>
      <c r="N883" s="81" t="str">
        <f t="shared" si="356"/>
        <v>-</v>
      </c>
      <c r="O883" s="361"/>
    </row>
    <row r="884" spans="1:15" s="95" customFormat="1" ht="11.1" customHeight="1" outlineLevel="1" x14ac:dyDescent="0.2">
      <c r="A884" s="119"/>
      <c r="B884" s="76"/>
      <c r="C884" s="82"/>
      <c r="D884" s="110"/>
      <c r="E884" s="110"/>
      <c r="F884" s="107" t="s">
        <v>46</v>
      </c>
      <c r="G884" s="140">
        <v>0</v>
      </c>
      <c r="H884" s="268">
        <f t="shared" si="357"/>
        <v>0</v>
      </c>
      <c r="I884" s="81" t="str">
        <f t="shared" si="355"/>
        <v>-</v>
      </c>
      <c r="J884" s="140">
        <v>0</v>
      </c>
      <c r="K884" s="141">
        <f t="shared" si="358"/>
        <v>0</v>
      </c>
      <c r="L884" s="140">
        <v>0</v>
      </c>
      <c r="M884" s="83">
        <v>0</v>
      </c>
      <c r="N884" s="81" t="str">
        <f t="shared" si="356"/>
        <v>-</v>
      </c>
      <c r="O884" s="361"/>
    </row>
    <row r="885" spans="1:15" s="95" customFormat="1" ht="3.95" customHeight="1" outlineLevel="1" x14ac:dyDescent="0.2">
      <c r="A885" s="120"/>
      <c r="B885" s="85"/>
      <c r="C885" s="86"/>
      <c r="D885" s="84"/>
      <c r="E885" s="84"/>
      <c r="F885" s="85"/>
      <c r="G885" s="142"/>
      <c r="H885" s="142"/>
      <c r="I885" s="88"/>
      <c r="J885" s="142"/>
      <c r="K885" s="142"/>
      <c r="L885" s="143"/>
      <c r="M885" s="87"/>
      <c r="N885" s="88"/>
      <c r="O885" s="350"/>
    </row>
    <row r="886" spans="1:15" x14ac:dyDescent="0.2">
      <c r="G886" s="222"/>
      <c r="H886" s="222"/>
      <c r="J886" s="222"/>
      <c r="K886" s="222"/>
      <c r="L886" s="222"/>
    </row>
    <row r="887" spans="1:15" x14ac:dyDescent="0.2">
      <c r="G887" s="222"/>
      <c r="H887" s="173"/>
      <c r="J887" s="222"/>
      <c r="K887" s="222"/>
      <c r="L887" s="222"/>
    </row>
    <row r="888" spans="1:15" x14ac:dyDescent="0.2">
      <c r="G888" s="222"/>
      <c r="H888" s="173"/>
      <c r="J888" s="222"/>
      <c r="K888" s="222"/>
      <c r="L888" s="222"/>
    </row>
    <row r="889" spans="1:15" x14ac:dyDescent="0.2">
      <c r="G889" s="222"/>
      <c r="H889" s="173"/>
      <c r="J889" s="222"/>
      <c r="K889" s="222"/>
      <c r="L889" s="222"/>
    </row>
  </sheetData>
  <mergeCells count="311">
    <mergeCell ref="O614:O638"/>
    <mergeCell ref="O648:O657"/>
    <mergeCell ref="O704:O713"/>
    <mergeCell ref="O714:O723"/>
    <mergeCell ref="O754:O762"/>
    <mergeCell ref="O764:O773"/>
    <mergeCell ref="O774:O783"/>
    <mergeCell ref="O785:O795"/>
    <mergeCell ref="O797:O806"/>
    <mergeCell ref="O725:O731"/>
    <mergeCell ref="O744:O750"/>
    <mergeCell ref="O337:O343"/>
    <mergeCell ref="O37:O50"/>
    <mergeCell ref="O51:O59"/>
    <mergeCell ref="O60:O73"/>
    <mergeCell ref="O74:O83"/>
    <mergeCell ref="O84:O93"/>
    <mergeCell ref="O104:O126"/>
    <mergeCell ref="O592:O604"/>
    <mergeCell ref="O173:O183"/>
    <mergeCell ref="O579:O591"/>
    <mergeCell ref="O128:O142"/>
    <mergeCell ref="O500:O506"/>
    <mergeCell ref="O522:O530"/>
    <mergeCell ref="A418:A420"/>
    <mergeCell ref="A290:A292"/>
    <mergeCell ref="D290:D292"/>
    <mergeCell ref="E290:E292"/>
    <mergeCell ref="O290:O296"/>
    <mergeCell ref="O473:O479"/>
    <mergeCell ref="A382:A384"/>
    <mergeCell ref="A400:A402"/>
    <mergeCell ref="D319:D321"/>
    <mergeCell ref="E319:E321"/>
    <mergeCell ref="O319:O325"/>
    <mergeCell ref="A355:A357"/>
    <mergeCell ref="D355:D357"/>
    <mergeCell ref="E355:E357"/>
    <mergeCell ref="O355:O361"/>
    <mergeCell ref="A337:A339"/>
    <mergeCell ref="A328:A330"/>
    <mergeCell ref="D328:D330"/>
    <mergeCell ref="E328:E330"/>
    <mergeCell ref="O328:O334"/>
    <mergeCell ref="E337:E339"/>
    <mergeCell ref="O382:O388"/>
    <mergeCell ref="A301:A303"/>
    <mergeCell ref="D337:D339"/>
    <mergeCell ref="A427:A429"/>
    <mergeCell ref="D427:D429"/>
    <mergeCell ref="E427:E429"/>
    <mergeCell ref="O427:O433"/>
    <mergeCell ref="A454:A456"/>
    <mergeCell ref="D454:D456"/>
    <mergeCell ref="E454:E456"/>
    <mergeCell ref="O454:O460"/>
    <mergeCell ref="A445:A447"/>
    <mergeCell ref="A436:A438"/>
    <mergeCell ref="A104:A106"/>
    <mergeCell ref="E120:E122"/>
    <mergeCell ref="E277:E279"/>
    <mergeCell ref="O277:O283"/>
    <mergeCell ref="A259:A261"/>
    <mergeCell ref="D259:D261"/>
    <mergeCell ref="E259:E261"/>
    <mergeCell ref="O259:O265"/>
    <mergeCell ref="E159:E161"/>
    <mergeCell ref="E166:E168"/>
    <mergeCell ref="B268:C268"/>
    <mergeCell ref="O221:O228"/>
    <mergeCell ref="A277:A279"/>
    <mergeCell ref="O231:O238"/>
    <mergeCell ref="D231:D233"/>
    <mergeCell ref="E231:E233"/>
    <mergeCell ref="A174:A176"/>
    <mergeCell ref="D174:D176"/>
    <mergeCell ref="E174:E176"/>
    <mergeCell ref="A203:A205"/>
    <mergeCell ref="D221:D223"/>
    <mergeCell ref="E221:E223"/>
    <mergeCell ref="E128:E132"/>
    <mergeCell ref="A221:A223"/>
    <mergeCell ref="A231:A233"/>
    <mergeCell ref="A310:A312"/>
    <mergeCell ref="D310:D312"/>
    <mergeCell ref="E310:E312"/>
    <mergeCell ref="O310:O316"/>
    <mergeCell ref="A319:A321"/>
    <mergeCell ref="A128:A130"/>
    <mergeCell ref="D203:D205"/>
    <mergeCell ref="E203:E205"/>
    <mergeCell ref="O203:O209"/>
    <mergeCell ref="A241:A243"/>
    <mergeCell ref="D241:D243"/>
    <mergeCell ref="E241:E243"/>
    <mergeCell ref="O241:O247"/>
    <mergeCell ref="A250:A252"/>
    <mergeCell ref="D250:D252"/>
    <mergeCell ref="E250:E252"/>
    <mergeCell ref="O250:O256"/>
    <mergeCell ref="D277:D279"/>
    <mergeCell ref="D301:D303"/>
    <mergeCell ref="E301:E303"/>
    <mergeCell ref="O301:O307"/>
    <mergeCell ref="D128:D130"/>
    <mergeCell ref="B185:C185"/>
    <mergeCell ref="A38:A40"/>
    <mergeCell ref="D38:D40"/>
    <mergeCell ref="E38:E40"/>
    <mergeCell ref="A194:A196"/>
    <mergeCell ref="D194:D196"/>
    <mergeCell ref="E194:E196"/>
    <mergeCell ref="O194:O200"/>
    <mergeCell ref="A212:A214"/>
    <mergeCell ref="D212:D214"/>
    <mergeCell ref="E212:E214"/>
    <mergeCell ref="O212:O218"/>
    <mergeCell ref="E104:E108"/>
    <mergeCell ref="A52:A54"/>
    <mergeCell ref="A61:A63"/>
    <mergeCell ref="A75:A77"/>
    <mergeCell ref="A85:A87"/>
    <mergeCell ref="D85:D87"/>
    <mergeCell ref="D61:D63"/>
    <mergeCell ref="E61:E63"/>
    <mergeCell ref="D75:D77"/>
    <mergeCell ref="E85:E87"/>
    <mergeCell ref="E137:E139"/>
    <mergeCell ref="E145:E147"/>
    <mergeCell ref="E152:E154"/>
    <mergeCell ref="B565:C565"/>
    <mergeCell ref="J7:O7"/>
    <mergeCell ref="A4:O4"/>
    <mergeCell ref="A5:O5"/>
    <mergeCell ref="B9:C9"/>
    <mergeCell ref="B11:C11"/>
    <mergeCell ref="A7:A8"/>
    <mergeCell ref="F7:I7"/>
    <mergeCell ref="E7:E8"/>
    <mergeCell ref="B7:C8"/>
    <mergeCell ref="D7:D8"/>
    <mergeCell ref="B12:C12"/>
    <mergeCell ref="B13:C13"/>
    <mergeCell ref="B14:C14"/>
    <mergeCell ref="B15:C15"/>
    <mergeCell ref="B20:C20"/>
    <mergeCell ref="B95:C95"/>
    <mergeCell ref="E113:E115"/>
    <mergeCell ref="D104:D106"/>
    <mergeCell ref="B29:C29"/>
    <mergeCell ref="B23:C23"/>
    <mergeCell ref="D52:D54"/>
    <mergeCell ref="E52:E54"/>
    <mergeCell ref="E75:E77"/>
    <mergeCell ref="O878:O884"/>
    <mergeCell ref="B869:C869"/>
    <mergeCell ref="O668:O674"/>
    <mergeCell ref="O735:O741"/>
    <mergeCell ref="A705:A707"/>
    <mergeCell ref="A715:A717"/>
    <mergeCell ref="A735:A737"/>
    <mergeCell ref="O840:O846"/>
    <mergeCell ref="A878:A880"/>
    <mergeCell ref="D878:D880"/>
    <mergeCell ref="E878:E880"/>
    <mergeCell ref="A858:A860"/>
    <mergeCell ref="D858:D860"/>
    <mergeCell ref="E858:E860"/>
    <mergeCell ref="O858:O864"/>
    <mergeCell ref="A764:A766"/>
    <mergeCell ref="A775:A777"/>
    <mergeCell ref="A785:A787"/>
    <mergeCell ref="A797:A799"/>
    <mergeCell ref="A840:A842"/>
    <mergeCell ref="D840:D842"/>
    <mergeCell ref="E840:E842"/>
    <mergeCell ref="A695:A697"/>
    <mergeCell ref="D695:D697"/>
    <mergeCell ref="A580:A582"/>
    <mergeCell ref="E624:E626"/>
    <mergeCell ref="E632:E634"/>
    <mergeCell ref="D668:D670"/>
    <mergeCell ref="E668:E670"/>
    <mergeCell ref="E593:E595"/>
    <mergeCell ref="A668:A670"/>
    <mergeCell ref="B659:C659"/>
    <mergeCell ref="A686:A688"/>
    <mergeCell ref="A677:A679"/>
    <mergeCell ref="E649:E651"/>
    <mergeCell ref="B640:C640"/>
    <mergeCell ref="A649:A651"/>
    <mergeCell ref="A754:A756"/>
    <mergeCell ref="A725:A727"/>
    <mergeCell ref="B831:C831"/>
    <mergeCell ref="B849:C849"/>
    <mergeCell ref="O436:O442"/>
    <mergeCell ref="E436:E438"/>
    <mergeCell ref="O686:O692"/>
    <mergeCell ref="D580:D582"/>
    <mergeCell ref="E580:E582"/>
    <mergeCell ref="D715:D717"/>
    <mergeCell ref="O677:O683"/>
    <mergeCell ref="D686:D688"/>
    <mergeCell ref="E686:E688"/>
    <mergeCell ref="D649:D651"/>
    <mergeCell ref="E725:E727"/>
    <mergeCell ref="D744:D746"/>
    <mergeCell ref="E744:E746"/>
    <mergeCell ref="D735:D737"/>
    <mergeCell ref="E735:E737"/>
    <mergeCell ref="O695:O701"/>
    <mergeCell ref="D705:D707"/>
    <mergeCell ref="A549:A551"/>
    <mergeCell ref="D549:D551"/>
    <mergeCell ref="B571:C571"/>
    <mergeCell ref="A808:A810"/>
    <mergeCell ref="A819:A821"/>
    <mergeCell ref="D819:D821"/>
    <mergeCell ref="D593:D595"/>
    <mergeCell ref="B563:C563"/>
    <mergeCell ref="E364:E366"/>
    <mergeCell ref="D373:D375"/>
    <mergeCell ref="E373:E375"/>
    <mergeCell ref="D382:D384"/>
    <mergeCell ref="E382:E384"/>
    <mergeCell ref="B606:C606"/>
    <mergeCell ref="A593:A595"/>
    <mergeCell ref="A615:A617"/>
    <mergeCell ref="D615:D617"/>
    <mergeCell ref="E615:E619"/>
    <mergeCell ref="E715:E717"/>
    <mergeCell ref="A744:A746"/>
    <mergeCell ref="E705:E707"/>
    <mergeCell ref="D677:D679"/>
    <mergeCell ref="E677:E679"/>
    <mergeCell ref="B566:C566"/>
    <mergeCell ref="D561:D569"/>
    <mergeCell ref="D400:D402"/>
    <mergeCell ref="D725:D727"/>
    <mergeCell ref="B562:C562"/>
    <mergeCell ref="B564:C564"/>
    <mergeCell ref="A346:A348"/>
    <mergeCell ref="A511:A513"/>
    <mergeCell ref="D511:D513"/>
    <mergeCell ref="E511:E513"/>
    <mergeCell ref="O463:O469"/>
    <mergeCell ref="O400:O406"/>
    <mergeCell ref="O445:O451"/>
    <mergeCell ref="E473:E475"/>
    <mergeCell ref="A522:A524"/>
    <mergeCell ref="D522:D524"/>
    <mergeCell ref="D364:D366"/>
    <mergeCell ref="O364:O370"/>
    <mergeCell ref="O373:O379"/>
    <mergeCell ref="D418:D420"/>
    <mergeCell ref="E418:E420"/>
    <mergeCell ref="D436:D438"/>
    <mergeCell ref="D391:D393"/>
    <mergeCell ref="E391:E393"/>
    <mergeCell ref="O391:O397"/>
    <mergeCell ref="D445:D447"/>
    <mergeCell ref="A463:A465"/>
    <mergeCell ref="A473:A475"/>
    <mergeCell ref="A364:A366"/>
    <mergeCell ref="A373:A375"/>
    <mergeCell ref="A391:A393"/>
    <mergeCell ref="O511:O519"/>
    <mergeCell ref="A536:A538"/>
    <mergeCell ref="D536:D538"/>
    <mergeCell ref="E536:E538"/>
    <mergeCell ref="O549:O556"/>
    <mergeCell ref="O536:O544"/>
    <mergeCell ref="E400:E402"/>
    <mergeCell ref="E522:E524"/>
    <mergeCell ref="B491:C491"/>
    <mergeCell ref="A500:A502"/>
    <mergeCell ref="D500:D502"/>
    <mergeCell ref="E500:E502"/>
    <mergeCell ref="E445:E447"/>
    <mergeCell ref="D473:D475"/>
    <mergeCell ref="E549:E551"/>
    <mergeCell ref="A482:A484"/>
    <mergeCell ref="D482:D484"/>
    <mergeCell ref="E482:E484"/>
    <mergeCell ref="O482:O488"/>
    <mergeCell ref="A409:A411"/>
    <mergeCell ref="D409:D411"/>
    <mergeCell ref="D346:D348"/>
    <mergeCell ref="E346:E348"/>
    <mergeCell ref="O819:O829"/>
    <mergeCell ref="O807:O817"/>
    <mergeCell ref="D797:D799"/>
    <mergeCell ref="E797:E799"/>
    <mergeCell ref="D775:D777"/>
    <mergeCell ref="E775:E777"/>
    <mergeCell ref="D764:D766"/>
    <mergeCell ref="E764:E766"/>
    <mergeCell ref="D754:D756"/>
    <mergeCell ref="E754:E756"/>
    <mergeCell ref="E819:E821"/>
    <mergeCell ref="E808:E810"/>
    <mergeCell ref="D785:D787"/>
    <mergeCell ref="E785:E787"/>
    <mergeCell ref="D808:D810"/>
    <mergeCell ref="O346:O352"/>
    <mergeCell ref="E695:E697"/>
    <mergeCell ref="E409:E411"/>
    <mergeCell ref="O409:O415"/>
    <mergeCell ref="D463:D465"/>
    <mergeCell ref="E463:E465"/>
    <mergeCell ref="O418:O424"/>
  </mergeCells>
  <printOptions horizontalCentered="1"/>
  <pageMargins left="0.35433070866141736" right="0.35433070866141736" top="0.39370078740157483" bottom="0.59055118110236227" header="0.31496062992125984" footer="0.23622047244094491"/>
  <pageSetup paperSize="9" scale="67" firstPageNumber="109" orientation="landscape" useFirstPageNumber="1" r:id="rId1"/>
  <headerFooter>
    <oddFooter>&amp;C&amp;P</oddFooter>
  </headerFooter>
  <rowBreaks count="11" manualBreakCount="11">
    <brk id="73" max="14" man="1"/>
    <brk id="143" max="14" man="1"/>
    <brk id="219" max="14" man="1"/>
    <brk id="288" max="14" man="1"/>
    <brk id="362" max="14" man="1"/>
    <brk id="434" max="14" man="1"/>
    <brk id="509" max="14" man="1"/>
    <brk id="578" max="14" man="1"/>
    <brk id="713" max="14" man="1"/>
    <brk id="783" max="14" man="1"/>
    <brk id="856"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7" sqref="A7"/>
    </sheetView>
  </sheetViews>
  <sheetFormatPr defaultRowHeight="12.75" x14ac:dyDescent="0.2"/>
  <cols>
    <col min="1" max="1" width="57.28515625" style="320" customWidth="1"/>
    <col min="2" max="2" width="14.28515625" style="320" customWidth="1"/>
    <col min="3" max="16384" width="9.140625" style="320"/>
  </cols>
  <sheetData>
    <row r="1" spans="1:2" x14ac:dyDescent="0.2">
      <c r="A1" s="299" t="s">
        <v>485</v>
      </c>
      <c r="B1" s="299" t="s">
        <v>476</v>
      </c>
    </row>
    <row r="2" spans="1:2" ht="33" customHeight="1" x14ac:dyDescent="0.2">
      <c r="A2" s="321" t="s">
        <v>477</v>
      </c>
      <c r="B2" s="322">
        <f>B3+B9</f>
        <v>90529115</v>
      </c>
    </row>
    <row r="3" spans="1:2" ht="18" customHeight="1" x14ac:dyDescent="0.2">
      <c r="A3" s="323" t="s">
        <v>478</v>
      </c>
      <c r="B3" s="324">
        <f>SUM(B4:B8)</f>
        <v>9645189.5999999996</v>
      </c>
    </row>
    <row r="4" spans="1:2" ht="15.95" customHeight="1" x14ac:dyDescent="0.2">
      <c r="A4" s="325" t="s">
        <v>479</v>
      </c>
      <c r="B4" s="326">
        <f>6469993.96+1065266.71</f>
        <v>7535260.6699999999</v>
      </c>
    </row>
    <row r="5" spans="1:2" ht="42" customHeight="1" x14ac:dyDescent="0.2">
      <c r="A5" s="325" t="s">
        <v>483</v>
      </c>
      <c r="B5" s="326">
        <f>698346.34+37809.07</f>
        <v>736155.40999999992</v>
      </c>
    </row>
    <row r="6" spans="1:2" ht="30" customHeight="1" x14ac:dyDescent="0.2">
      <c r="A6" s="325" t="s">
        <v>480</v>
      </c>
      <c r="B6" s="326">
        <f>1343901.08-(3376+2376+14878.8)</f>
        <v>1323270.28</v>
      </c>
    </row>
    <row r="7" spans="1:2" ht="30" customHeight="1" x14ac:dyDescent="0.2">
      <c r="A7" s="325" t="s">
        <v>481</v>
      </c>
      <c r="B7" s="326">
        <v>29872.44</v>
      </c>
    </row>
    <row r="8" spans="1:2" ht="15.95" customHeight="1" x14ac:dyDescent="0.2">
      <c r="A8" s="325" t="s">
        <v>484</v>
      </c>
      <c r="B8" s="326">
        <f>3376+2376+14878.8</f>
        <v>20630.8</v>
      </c>
    </row>
    <row r="9" spans="1:2" ht="18" customHeight="1" x14ac:dyDescent="0.2">
      <c r="A9" s="323" t="s">
        <v>482</v>
      </c>
      <c r="B9" s="324">
        <f>SUM(B10:B11)</f>
        <v>80883925.400000006</v>
      </c>
    </row>
    <row r="10" spans="1:2" ht="15.95" customHeight="1" x14ac:dyDescent="0.2">
      <c r="A10" s="325" t="s">
        <v>479</v>
      </c>
      <c r="B10" s="326">
        <v>80279931.090000004</v>
      </c>
    </row>
    <row r="11" spans="1:2" ht="42" customHeight="1" x14ac:dyDescent="0.2">
      <c r="A11" s="325" t="s">
        <v>483</v>
      </c>
      <c r="B11" s="326">
        <v>603994.31000000006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1" sqref="B1:B1048576"/>
    </sheetView>
  </sheetViews>
  <sheetFormatPr defaultRowHeight="12.75" x14ac:dyDescent="0.2"/>
  <cols>
    <col min="1" max="1" width="59.42578125" style="1" customWidth="1"/>
    <col min="2" max="2" width="13.5703125" style="211" customWidth="1"/>
    <col min="3" max="16384" width="9.140625" style="1"/>
  </cols>
  <sheetData>
    <row r="1" spans="1:2" s="327" customFormat="1" ht="15.95" customHeight="1" x14ac:dyDescent="0.2">
      <c r="A1" s="329" t="s">
        <v>485</v>
      </c>
      <c r="B1" s="330" t="s">
        <v>476</v>
      </c>
    </row>
    <row r="2" spans="1:2" ht="18" customHeight="1" x14ac:dyDescent="0.2">
      <c r="A2" s="281" t="s">
        <v>56</v>
      </c>
      <c r="B2" s="282">
        <f>484695.3+5673238.96+81590.86+578777.79+1065266.71+37809.07</f>
        <v>7921378.6900000004</v>
      </c>
    </row>
    <row r="3" spans="1:2" ht="18" customHeight="1" x14ac:dyDescent="0.2">
      <c r="A3" s="281" t="s">
        <v>486</v>
      </c>
      <c r="B3" s="282">
        <f>215206.87+37977.69</f>
        <v>253184.56</v>
      </c>
    </row>
    <row r="4" spans="1:2" ht="18" customHeight="1" x14ac:dyDescent="0.2">
      <c r="A4" s="281" t="s">
        <v>105</v>
      </c>
      <c r="B4" s="282">
        <f>53600.7</f>
        <v>53600.7</v>
      </c>
    </row>
    <row r="5" spans="1:2" ht="18" customHeight="1" x14ac:dyDescent="0.2">
      <c r="A5" s="281" t="s">
        <v>109</v>
      </c>
      <c r="B5" s="282">
        <f>43252.13</f>
        <v>43252.13</v>
      </c>
    </row>
    <row r="6" spans="1:2" s="212" customFormat="1" ht="21" customHeight="1" x14ac:dyDescent="0.2">
      <c r="A6" s="279" t="s">
        <v>300</v>
      </c>
      <c r="B6" s="280">
        <f>SUM(B2:B5)</f>
        <v>8271416.0800000001</v>
      </c>
    </row>
    <row r="9" spans="1:2" s="327" customFormat="1" ht="15.95" customHeight="1" x14ac:dyDescent="0.2">
      <c r="A9" s="329" t="s">
        <v>485</v>
      </c>
      <c r="B9" s="330" t="s">
        <v>476</v>
      </c>
    </row>
    <row r="10" spans="1:2" s="320" customFormat="1" ht="30" customHeight="1" x14ac:dyDescent="0.2">
      <c r="A10" s="331" t="s">
        <v>487</v>
      </c>
      <c r="B10" s="332">
        <f>1343901.08-(3376+2376+14878.8)</f>
        <v>1323270.28</v>
      </c>
    </row>
    <row r="11" spans="1:2" s="320" customFormat="1" ht="30" customHeight="1" x14ac:dyDescent="0.2">
      <c r="A11" s="331" t="s">
        <v>488</v>
      </c>
      <c r="B11" s="332">
        <f>29872.44</f>
        <v>29872.44</v>
      </c>
    </row>
    <row r="12" spans="1:2" s="320" customFormat="1" ht="30" customHeight="1" x14ac:dyDescent="0.2">
      <c r="A12" s="333" t="s">
        <v>489</v>
      </c>
      <c r="B12" s="332">
        <f>3376+2376+14878.8</f>
        <v>20630.8</v>
      </c>
    </row>
    <row r="13" spans="1:2" s="212" customFormat="1" ht="21" customHeight="1" x14ac:dyDescent="0.2">
      <c r="A13" s="279" t="s">
        <v>300</v>
      </c>
      <c r="B13" s="280">
        <f>SUM(B10:B12)</f>
        <v>1373773.52</v>
      </c>
    </row>
    <row r="15" spans="1:2" s="212" customFormat="1" x14ac:dyDescent="0.2">
      <c r="B15" s="328">
        <f>B13+B6</f>
        <v>9645189.5999999996</v>
      </c>
    </row>
  </sheetData>
  <sortState ref="A10:B12">
    <sortCondition descending="1" ref="B10:B12"/>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sqref="A1:B6"/>
    </sheetView>
  </sheetViews>
  <sheetFormatPr defaultRowHeight="12.75" x14ac:dyDescent="0.2"/>
  <cols>
    <col min="1" max="1" width="58.7109375" customWidth="1"/>
    <col min="2" max="2" width="16.7109375" customWidth="1"/>
  </cols>
  <sheetData>
    <row r="1" spans="1:2" s="327" customFormat="1" ht="15.95" customHeight="1" x14ac:dyDescent="0.2">
      <c r="A1" s="329" t="s">
        <v>485</v>
      </c>
      <c r="B1" s="330" t="s">
        <v>476</v>
      </c>
    </row>
    <row r="2" spans="1:2" s="1" customFormat="1" ht="18" customHeight="1" x14ac:dyDescent="0.2">
      <c r="A2" s="281" t="s">
        <v>109</v>
      </c>
      <c r="B2" s="282">
        <f>41681717.77+1367729.83+70073.44+4725122.19+3936.03</f>
        <v>47848579.259999998</v>
      </c>
    </row>
    <row r="3" spans="1:2" s="1" customFormat="1" ht="18" customHeight="1" x14ac:dyDescent="0.2">
      <c r="A3" s="281" t="s">
        <v>105</v>
      </c>
      <c r="B3" s="282">
        <f>10111047.22+12729641.16+61596.27+2215542.18+35599.07+329445.27+925271.76+462831.92+892559.56+788.19+1745273.05+187787.75+308945.25+1331998.08+7902.99+160749.03</f>
        <v>31506978.750000004</v>
      </c>
    </row>
    <row r="4" spans="1:2" s="1" customFormat="1" ht="18" customHeight="1" x14ac:dyDescent="0.2">
      <c r="A4" s="281" t="s">
        <v>486</v>
      </c>
      <c r="B4" s="282">
        <f>767399.22+340490.66+233969.64</f>
        <v>1341859.52</v>
      </c>
    </row>
    <row r="5" spans="1:2" s="1" customFormat="1" ht="18" customHeight="1" x14ac:dyDescent="0.2">
      <c r="A5" s="281" t="s">
        <v>56</v>
      </c>
      <c r="B5" s="282">
        <f>113900+3400+35700+3973.86+20100+600+2570.61+6240+23.4</f>
        <v>186507.86999999997</v>
      </c>
    </row>
    <row r="6" spans="1:2" s="212" customFormat="1" ht="21" customHeight="1" x14ac:dyDescent="0.2">
      <c r="A6" s="279" t="s">
        <v>300</v>
      </c>
      <c r="B6" s="280">
        <f>SUM(B2:B5)</f>
        <v>80883925.400000006</v>
      </c>
    </row>
    <row r="7" spans="1:2" s="1" customFormat="1" x14ac:dyDescent="0.2">
      <c r="B7" s="211"/>
    </row>
  </sheetData>
  <sortState ref="A2:B5">
    <sortCondition descending="1" ref="B2:B5"/>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18" sqref="A18:B24"/>
    </sheetView>
  </sheetViews>
  <sheetFormatPr defaultRowHeight="12.75" x14ac:dyDescent="0.2"/>
  <cols>
    <col min="1" max="1" width="45.7109375" style="320" customWidth="1"/>
    <col min="2" max="2" width="14.7109375" style="320" customWidth="1"/>
    <col min="3" max="16384" width="9.140625" style="320"/>
  </cols>
  <sheetData>
    <row r="1" spans="1:2" ht="18" customHeight="1" x14ac:dyDescent="0.2">
      <c r="A1" s="334" t="s">
        <v>485</v>
      </c>
      <c r="B1" s="334" t="s">
        <v>490</v>
      </c>
    </row>
    <row r="2" spans="1:2" ht="33" customHeight="1" x14ac:dyDescent="0.2">
      <c r="A2" s="335" t="s">
        <v>491</v>
      </c>
      <c r="B2" s="336">
        <f>SUM(B3:B7)</f>
        <v>193249832</v>
      </c>
    </row>
    <row r="3" spans="1:2" ht="18" customHeight="1" x14ac:dyDescent="0.2">
      <c r="A3" s="338" t="s">
        <v>492</v>
      </c>
      <c r="B3" s="337">
        <v>11412776</v>
      </c>
    </row>
    <row r="4" spans="1:2" ht="18" customHeight="1" x14ac:dyDescent="0.2">
      <c r="A4" s="338" t="s">
        <v>493</v>
      </c>
      <c r="B4" s="337">
        <v>121828246</v>
      </c>
    </row>
    <row r="5" spans="1:2" ht="18" customHeight="1" x14ac:dyDescent="0.2">
      <c r="A5" s="338" t="s">
        <v>494</v>
      </c>
      <c r="B5" s="337">
        <v>48204297</v>
      </c>
    </row>
    <row r="6" spans="1:2" ht="18" customHeight="1" x14ac:dyDescent="0.2">
      <c r="A6" s="338" t="s">
        <v>330</v>
      </c>
      <c r="B6" s="337">
        <v>4012207</v>
      </c>
    </row>
    <row r="7" spans="1:2" ht="18" customHeight="1" x14ac:dyDescent="0.2">
      <c r="A7" s="338" t="s">
        <v>495</v>
      </c>
      <c r="B7" s="337">
        <v>7792306</v>
      </c>
    </row>
    <row r="11" spans="1:2" ht="18" customHeight="1" x14ac:dyDescent="0.2">
      <c r="A11" s="334" t="s">
        <v>485</v>
      </c>
      <c r="B11" s="334" t="s">
        <v>490</v>
      </c>
    </row>
    <row r="12" spans="1:2" ht="21" customHeight="1" x14ac:dyDescent="0.2">
      <c r="A12" s="335" t="s">
        <v>323</v>
      </c>
      <c r="B12" s="336">
        <f>SUM(B13:B15)</f>
        <v>10735396</v>
      </c>
    </row>
    <row r="13" spans="1:2" ht="18" customHeight="1" x14ac:dyDescent="0.2">
      <c r="A13" s="338" t="s">
        <v>492</v>
      </c>
      <c r="B13" s="337">
        <v>495142</v>
      </c>
    </row>
    <row r="14" spans="1:2" ht="18" customHeight="1" x14ac:dyDescent="0.2">
      <c r="A14" s="338" t="s">
        <v>493</v>
      </c>
      <c r="B14" s="337">
        <v>9149758</v>
      </c>
    </row>
    <row r="15" spans="1:2" ht="18" customHeight="1" x14ac:dyDescent="0.2">
      <c r="A15" s="338" t="s">
        <v>330</v>
      </c>
      <c r="B15" s="337">
        <v>1090496</v>
      </c>
    </row>
    <row r="18" spans="1:2" ht="18" customHeight="1" x14ac:dyDescent="0.2">
      <c r="A18" s="334" t="s">
        <v>485</v>
      </c>
      <c r="B18" s="334" t="s">
        <v>490</v>
      </c>
    </row>
    <row r="19" spans="1:2" ht="21" customHeight="1" x14ac:dyDescent="0.2">
      <c r="A19" s="335" t="s">
        <v>313</v>
      </c>
      <c r="B19" s="336">
        <f>SUM(B20:B24)</f>
        <v>182514436</v>
      </c>
    </row>
    <row r="20" spans="1:2" ht="18" customHeight="1" x14ac:dyDescent="0.2">
      <c r="A20" s="338" t="s">
        <v>492</v>
      </c>
      <c r="B20" s="337">
        <v>10917634</v>
      </c>
    </row>
    <row r="21" spans="1:2" ht="18" customHeight="1" x14ac:dyDescent="0.2">
      <c r="A21" s="338" t="s">
        <v>493</v>
      </c>
      <c r="B21" s="337">
        <v>112678488</v>
      </c>
    </row>
    <row r="22" spans="1:2" ht="18" customHeight="1" x14ac:dyDescent="0.2">
      <c r="A22" s="338" t="s">
        <v>494</v>
      </c>
      <c r="B22" s="337">
        <v>48204297</v>
      </c>
    </row>
    <row r="23" spans="1:2" ht="18" customHeight="1" x14ac:dyDescent="0.2">
      <c r="A23" s="338" t="s">
        <v>330</v>
      </c>
      <c r="B23" s="337">
        <v>2921711</v>
      </c>
    </row>
    <row r="24" spans="1:2" ht="18" customHeight="1" x14ac:dyDescent="0.2">
      <c r="A24" s="338" t="s">
        <v>495</v>
      </c>
      <c r="B24" s="337">
        <v>7792306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46" sqref="A46"/>
    </sheetView>
  </sheetViews>
  <sheetFormatPr defaultRowHeight="12.75" x14ac:dyDescent="0.2"/>
  <cols>
    <col min="1" max="1" width="18.85546875" customWidth="1"/>
    <col min="2" max="8" width="14.7109375" style="271" customWidth="1"/>
    <col min="9" max="9" width="12.7109375" style="271" customWidth="1"/>
  </cols>
  <sheetData>
    <row r="1" spans="1:8" x14ac:dyDescent="0.2">
      <c r="B1" s="272" t="s">
        <v>300</v>
      </c>
      <c r="C1" s="272" t="s">
        <v>301</v>
      </c>
      <c r="D1" s="272" t="s">
        <v>302</v>
      </c>
      <c r="E1" s="272" t="s">
        <v>303</v>
      </c>
      <c r="F1" s="272" t="s">
        <v>306</v>
      </c>
      <c r="G1" s="272" t="s">
        <v>304</v>
      </c>
      <c r="H1" s="272" t="s">
        <v>305</v>
      </c>
    </row>
    <row r="2" spans="1:8" x14ac:dyDescent="0.2">
      <c r="A2" s="270" t="s">
        <v>292</v>
      </c>
      <c r="B2" s="271">
        <f>SUM(C2:H2)</f>
        <v>13394643</v>
      </c>
      <c r="C2" s="271">
        <f t="shared" ref="C2:H2" si="0">SUM(C3:C9)</f>
        <v>665285</v>
      </c>
      <c r="D2" s="271">
        <f t="shared" si="0"/>
        <v>11742209</v>
      </c>
      <c r="E2" s="271">
        <f t="shared" si="0"/>
        <v>0</v>
      </c>
      <c r="F2" s="271">
        <f t="shared" si="0"/>
        <v>987149</v>
      </c>
      <c r="G2" s="271">
        <f t="shared" si="0"/>
        <v>0</v>
      </c>
      <c r="H2" s="271">
        <f t="shared" si="0"/>
        <v>0</v>
      </c>
    </row>
    <row r="3" spans="1:8" x14ac:dyDescent="0.2">
      <c r="A3" s="270" t="s">
        <v>293</v>
      </c>
      <c r="B3" s="271">
        <f>SUM(C3:H3)</f>
        <v>8439650</v>
      </c>
      <c r="C3" s="271">
        <f>'przedsiewziecia UE'!L62+'przedsiewziecia UE'!L76+'przedsiewziecia UE'!L86+'przedsiewziecia UE'!L129+'przedsiewziecia UE'!L175+'przedsiewziecia UE'!L195+'przedsiewziecia UE'!L204+'przedsiewziecia UE'!L213+'przedsiewziecia UE'!L222+'przedsiewziecia UE'!L232+'przedsiewziecia UE'!L242+'przedsiewziecia UE'!L251+'przedsiewziecia UE'!L260+'przedsiewziecia UE'!L278+'przedsiewziecia UE'!L291+'przedsiewziecia UE'!L302+'przedsiewziecia UE'!L311+'przedsiewziecia UE'!L320+'przedsiewziecia UE'!L329+'przedsiewziecia UE'!L338+'przedsiewziecia UE'!L347</f>
        <v>285450</v>
      </c>
      <c r="D3" s="271">
        <f>'przedsiewziecia UE'!L63+'przedsiewziecia UE'!L77+'przedsiewziecia UE'!L87+'przedsiewziecia UE'!L130+'przedsiewziecia UE'!L176+'przedsiewziecia UE'!L196+'przedsiewziecia UE'!L205+'przedsiewziecia UE'!L214+'przedsiewziecia UE'!L223+'przedsiewziecia UE'!L233+'przedsiewziecia UE'!L243+'przedsiewziecia UE'!L252+'przedsiewziecia UE'!L261+'przedsiewziecia UE'!L279+'przedsiewziecia UE'!L292+'przedsiewziecia UE'!L303+'przedsiewziecia UE'!L312+'przedsiewziecia UE'!L321+'przedsiewziecia UE'!L330+'przedsiewziecia UE'!L339+'przedsiewziecia UE'!L348</f>
        <v>7413959</v>
      </c>
      <c r="E3" s="271">
        <f>'przedsiewziecia UE'!L64+'przedsiewziecia UE'!L78+'przedsiewziecia UE'!L88+'przedsiewziecia UE'!L131+'przedsiewziecia UE'!L177+'przedsiewziecia UE'!L197+'przedsiewziecia UE'!L206+'przedsiewziecia UE'!L215+'przedsiewziecia UE'!L224+'przedsiewziecia UE'!L234+'przedsiewziecia UE'!L244+'przedsiewziecia UE'!L253+'przedsiewziecia UE'!L262+'przedsiewziecia UE'!L280+'przedsiewziecia UE'!L293+'przedsiewziecia UE'!L304+'przedsiewziecia UE'!L313+'przedsiewziecia UE'!L322+'przedsiewziecia UE'!L331+'przedsiewziecia UE'!L340+'przedsiewziecia UE'!L349</f>
        <v>0</v>
      </c>
      <c r="F3" s="271">
        <f>'przedsiewziecia UE'!L65+'przedsiewziecia UE'!L79+'przedsiewziecia UE'!L89+'przedsiewziecia UE'!L132+'przedsiewziecia UE'!L178+'przedsiewziecia UE'!L198+'przedsiewziecia UE'!L207+'przedsiewziecia UE'!L216+'przedsiewziecia UE'!L225+'przedsiewziecia UE'!L235+'przedsiewziecia UE'!L245+'przedsiewziecia UE'!L254+'przedsiewziecia UE'!L263+'przedsiewziecia UE'!L281+'przedsiewziecia UE'!L294+'przedsiewziecia UE'!L305+'przedsiewziecia UE'!L314+'przedsiewziecia UE'!L323+'przedsiewziecia UE'!L332+'przedsiewziecia UE'!L341+'przedsiewziecia UE'!L350</f>
        <v>740241</v>
      </c>
      <c r="G3" s="271">
        <f>'przedsiewziecia UE'!L66+'przedsiewziecia UE'!L80+'przedsiewziecia UE'!L90+'przedsiewziecia UE'!L133+'przedsiewziecia UE'!L179+'przedsiewziecia UE'!L199+'przedsiewziecia UE'!L208+'przedsiewziecia UE'!L217+'przedsiewziecia UE'!L226+'przedsiewziecia UE'!L236+'przedsiewziecia UE'!L246+'przedsiewziecia UE'!L255+'przedsiewziecia UE'!L264+'przedsiewziecia UE'!L282+'przedsiewziecia UE'!L295+'przedsiewziecia UE'!L306+'przedsiewziecia UE'!L315+'przedsiewziecia UE'!L324+'przedsiewziecia UE'!L333+'przedsiewziecia UE'!L342+'przedsiewziecia UE'!L351</f>
        <v>0</v>
      </c>
      <c r="H3" s="271">
        <f>'przedsiewziecia UE'!L67+'przedsiewziecia UE'!L81+'przedsiewziecia UE'!L91+'przedsiewziecia UE'!L134+'przedsiewziecia UE'!L180+'przedsiewziecia UE'!L200+'przedsiewziecia UE'!L209+'przedsiewziecia UE'!L218+'przedsiewziecia UE'!L227+'przedsiewziecia UE'!L237+'przedsiewziecia UE'!L247+'przedsiewziecia UE'!L256+'przedsiewziecia UE'!L265+'przedsiewziecia UE'!L283+'przedsiewziecia UE'!L296+'przedsiewziecia UE'!L307+'przedsiewziecia UE'!L316+'przedsiewziecia UE'!L325+'przedsiewziecia UE'!L334+'przedsiewziecia UE'!L343+'przedsiewziecia UE'!L352</f>
        <v>0</v>
      </c>
    </row>
    <row r="4" spans="1:8" x14ac:dyDescent="0.2">
      <c r="A4" s="270" t="s">
        <v>294</v>
      </c>
      <c r="B4" s="271">
        <f t="shared" ref="B4:B9" si="1">SUM(C4:H4)</f>
        <v>1615719</v>
      </c>
      <c r="C4" s="271">
        <f>'przedsiewziecia UE'!L53+'przedsiewziecia UE'!L105</f>
        <v>195655</v>
      </c>
      <c r="D4" s="271">
        <f>'przedsiewziecia UE'!L54+'przedsiewziecia UE'!L106</f>
        <v>1207054</v>
      </c>
      <c r="E4" s="271">
        <f>'przedsiewziecia UE'!L55+'przedsiewziecia UE'!L107</f>
        <v>0</v>
      </c>
      <c r="F4" s="271">
        <f>'przedsiewziecia UE'!L56+'przedsiewziecia UE'!L108</f>
        <v>213010</v>
      </c>
      <c r="G4" s="271">
        <f>'przedsiewziecia UE'!L57+'przedsiewziecia UE'!L109</f>
        <v>0</v>
      </c>
      <c r="H4" s="271">
        <f>'przedsiewziecia UE'!L58+'przedsiewziecia UE'!L110</f>
        <v>0</v>
      </c>
    </row>
    <row r="5" spans="1:8" x14ac:dyDescent="0.2">
      <c r="A5" s="270" t="s">
        <v>295</v>
      </c>
      <c r="B5" s="271">
        <f t="shared" si="1"/>
        <v>537335</v>
      </c>
      <c r="C5" s="271">
        <f>'przedsiewziecia UE'!L501+'przedsiewziecia UE'!L512</f>
        <v>74713</v>
      </c>
      <c r="D5" s="271">
        <f>'przedsiewziecia UE'!L502+'przedsiewziecia UE'!L513</f>
        <v>428724</v>
      </c>
      <c r="E5" s="271">
        <f>'przedsiewziecia UE'!L503+'przedsiewziecia UE'!L514</f>
        <v>0</v>
      </c>
      <c r="F5" s="271">
        <f>'przedsiewziecia UE'!L504+'przedsiewziecia UE'!L515</f>
        <v>33898</v>
      </c>
      <c r="G5" s="271">
        <f>'przedsiewziecia UE'!L505+'przedsiewziecia UE'!L516</f>
        <v>0</v>
      </c>
      <c r="H5" s="271">
        <f>'przedsiewziecia UE'!L506+'przedsiewziecia UE'!L517</f>
        <v>0</v>
      </c>
    </row>
    <row r="6" spans="1:8" x14ac:dyDescent="0.2">
      <c r="A6" s="270" t="s">
        <v>296</v>
      </c>
      <c r="B6" s="271">
        <f t="shared" si="1"/>
        <v>252850</v>
      </c>
      <c r="C6" s="271">
        <f>'przedsiewziecia UE'!L523+'przedsiewziecia UE'!L537+'przedsiewziecia UE'!L550</f>
        <v>47078</v>
      </c>
      <c r="D6" s="271">
        <f>'przedsiewziecia UE'!L524+'przedsiewziecia UE'!L538+'przedsiewziecia UE'!L551</f>
        <v>205772</v>
      </c>
      <c r="E6" s="271">
        <f>'przedsiewziecia UE'!L525+'przedsiewziecia UE'!L539+'przedsiewziecia UE'!L552</f>
        <v>0</v>
      </c>
      <c r="F6" s="271">
        <f>'przedsiewziecia UE'!L526+'przedsiewziecia UE'!L540+'przedsiewziecia UE'!L553</f>
        <v>0</v>
      </c>
      <c r="G6" s="271">
        <f>'przedsiewziecia UE'!L527+'przedsiewziecia UE'!L541+'przedsiewziecia UE'!L554</f>
        <v>0</v>
      </c>
      <c r="H6" s="271">
        <f>'przedsiewziecia UE'!L528+'przedsiewziecia UE'!L542+'przedsiewziecia UE'!L555</f>
        <v>0</v>
      </c>
    </row>
    <row r="7" spans="1:8" x14ac:dyDescent="0.2">
      <c r="A7" s="270" t="s">
        <v>96</v>
      </c>
      <c r="B7" s="271">
        <f t="shared" si="1"/>
        <v>500801</v>
      </c>
      <c r="C7" s="271">
        <f>'przedsiewziecia UE'!L356+'przedsiewziecia UE'!L365+'przedsiewziecia UE'!L374+'przedsiewziecia UE'!L383+'przedsiewziecia UE'!L392+'przedsiewziecia UE'!L401+'przedsiewziecia UE'!L410+'przedsiewziecia UE'!L419+'przedsiewziecia UE'!L428+'przedsiewziecia UE'!L437+'[1]Załącznik 9'!G32</f>
        <v>0</v>
      </c>
      <c r="D7" s="271">
        <f>'przedsiewziecia UE'!L357+'przedsiewziecia UE'!L366+'przedsiewziecia UE'!L375+'przedsiewziecia UE'!L384+'przedsiewziecia UE'!L393+'przedsiewziecia UE'!L402+'przedsiewziecia UE'!L411+'przedsiewziecia UE'!L420+'przedsiewziecia UE'!L429+'przedsiewziecia UE'!L438+'[1]Załącznik 9'!G33</f>
        <v>500801</v>
      </c>
      <c r="E7" s="271">
        <f>'przedsiewziecia UE'!L358+'przedsiewziecia UE'!L367+'przedsiewziecia UE'!L376+'przedsiewziecia UE'!L385+'przedsiewziecia UE'!L394+'przedsiewziecia UE'!L403+'przedsiewziecia UE'!L412+'przedsiewziecia UE'!L421+'przedsiewziecia UE'!L430+'przedsiewziecia UE'!L439+'[1]Załącznik 9'!G34</f>
        <v>0</v>
      </c>
    </row>
    <row r="8" spans="1:8" x14ac:dyDescent="0.2">
      <c r="A8" s="270" t="s">
        <v>298</v>
      </c>
      <c r="B8" s="271">
        <f t="shared" si="1"/>
        <v>1642392</v>
      </c>
      <c r="C8" s="271">
        <f>'przedsiewziecia UE'!L446+'przedsiewziecia UE'!L455+'przedsiewziecia UE'!L464+'przedsiewziecia UE'!L474+'przedsiewziecia UE'!L483</f>
        <v>0</v>
      </c>
      <c r="D8" s="271">
        <f>'przedsiewziecia UE'!L447+'przedsiewziecia UE'!L456+'przedsiewziecia UE'!L465+'przedsiewziecia UE'!L475+'przedsiewziecia UE'!L484</f>
        <v>1642392</v>
      </c>
      <c r="E8" s="271">
        <f>'przedsiewziecia UE'!L448+'przedsiewziecia UE'!L457+'przedsiewziecia UE'!L466+'przedsiewziecia UE'!L476+'przedsiewziecia UE'!L485</f>
        <v>0</v>
      </c>
    </row>
    <row r="9" spans="1:8" x14ac:dyDescent="0.2">
      <c r="A9" s="270" t="s">
        <v>470</v>
      </c>
      <c r="B9" s="271">
        <f t="shared" si="1"/>
        <v>405896</v>
      </c>
      <c r="C9" s="271">
        <f>'[1]Załącznik 9'!G39+'[2]przedsiewziecia UE'!L208+'[2]przedsiewziecia UE'!L215+'[2]przedsiewziecia UE'!L222+'przedsiewziecia UE'!L39</f>
        <v>62389</v>
      </c>
      <c r="D9" s="271">
        <f>'[1]Załącznik 9'!G40+'[2]przedsiewziecia UE'!L211+'[2]przedsiewziecia UE'!L218+'[2]przedsiewziecia UE'!L225+'przedsiewziecia UE'!L40</f>
        <v>343507</v>
      </c>
    </row>
    <row r="11" spans="1:8" x14ac:dyDescent="0.2">
      <c r="A11" s="270" t="s">
        <v>297</v>
      </c>
      <c r="B11" s="271">
        <f t="shared" ref="B11:B16" si="2">SUM(C11:H11)</f>
        <v>277663943</v>
      </c>
      <c r="C11" s="271">
        <f t="shared" ref="C11:H11" si="3">SUM(C12:C16)</f>
        <v>44002408</v>
      </c>
      <c r="D11" s="271">
        <f t="shared" si="3"/>
        <v>140771122</v>
      </c>
      <c r="E11" s="271">
        <f t="shared" si="3"/>
        <v>83020554</v>
      </c>
      <c r="F11" s="271">
        <f t="shared" si="3"/>
        <v>3278855</v>
      </c>
      <c r="G11" s="271">
        <f t="shared" si="3"/>
        <v>1055000</v>
      </c>
      <c r="H11" s="271">
        <f t="shared" si="3"/>
        <v>5536004</v>
      </c>
    </row>
    <row r="12" spans="1:8" x14ac:dyDescent="0.2">
      <c r="A12" s="270" t="s">
        <v>295</v>
      </c>
      <c r="B12" s="271">
        <f t="shared" si="2"/>
        <v>165293966</v>
      </c>
      <c r="C12" s="271">
        <f>'przedsiewziecia UE'!L650+'przedsiewziecia UE'!L678+'przedsiewziecia UE'!L687+'przedsiewziecia UE'!L696+'przedsiewziecia UE'!L706+'przedsiewziecia UE'!L716+'przedsiewziecia UE'!L726</f>
        <v>37970089</v>
      </c>
      <c r="D12" s="271">
        <f>'przedsiewziecia UE'!L651+'przedsiewziecia UE'!L679+'przedsiewziecia UE'!L688+'przedsiewziecia UE'!L697+'przedsiewziecia UE'!L707+'przedsiewziecia UE'!L717+'przedsiewziecia UE'!L727</f>
        <v>80437229</v>
      </c>
      <c r="E12" s="271">
        <f>'przedsiewziecia UE'!L652+'przedsiewziecia UE'!L680+'przedsiewziecia UE'!L689+'przedsiewziecia UE'!L698+'przedsiewziecia UE'!L708+'przedsiewziecia UE'!L718+'przedsiewziecia UE'!L728</f>
        <v>43933708</v>
      </c>
      <c r="F12" s="271">
        <f>'przedsiewziecia UE'!L653+'przedsiewziecia UE'!L681+'przedsiewziecia UE'!L690+'przedsiewziecia UE'!L699+'przedsiewziecia UE'!L709+'przedsiewziecia UE'!L719+'przedsiewziecia UE'!L729</f>
        <v>0</v>
      </c>
      <c r="G12" s="271">
        <f>'przedsiewziecia UE'!L654+'przedsiewziecia UE'!L682+'przedsiewziecia UE'!L691+'przedsiewziecia UE'!L700+'przedsiewziecia UE'!L710+'przedsiewziecia UE'!L720+'przedsiewziecia UE'!L730</f>
        <v>0</v>
      </c>
      <c r="H12" s="271">
        <f>'przedsiewziecia UE'!L655+'przedsiewziecia UE'!L683+'przedsiewziecia UE'!L692+'przedsiewziecia UE'!L701+'przedsiewziecia UE'!L711+'przedsiewziecia UE'!L721+'przedsiewziecia UE'!L731</f>
        <v>2952940</v>
      </c>
    </row>
    <row r="13" spans="1:8" x14ac:dyDescent="0.2">
      <c r="A13" s="270" t="s">
        <v>296</v>
      </c>
      <c r="B13" s="271">
        <f t="shared" si="2"/>
        <v>98760014</v>
      </c>
      <c r="C13" s="271">
        <f>'przedsiewziecia UE'!L581+'przedsiewziecia UE'!L594+'przedsiewziecia UE'!L736+'przedsiewziecia UE'!L745+'przedsiewziecia UE'!L755+'przedsiewziecia UE'!L765+'przedsiewziecia UE'!L776+'przedsiewziecia UE'!L786+'przedsiewziecia UE'!L798+'przedsiewziecia UE'!L809+'przedsiewziecia UE'!L820</f>
        <v>2850297</v>
      </c>
      <c r="D13" s="271">
        <f>'przedsiewziecia UE'!L582+'przedsiewziecia UE'!L595+'przedsiewziecia UE'!L737+'przedsiewziecia UE'!L746+'przedsiewziecia UE'!L756+'przedsiewziecia UE'!L766+'przedsiewziecia UE'!L777+'przedsiewziecia UE'!L787+'przedsiewziecia UE'!L799+'przedsiewziecia UE'!L810+'przedsiewziecia UE'!L821</f>
        <v>58104075</v>
      </c>
      <c r="E13" s="271">
        <f>'przedsiewziecia UE'!L583+'przedsiewziecia UE'!L596+'przedsiewziecia UE'!L738+'przedsiewziecia UE'!L747+'przedsiewziecia UE'!L757+'przedsiewziecia UE'!L767+'przedsiewziecia UE'!L778+'przedsiewziecia UE'!L788+'przedsiewziecia UE'!L800+'przedsiewziecia UE'!L811+'przedsiewziecia UE'!L822</f>
        <v>32689557</v>
      </c>
      <c r="F13" s="271">
        <f>'przedsiewziecia UE'!L584+'przedsiewziecia UE'!L597+'przedsiewziecia UE'!L739+'przedsiewziecia UE'!L748+'przedsiewziecia UE'!L758+'przedsiewziecia UE'!L768+'przedsiewziecia UE'!L779+'przedsiewziecia UE'!L789+'przedsiewziecia UE'!L801+'przedsiewziecia UE'!L812+'przedsiewziecia UE'!L823</f>
        <v>2886031</v>
      </c>
      <c r="G13" s="271">
        <f>'przedsiewziecia UE'!L585+'przedsiewziecia UE'!L598+'przedsiewziecia UE'!L740+'przedsiewziecia UE'!L749+'przedsiewziecia UE'!L759+'przedsiewziecia UE'!L769+'przedsiewziecia UE'!L780+'przedsiewziecia UE'!L790+'przedsiewziecia UE'!L802+'przedsiewziecia UE'!L813+'przedsiewziecia UE'!L824</f>
        <v>0</v>
      </c>
      <c r="H13" s="271">
        <f>'przedsiewziecia UE'!L586+'przedsiewziecia UE'!L599+'przedsiewziecia UE'!L741+'przedsiewziecia UE'!L750+'przedsiewziecia UE'!L760+'przedsiewziecia UE'!L770+'przedsiewziecia UE'!L781+'przedsiewziecia UE'!L791+'przedsiewziecia UE'!L803+'przedsiewziecia UE'!L814+'przedsiewziecia UE'!L825</f>
        <v>2230054</v>
      </c>
    </row>
    <row r="14" spans="1:8" x14ac:dyDescent="0.2">
      <c r="A14" s="270" t="s">
        <v>294</v>
      </c>
      <c r="B14" s="271">
        <f t="shared" si="2"/>
        <v>4075691</v>
      </c>
      <c r="C14" s="271">
        <f>'przedsiewziecia UE'!L616</f>
        <v>0</v>
      </c>
      <c r="D14" s="271">
        <f>'przedsiewziecia UE'!L617</f>
        <v>2057355</v>
      </c>
      <c r="E14" s="271">
        <f>'przedsiewziecia UE'!L618</f>
        <v>427133</v>
      </c>
      <c r="F14" s="271">
        <f>'przedsiewziecia UE'!L619</f>
        <v>363063</v>
      </c>
      <c r="G14" s="271">
        <f>'przedsiewziecia UE'!L620</f>
        <v>1055000</v>
      </c>
      <c r="H14" s="271">
        <f>'przedsiewziecia UE'!L621</f>
        <v>173140</v>
      </c>
    </row>
    <row r="15" spans="1:8" x14ac:dyDescent="0.2">
      <c r="A15" s="270" t="s">
        <v>299</v>
      </c>
      <c r="B15" s="271">
        <f t="shared" si="2"/>
        <v>9332048</v>
      </c>
      <c r="C15" s="271">
        <f>'przedsiewziecia UE'!L669</f>
        <v>3182022</v>
      </c>
      <c r="D15" s="271">
        <f>'przedsiewziecia UE'!L670</f>
        <v>0</v>
      </c>
      <c r="E15" s="271">
        <f>'przedsiewziecia UE'!L671</f>
        <v>5970156</v>
      </c>
      <c r="F15" s="271">
        <f>'przedsiewziecia UE'!L672</f>
        <v>0</v>
      </c>
      <c r="G15" s="271">
        <f>'przedsiewziecia UE'!L673</f>
        <v>0</v>
      </c>
      <c r="H15" s="271">
        <f>'przedsiewziecia UE'!L674</f>
        <v>179870</v>
      </c>
    </row>
    <row r="16" spans="1:8" x14ac:dyDescent="0.2">
      <c r="A16" s="270" t="s">
        <v>293</v>
      </c>
      <c r="B16" s="271">
        <f t="shared" si="2"/>
        <v>202224</v>
      </c>
      <c r="C16" s="271">
        <f>'przedsiewziecia UE'!L841+'[1]Załącznik 9'!G46</f>
        <v>0</v>
      </c>
      <c r="D16" s="271">
        <f>'przedsiewziecia UE'!L842+'[1]Załącznik 9'!G47</f>
        <v>172463</v>
      </c>
      <c r="E16" s="271">
        <f>'przedsiewziecia UE'!L843+'[1]Załącznik 9'!G48</f>
        <v>0</v>
      </c>
      <c r="F16" s="271">
        <f>'przedsiewziecia UE'!L844+'[1]Załącznik 9'!G49</f>
        <v>29761</v>
      </c>
    </row>
    <row r="19" spans="2:2" x14ac:dyDescent="0.2">
      <c r="B19" s="271">
        <f>B2-[3]Arkusz1!$G$12</f>
        <v>0</v>
      </c>
    </row>
    <row r="20" spans="2:2" x14ac:dyDescent="0.2">
      <c r="B20" s="271">
        <f>B11-[3]Arkusz1!$G$8-G11-H11</f>
        <v>0</v>
      </c>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workbookViewId="0">
      <selection activeCell="M13" sqref="M13:M17"/>
    </sheetView>
  </sheetViews>
  <sheetFormatPr defaultRowHeight="12.75" x14ac:dyDescent="0.2"/>
  <cols>
    <col min="1" max="2" width="19.7109375" customWidth="1"/>
    <col min="3" max="9" width="14.7109375" customWidth="1"/>
  </cols>
  <sheetData>
    <row r="1" spans="1:13" s="275" customFormat="1" x14ac:dyDescent="0.2">
      <c r="C1" s="276" t="s">
        <v>300</v>
      </c>
      <c r="D1" s="276" t="s">
        <v>301</v>
      </c>
      <c r="E1" s="276" t="s">
        <v>302</v>
      </c>
      <c r="F1" s="276" t="s">
        <v>303</v>
      </c>
      <c r="G1" s="276" t="s">
        <v>306</v>
      </c>
      <c r="H1" s="276" t="s">
        <v>304</v>
      </c>
      <c r="I1" s="276" t="s">
        <v>305</v>
      </c>
    </row>
    <row r="2" spans="1:13" s="273" customFormat="1" x14ac:dyDescent="0.2">
      <c r="A2" s="273" t="s">
        <v>309</v>
      </c>
      <c r="C2" s="274">
        <f>SUM(D2:I2)</f>
        <v>9889675.1499999966</v>
      </c>
      <c r="D2" s="274">
        <f t="shared" ref="D2:I2" si="0">SUM(D3:D9)</f>
        <v>466637.85000000003</v>
      </c>
      <c r="E2" s="274">
        <f t="shared" si="0"/>
        <v>8646173.8699999973</v>
      </c>
      <c r="F2" s="274">
        <f t="shared" si="0"/>
        <v>0</v>
      </c>
      <c r="G2" s="274">
        <f t="shared" si="0"/>
        <v>776863.42999999993</v>
      </c>
      <c r="H2" s="274">
        <f t="shared" si="0"/>
        <v>0</v>
      </c>
      <c r="I2" s="274">
        <f t="shared" si="0"/>
        <v>0</v>
      </c>
      <c r="M2" s="273">
        <f>SUM(M3:M9)</f>
        <v>49</v>
      </c>
    </row>
    <row r="3" spans="1:13" x14ac:dyDescent="0.2">
      <c r="A3" s="270" t="s">
        <v>293</v>
      </c>
      <c r="B3" s="270"/>
      <c r="C3" s="271">
        <f>SUM(D3:I3)</f>
        <v>7489147.0899999999</v>
      </c>
      <c r="D3" s="271">
        <f>'przedsiewziecia UE'!M62+'przedsiewziecia UE'!M76+'przedsiewziecia UE'!M86+'przedsiewziecia UE'!M129+'przedsiewziecia UE'!M175+'przedsiewziecia UE'!M195+'przedsiewziecia UE'!M204+'przedsiewziecia UE'!M213+'przedsiewziecia UE'!M222+'przedsiewziecia UE'!M232+'przedsiewziecia UE'!M242+'przedsiewziecia UE'!M251+'przedsiewziecia UE'!M260+'przedsiewziecia UE'!M278+'przedsiewziecia UE'!M291+'przedsiewziecia UE'!M302+'przedsiewziecia UE'!M311+'przedsiewziecia UE'!M320+'przedsiewziecia UE'!M329+'przedsiewziecia UE'!M338+'przedsiewziecia UE'!M347</f>
        <v>280837.27</v>
      </c>
      <c r="E3" s="271">
        <f>'przedsiewziecia UE'!M63+'przedsiewziecia UE'!M77+'przedsiewziecia UE'!M87+'przedsiewziecia UE'!M130+'przedsiewziecia UE'!M176+'przedsiewziecia UE'!M196+'przedsiewziecia UE'!M205+'przedsiewziecia UE'!M214+'przedsiewziecia UE'!M223+'przedsiewziecia UE'!M233+'przedsiewziecia UE'!M243+'przedsiewziecia UE'!M252+'przedsiewziecia UE'!M261+'przedsiewziecia UE'!M279+'przedsiewziecia UE'!M292+'przedsiewziecia UE'!M303+'przedsiewziecia UE'!M312+'przedsiewziecia UE'!M321+'przedsiewziecia UE'!M330+'przedsiewziecia UE'!M339+'przedsiewziecia UE'!M348</f>
        <v>6575688.5799999991</v>
      </c>
      <c r="F3" s="271">
        <f>'przedsiewziecia UE'!M64+'przedsiewziecia UE'!M78+'przedsiewziecia UE'!M88+'przedsiewziecia UE'!M131+'przedsiewziecia UE'!M177+'przedsiewziecia UE'!M197+'przedsiewziecia UE'!M206+'przedsiewziecia UE'!M215+'przedsiewziecia UE'!M224+'przedsiewziecia UE'!M234+'przedsiewziecia UE'!M244+'przedsiewziecia UE'!M253+'przedsiewziecia UE'!M262+'przedsiewziecia UE'!M280+'przedsiewziecia UE'!M293+'przedsiewziecia UE'!M304+'przedsiewziecia UE'!M313+'przedsiewziecia UE'!M322+'przedsiewziecia UE'!M331+'przedsiewziecia UE'!M340+'przedsiewziecia UE'!M349</f>
        <v>0</v>
      </c>
      <c r="G3" s="271">
        <f>'przedsiewziecia UE'!M65+'przedsiewziecia UE'!M79+'przedsiewziecia UE'!M89+'przedsiewziecia UE'!M132+'przedsiewziecia UE'!M178+'przedsiewziecia UE'!M198+'przedsiewziecia UE'!M207+'przedsiewziecia UE'!M216+'przedsiewziecia UE'!M225+'przedsiewziecia UE'!M235+'przedsiewziecia UE'!M245+'przedsiewziecia UE'!M254+'przedsiewziecia UE'!M263+'przedsiewziecia UE'!M281+'przedsiewziecia UE'!M294+'przedsiewziecia UE'!M305+'przedsiewziecia UE'!M314+'przedsiewziecia UE'!M323+'przedsiewziecia UE'!M332+'przedsiewziecia UE'!M341+'przedsiewziecia UE'!M350</f>
        <v>632621.24</v>
      </c>
      <c r="H3" s="271">
        <f>'przedsiewziecia UE'!M66+'przedsiewziecia UE'!M80+'przedsiewziecia UE'!M90+'przedsiewziecia UE'!M133+'przedsiewziecia UE'!M179+'przedsiewziecia UE'!M199+'przedsiewziecia UE'!M208+'przedsiewziecia UE'!M217+'przedsiewziecia UE'!M226+'przedsiewziecia UE'!M236+'przedsiewziecia UE'!M246+'przedsiewziecia UE'!M255+'przedsiewziecia UE'!M264+'przedsiewziecia UE'!M282+'przedsiewziecia UE'!M295+'przedsiewziecia UE'!M306+'przedsiewziecia UE'!M315+'przedsiewziecia UE'!M324+'przedsiewziecia UE'!M333+'przedsiewziecia UE'!M342+'przedsiewziecia UE'!M351</f>
        <v>0</v>
      </c>
      <c r="I3" s="271">
        <f>'przedsiewziecia UE'!M67+'przedsiewziecia UE'!M81+'przedsiewziecia UE'!M91+'przedsiewziecia UE'!M134+'przedsiewziecia UE'!M180+'przedsiewziecia UE'!M200+'przedsiewziecia UE'!M209+'przedsiewziecia UE'!M218+'przedsiewziecia UE'!M227+'przedsiewziecia UE'!M237+'przedsiewziecia UE'!M247+'przedsiewziecia UE'!M256+'przedsiewziecia UE'!M265+'przedsiewziecia UE'!M283+'przedsiewziecia UE'!M296+'przedsiewziecia UE'!M307+'przedsiewziecia UE'!M316+'przedsiewziecia UE'!M325+'przedsiewziecia UE'!M334+'przedsiewziecia UE'!M343+'przedsiewziecia UE'!M352</f>
        <v>0</v>
      </c>
      <c r="M3">
        <v>21</v>
      </c>
    </row>
    <row r="4" spans="1:13" x14ac:dyDescent="0.2">
      <c r="A4" s="270" t="s">
        <v>294</v>
      </c>
      <c r="B4" s="270"/>
      <c r="C4" s="271">
        <f t="shared" ref="C4:C9" si="1">SUM(D4:I4)</f>
        <v>1043310.65</v>
      </c>
      <c r="D4" s="271">
        <f>'przedsiewziecia UE'!M53+'przedsiewziecia UE'!M105</f>
        <v>125262.13</v>
      </c>
      <c r="E4" s="271">
        <f>'przedsiewziecia UE'!M54+'przedsiewziecia UE'!M106</f>
        <v>780341.43</v>
      </c>
      <c r="F4" s="271">
        <f>'przedsiewziecia UE'!M55+'przedsiewziecia UE'!M107</f>
        <v>0</v>
      </c>
      <c r="G4" s="271">
        <f>'przedsiewziecia UE'!M56+'przedsiewziecia UE'!M108</f>
        <v>137707.09</v>
      </c>
      <c r="H4" s="271">
        <f>'przedsiewziecia UE'!M57+'przedsiewziecia UE'!M109</f>
        <v>0</v>
      </c>
      <c r="I4" s="271">
        <f>'przedsiewziecia UE'!M58+'przedsiewziecia UE'!M110</f>
        <v>0</v>
      </c>
      <c r="M4">
        <v>2</v>
      </c>
    </row>
    <row r="5" spans="1:13" x14ac:dyDescent="0.2">
      <c r="A5" s="270" t="s">
        <v>295</v>
      </c>
      <c r="B5" s="270"/>
      <c r="C5" s="271">
        <f t="shared" si="1"/>
        <v>104122.48000000001</v>
      </c>
      <c r="D5" s="271">
        <f>'przedsiewziecia UE'!M501+'przedsiewziecia UE'!M512</f>
        <v>22330.5</v>
      </c>
      <c r="E5" s="271">
        <f>'przedsiewziecia UE'!M502+'przedsiewziecia UE'!M513</f>
        <v>75256.88</v>
      </c>
      <c r="F5" s="271">
        <f>'przedsiewziecia UE'!M503+'przedsiewziecia UE'!M514</f>
        <v>0</v>
      </c>
      <c r="G5" s="271">
        <f>'przedsiewziecia UE'!M504+'przedsiewziecia UE'!M515</f>
        <v>6535.1</v>
      </c>
      <c r="H5" s="271">
        <f>'przedsiewziecia UE'!M505+'przedsiewziecia UE'!M516</f>
        <v>0</v>
      </c>
      <c r="I5" s="271">
        <f>'przedsiewziecia UE'!M506+'przedsiewziecia UE'!M517</f>
        <v>0</v>
      </c>
      <c r="M5">
        <v>2</v>
      </c>
    </row>
    <row r="6" spans="1:13" x14ac:dyDescent="0.2">
      <c r="A6" s="270" t="s">
        <v>296</v>
      </c>
      <c r="B6" s="270"/>
      <c r="C6" s="271">
        <f t="shared" si="1"/>
        <v>0</v>
      </c>
      <c r="D6" s="271">
        <f>'przedsiewziecia UE'!M523+'przedsiewziecia UE'!M537+'przedsiewziecia UE'!M550</f>
        <v>0</v>
      </c>
      <c r="E6" s="271">
        <f>'przedsiewziecia UE'!M524+'przedsiewziecia UE'!M538+'przedsiewziecia UE'!M551</f>
        <v>0</v>
      </c>
      <c r="F6" s="271">
        <f>'przedsiewziecia UE'!M525+'przedsiewziecia UE'!M539+'przedsiewziecia UE'!M552</f>
        <v>0</v>
      </c>
      <c r="G6" s="271">
        <f>'przedsiewziecia UE'!M526+'przedsiewziecia UE'!M540+'przedsiewziecia UE'!M553</f>
        <v>0</v>
      </c>
      <c r="H6" s="271">
        <f>'przedsiewziecia UE'!M527+'przedsiewziecia UE'!M541+'przedsiewziecia UE'!M554</f>
        <v>0</v>
      </c>
      <c r="I6" s="271">
        <f>'przedsiewziecia UE'!M528+'przedsiewziecia UE'!M542+'przedsiewziecia UE'!M555</f>
        <v>0</v>
      </c>
      <c r="M6">
        <v>3</v>
      </c>
    </row>
    <row r="7" spans="1:13" x14ac:dyDescent="0.2">
      <c r="A7" s="270" t="s">
        <v>96</v>
      </c>
      <c r="B7" s="270"/>
      <c r="C7" s="271">
        <f t="shared" si="1"/>
        <v>281203.49</v>
      </c>
      <c r="D7" s="271">
        <f>'przedsiewziecia UE'!M356+'przedsiewziecia UE'!M365+'przedsiewziecia UE'!M374+'przedsiewziecia UE'!M383+'przedsiewziecia UE'!M392+'przedsiewziecia UE'!M401+'przedsiewziecia UE'!M410+'przedsiewziecia UE'!M419+'przedsiewziecia UE'!M428+'przedsiewziecia UE'!M437+'[1]Załącznik 9'!H32</f>
        <v>0</v>
      </c>
      <c r="E7" s="271">
        <f>'przedsiewziecia UE'!M357+'przedsiewziecia UE'!M366+'przedsiewziecia UE'!M375+'przedsiewziecia UE'!M384+'przedsiewziecia UE'!M393+'przedsiewziecia UE'!M402+'przedsiewziecia UE'!M411+'przedsiewziecia UE'!M420+'przedsiewziecia UE'!M429+'przedsiewziecia UE'!M438+'[1]Załącznik 9'!H33</f>
        <v>281203.49</v>
      </c>
      <c r="F7" s="271">
        <f>'przedsiewziecia UE'!M358+'przedsiewziecia UE'!M367+'przedsiewziecia UE'!M376+'przedsiewziecia UE'!M385+'przedsiewziecia UE'!M394+'przedsiewziecia UE'!M403+'przedsiewziecia UE'!M412+'przedsiewziecia UE'!M421+'przedsiewziecia UE'!M430+'przedsiewziecia UE'!M439+'[1]Załącznik 9'!H34</f>
        <v>0</v>
      </c>
      <c r="G7" s="271"/>
      <c r="H7" s="271"/>
      <c r="I7" s="271"/>
      <c r="M7">
        <v>11</v>
      </c>
    </row>
    <row r="8" spans="1:13" x14ac:dyDescent="0.2">
      <c r="A8" s="270" t="s">
        <v>298</v>
      </c>
      <c r="B8" s="270"/>
      <c r="C8" s="271">
        <f t="shared" si="1"/>
        <v>728299.53999999992</v>
      </c>
      <c r="D8" s="271">
        <f>'przedsiewziecia UE'!M446+'przedsiewziecia UE'!M455+'przedsiewziecia UE'!M464+'przedsiewziecia UE'!M474+'przedsiewziecia UE'!M483</f>
        <v>0</v>
      </c>
      <c r="E8" s="271">
        <f>'przedsiewziecia UE'!M447+'przedsiewziecia UE'!M456+'przedsiewziecia UE'!M465+'przedsiewziecia UE'!M475+'przedsiewziecia UE'!M484</f>
        <v>728299.53999999992</v>
      </c>
      <c r="F8" s="271">
        <f>'przedsiewziecia UE'!M448+'przedsiewziecia UE'!M457+'przedsiewziecia UE'!M466+'przedsiewziecia UE'!M476+'przedsiewziecia UE'!M485</f>
        <v>0</v>
      </c>
      <c r="G8" s="271"/>
      <c r="H8" s="271"/>
      <c r="I8" s="271"/>
      <c r="M8">
        <v>5</v>
      </c>
    </row>
    <row r="9" spans="1:13" x14ac:dyDescent="0.2">
      <c r="A9" s="270" t="s">
        <v>470</v>
      </c>
      <c r="B9" s="270"/>
      <c r="C9" s="271">
        <f t="shared" si="1"/>
        <v>243591.89999999997</v>
      </c>
      <c r="D9" s="271">
        <f>'[1]Załącznik 9'!H39+'[2]przedsiewziecia UE'!M208+'[2]przedsiewziecia UE'!M215+'[2]przedsiewziecia UE'!M222+'przedsiewziecia UE'!M39</f>
        <v>38207.949999999997</v>
      </c>
      <c r="E9" s="271">
        <f>'[1]Załącznik 9'!H40+'[2]przedsiewziecia UE'!M211+'[2]przedsiewziecia UE'!M218+'[2]przedsiewziecia UE'!M225+'przedsiewziecia UE'!M40</f>
        <v>205383.94999999998</v>
      </c>
      <c r="F9" s="271"/>
      <c r="G9" s="271"/>
      <c r="H9" s="271"/>
      <c r="I9" s="271"/>
      <c r="M9">
        <v>5</v>
      </c>
    </row>
    <row r="10" spans="1:13" x14ac:dyDescent="0.2">
      <c r="A10" s="270"/>
      <c r="B10" s="270"/>
      <c r="C10" s="271"/>
      <c r="D10" s="271"/>
      <c r="E10" s="271"/>
      <c r="F10" s="271"/>
      <c r="G10" s="271"/>
      <c r="H10" s="271"/>
      <c r="I10" s="271"/>
    </row>
    <row r="11" spans="1:13" x14ac:dyDescent="0.2">
      <c r="A11" s="270"/>
      <c r="C11" s="271"/>
      <c r="D11" s="271"/>
      <c r="E11" s="271"/>
      <c r="F11" s="271"/>
      <c r="G11" s="271"/>
      <c r="H11" s="271"/>
      <c r="I11" s="271"/>
    </row>
    <row r="12" spans="1:13" s="273" customFormat="1" x14ac:dyDescent="0.2">
      <c r="A12" s="273" t="s">
        <v>297</v>
      </c>
      <c r="C12" s="274">
        <f t="shared" ref="C12:C17" si="2">SUM(D12:I12)</f>
        <v>168568160.23000002</v>
      </c>
      <c r="D12" s="274">
        <f t="shared" ref="D12:I12" si="3">SUM(D13:D17)</f>
        <v>1765944.28</v>
      </c>
      <c r="E12" s="274">
        <f t="shared" si="3"/>
        <v>92235827.569999993</v>
      </c>
      <c r="F12" s="274">
        <f t="shared" si="3"/>
        <v>67847525.329999998</v>
      </c>
      <c r="G12" s="274">
        <f t="shared" si="3"/>
        <v>413085.79000000004</v>
      </c>
      <c r="H12" s="274">
        <f t="shared" si="3"/>
        <v>1054147.27</v>
      </c>
      <c r="I12" s="274">
        <f t="shared" si="3"/>
        <v>5251629.9899999993</v>
      </c>
      <c r="M12" s="273">
        <f>SUM(M13:M17)</f>
        <v>25</v>
      </c>
    </row>
    <row r="13" spans="1:13" x14ac:dyDescent="0.2">
      <c r="A13" s="270" t="s">
        <v>295</v>
      </c>
      <c r="B13" s="270"/>
      <c r="C13" s="271">
        <f t="shared" si="2"/>
        <v>93698076.310000002</v>
      </c>
      <c r="D13" s="271">
        <f>'przedsiewziecia UE'!M650+'przedsiewziecia UE'!M678+'przedsiewziecia UE'!M687+'przedsiewziecia UE'!M696+'przedsiewziecia UE'!M706+'przedsiewziecia UE'!M716+'przedsiewziecia UE'!M726</f>
        <v>1263738.99</v>
      </c>
      <c r="E13" s="271">
        <f>'przedsiewziecia UE'!M651+'przedsiewziecia UE'!M679+'przedsiewziecia UE'!M688+'przedsiewziecia UE'!M697+'przedsiewziecia UE'!M707+'przedsiewziecia UE'!M717+'przedsiewziecia UE'!M727</f>
        <v>51578429.399999999</v>
      </c>
      <c r="F13" s="271">
        <f>'przedsiewziecia UE'!M652+'przedsiewziecia UE'!M680+'przedsiewziecia UE'!M689+'przedsiewziecia UE'!M698+'przedsiewziecia UE'!M708+'przedsiewziecia UE'!M718+'przedsiewziecia UE'!M728</f>
        <v>37976448.659999996</v>
      </c>
      <c r="G13" s="271">
        <f>'przedsiewziecia UE'!M653+'przedsiewziecia UE'!M681+'przedsiewziecia UE'!M690+'przedsiewziecia UE'!M699+'przedsiewziecia UE'!M709+'przedsiewziecia UE'!M719+'przedsiewziecia UE'!M729</f>
        <v>0</v>
      </c>
      <c r="H13" s="271">
        <f>'przedsiewziecia UE'!M654+'przedsiewziecia UE'!M682+'przedsiewziecia UE'!M691+'przedsiewziecia UE'!M700+'przedsiewziecia UE'!M710+'przedsiewziecia UE'!M720+'przedsiewziecia UE'!M730</f>
        <v>0</v>
      </c>
      <c r="I13" s="271">
        <f>'przedsiewziecia UE'!M655+'przedsiewziecia UE'!M683+'przedsiewziecia UE'!M692+'przedsiewziecia UE'!M701+'przedsiewziecia UE'!M711+'przedsiewziecia UE'!M721+'przedsiewziecia UE'!M731</f>
        <v>2879459.26</v>
      </c>
      <c r="M13">
        <v>7</v>
      </c>
    </row>
    <row r="14" spans="1:13" x14ac:dyDescent="0.2">
      <c r="A14" s="270" t="s">
        <v>296</v>
      </c>
      <c r="B14" s="270"/>
      <c r="C14" s="271">
        <f t="shared" si="2"/>
        <v>64564382.399999984</v>
      </c>
      <c r="D14" s="271">
        <f>'przedsiewziecia UE'!M581+'przedsiewziecia UE'!M594+'przedsiewziecia UE'!M736+'przedsiewziecia UE'!M745+'przedsiewziecia UE'!M755+'przedsiewziecia UE'!M765+'przedsiewziecia UE'!M776+'przedsiewziecia UE'!M786+'przedsiewziecia UE'!M798+'przedsiewziecia UE'!M809+'przedsiewziecia UE'!M820</f>
        <v>502205.29</v>
      </c>
      <c r="E14" s="271">
        <f>'przedsiewziecia UE'!M582+'przedsiewziecia UE'!M595+'przedsiewziecia UE'!M737+'przedsiewziecia UE'!M746+'przedsiewziecia UE'!M756+'przedsiewziecia UE'!M766+'przedsiewziecia UE'!M777+'przedsiewziecia UE'!M787+'przedsiewziecia UE'!M799+'przedsiewziecia UE'!M810+'przedsiewziecia UE'!M821</f>
        <v>38451140.609999992</v>
      </c>
      <c r="F14" s="271">
        <f>'przedsiewziecia UE'!M583+'przedsiewziecia UE'!M596+'przedsiewziecia UE'!M738+'przedsiewziecia UE'!M747+'przedsiewziecia UE'!M757+'przedsiewziecia UE'!M767+'przedsiewziecia UE'!M778+'przedsiewziecia UE'!M788+'przedsiewziecia UE'!M800+'przedsiewziecia UE'!M811+'przedsiewziecia UE'!M822</f>
        <v>23536017.199999996</v>
      </c>
      <c r="G14" s="271">
        <f>'przedsiewziecia UE'!M584+'przedsiewziecia UE'!M597+'przedsiewziecia UE'!M739+'przedsiewziecia UE'!M748+'przedsiewziecia UE'!M758+'przedsiewziecia UE'!M768+'przedsiewziecia UE'!M779+'przedsiewziecia UE'!M789+'przedsiewziecia UE'!M801+'przedsiewziecia UE'!M812+'przedsiewziecia UE'!M823</f>
        <v>24354</v>
      </c>
      <c r="H14" s="271">
        <f>'przedsiewziecia UE'!M585+'przedsiewziecia UE'!M598+'przedsiewziecia UE'!M740+'przedsiewziecia UE'!M749+'przedsiewziecia UE'!M759+'przedsiewziecia UE'!M769+'przedsiewziecia UE'!M780+'przedsiewziecia UE'!M790+'przedsiewziecia UE'!M802+'przedsiewziecia UE'!M813+'przedsiewziecia UE'!M824</f>
        <v>0</v>
      </c>
      <c r="I14" s="271">
        <f>'przedsiewziecia UE'!M586+'przedsiewziecia UE'!M599+'przedsiewziecia UE'!M741+'przedsiewziecia UE'!M750+'przedsiewziecia UE'!M760+'przedsiewziecia UE'!M770+'przedsiewziecia UE'!M781+'przedsiewziecia UE'!M791+'przedsiewziecia UE'!M803+'przedsiewziecia UE'!M814+'przedsiewziecia UE'!M825</f>
        <v>2050665.2999999998</v>
      </c>
      <c r="M14">
        <v>11</v>
      </c>
    </row>
    <row r="15" spans="1:13" x14ac:dyDescent="0.2">
      <c r="A15" s="270" t="s">
        <v>294</v>
      </c>
      <c r="B15" s="270"/>
      <c r="C15" s="271">
        <f t="shared" si="2"/>
        <v>4074735.07</v>
      </c>
      <c r="D15" s="271">
        <f>'przedsiewziecia UE'!M616</f>
        <v>0</v>
      </c>
      <c r="E15" s="271">
        <f>'przedsiewziecia UE'!M617</f>
        <v>2057354.02</v>
      </c>
      <c r="F15" s="271">
        <f>'przedsiewziecia UE'!M618</f>
        <v>427132.32</v>
      </c>
      <c r="G15" s="271">
        <f>'przedsiewziecia UE'!M619</f>
        <v>363062.46</v>
      </c>
      <c r="H15" s="271">
        <f>'przedsiewziecia UE'!M620</f>
        <v>1054147.27</v>
      </c>
      <c r="I15" s="271">
        <f>'przedsiewziecia UE'!M621</f>
        <v>173039</v>
      </c>
      <c r="M15">
        <v>1</v>
      </c>
    </row>
    <row r="16" spans="1:13" x14ac:dyDescent="0.2">
      <c r="A16" s="270" t="s">
        <v>299</v>
      </c>
      <c r="B16" s="270"/>
      <c r="C16" s="271">
        <f t="shared" si="2"/>
        <v>6056393.5800000001</v>
      </c>
      <c r="D16" s="271">
        <f>'przedsiewziecia UE'!M669</f>
        <v>0</v>
      </c>
      <c r="E16" s="271">
        <f>'przedsiewziecia UE'!M670</f>
        <v>0</v>
      </c>
      <c r="F16" s="271">
        <f>'przedsiewziecia UE'!M671</f>
        <v>5907927.1500000004</v>
      </c>
      <c r="G16" s="271">
        <f>'przedsiewziecia UE'!M672</f>
        <v>0</v>
      </c>
      <c r="H16" s="271">
        <f>'przedsiewziecia UE'!M673</f>
        <v>0</v>
      </c>
      <c r="I16" s="271">
        <f>'przedsiewziecia UE'!M674</f>
        <v>148466.43</v>
      </c>
      <c r="M16">
        <v>1</v>
      </c>
    </row>
    <row r="17" spans="1:13" x14ac:dyDescent="0.2">
      <c r="A17" s="270" t="s">
        <v>293</v>
      </c>
      <c r="B17" s="270"/>
      <c r="C17" s="271">
        <f t="shared" si="2"/>
        <v>174572.87</v>
      </c>
      <c r="D17" s="271">
        <f>'przedsiewziecia UE'!M841+'[1]Załącznik 9'!H46</f>
        <v>0</v>
      </c>
      <c r="E17" s="271">
        <f>'przedsiewziecia UE'!M842+'[1]Załącznik 9'!H47</f>
        <v>148903.54</v>
      </c>
      <c r="F17" s="271">
        <f>'przedsiewziecia UE'!M843+'[1]Załącznik 9'!H48</f>
        <v>0</v>
      </c>
      <c r="G17" s="271">
        <f>'przedsiewziecia UE'!M844+'[1]Załącznik 9'!H49</f>
        <v>25669.33</v>
      </c>
      <c r="H17" s="271"/>
      <c r="I17" s="271"/>
      <c r="M17">
        <v>5</v>
      </c>
    </row>
    <row r="20" spans="1:13" s="273" customFormat="1" x14ac:dyDescent="0.2">
      <c r="A20" s="273" t="s">
        <v>300</v>
      </c>
      <c r="C20" s="274">
        <f>SUM(D20:I20)</f>
        <v>178457835.38</v>
      </c>
      <c r="D20" s="274">
        <f t="shared" ref="D20:I20" si="4">SUM(D21:D28)</f>
        <v>2232582.1300000004</v>
      </c>
      <c r="E20" s="274">
        <f t="shared" si="4"/>
        <v>100882001.44</v>
      </c>
      <c r="F20" s="274">
        <f t="shared" si="4"/>
        <v>67847525.329999998</v>
      </c>
      <c r="G20" s="274">
        <f t="shared" si="4"/>
        <v>1189949.22</v>
      </c>
      <c r="H20" s="274">
        <f t="shared" si="4"/>
        <v>1054147.27</v>
      </c>
      <c r="I20" s="274">
        <f t="shared" si="4"/>
        <v>5251629.9899999993</v>
      </c>
    </row>
    <row r="21" spans="1:13" x14ac:dyDescent="0.2">
      <c r="A21" t="s">
        <v>295</v>
      </c>
      <c r="C21" s="271">
        <f t="shared" ref="C21:C28" si="5">SUM(D21:I21)</f>
        <v>93802198.790000007</v>
      </c>
      <c r="D21" s="271">
        <f t="shared" ref="D21:I22" si="6">D5+D13</f>
        <v>1286069.49</v>
      </c>
      <c r="E21" s="271">
        <f t="shared" si="6"/>
        <v>51653686.280000001</v>
      </c>
      <c r="F21" s="271">
        <f t="shared" si="6"/>
        <v>37976448.659999996</v>
      </c>
      <c r="G21" s="271">
        <f t="shared" si="6"/>
        <v>6535.1</v>
      </c>
      <c r="H21" s="271">
        <f t="shared" si="6"/>
        <v>0</v>
      </c>
      <c r="I21" s="271">
        <f t="shared" si="6"/>
        <v>2879459.26</v>
      </c>
    </row>
    <row r="22" spans="1:13" x14ac:dyDescent="0.2">
      <c r="A22" t="s">
        <v>296</v>
      </c>
      <c r="C22" s="271">
        <f t="shared" si="5"/>
        <v>64564382.399999984</v>
      </c>
      <c r="D22" s="271">
        <f t="shared" si="6"/>
        <v>502205.29</v>
      </c>
      <c r="E22" s="271">
        <f t="shared" si="6"/>
        <v>38451140.609999992</v>
      </c>
      <c r="F22" s="271">
        <f t="shared" si="6"/>
        <v>23536017.199999996</v>
      </c>
      <c r="G22" s="271">
        <f t="shared" si="6"/>
        <v>24354</v>
      </c>
      <c r="H22" s="271">
        <f t="shared" si="6"/>
        <v>0</v>
      </c>
      <c r="I22" s="271">
        <f t="shared" si="6"/>
        <v>2050665.2999999998</v>
      </c>
    </row>
    <row r="23" spans="1:13" x14ac:dyDescent="0.2">
      <c r="A23" t="s">
        <v>294</v>
      </c>
      <c r="C23" s="271">
        <f t="shared" si="5"/>
        <v>5118045.7200000007</v>
      </c>
      <c r="D23" s="271">
        <f t="shared" ref="D23:I23" si="7">D4+D15</f>
        <v>125262.13</v>
      </c>
      <c r="E23" s="271">
        <f t="shared" si="7"/>
        <v>2837695.45</v>
      </c>
      <c r="F23" s="271">
        <f t="shared" si="7"/>
        <v>427132.32</v>
      </c>
      <c r="G23" s="271">
        <f t="shared" si="7"/>
        <v>500769.55000000005</v>
      </c>
      <c r="H23" s="271">
        <f t="shared" si="7"/>
        <v>1054147.27</v>
      </c>
      <c r="I23" s="271">
        <f t="shared" si="7"/>
        <v>173039</v>
      </c>
    </row>
    <row r="24" spans="1:13" x14ac:dyDescent="0.2">
      <c r="A24" t="s">
        <v>293</v>
      </c>
      <c r="C24" s="271">
        <f t="shared" si="5"/>
        <v>7663719.959999999</v>
      </c>
      <c r="D24" s="271">
        <f t="shared" ref="D24:I24" si="8">D3+D17</f>
        <v>280837.27</v>
      </c>
      <c r="E24" s="271">
        <f t="shared" si="8"/>
        <v>6724592.1199999992</v>
      </c>
      <c r="F24" s="271">
        <f t="shared" si="8"/>
        <v>0</v>
      </c>
      <c r="G24" s="271">
        <f t="shared" si="8"/>
        <v>658290.56999999995</v>
      </c>
      <c r="H24" s="271">
        <f t="shared" si="8"/>
        <v>0</v>
      </c>
      <c r="I24" s="271">
        <f t="shared" si="8"/>
        <v>0</v>
      </c>
    </row>
    <row r="25" spans="1:13" x14ac:dyDescent="0.2">
      <c r="A25" t="s">
        <v>299</v>
      </c>
      <c r="C25" s="271">
        <f t="shared" si="5"/>
        <v>6056393.5800000001</v>
      </c>
      <c r="D25" s="271">
        <f t="shared" ref="D25:I25" si="9">D16</f>
        <v>0</v>
      </c>
      <c r="E25" s="271">
        <f t="shared" si="9"/>
        <v>0</v>
      </c>
      <c r="F25" s="271">
        <f t="shared" si="9"/>
        <v>5907927.1500000004</v>
      </c>
      <c r="G25" s="271">
        <f t="shared" si="9"/>
        <v>0</v>
      </c>
      <c r="H25" s="271">
        <f t="shared" si="9"/>
        <v>0</v>
      </c>
      <c r="I25" s="271">
        <f t="shared" si="9"/>
        <v>148466.43</v>
      </c>
    </row>
    <row r="26" spans="1:13" x14ac:dyDescent="0.2">
      <c r="A26" t="s">
        <v>96</v>
      </c>
      <c r="C26" s="271">
        <f t="shared" si="5"/>
        <v>281203.49</v>
      </c>
      <c r="D26" s="271">
        <f t="shared" ref="D26:I26" si="10">D7</f>
        <v>0</v>
      </c>
      <c r="E26" s="271">
        <f t="shared" si="10"/>
        <v>281203.49</v>
      </c>
      <c r="F26" s="271">
        <f t="shared" si="10"/>
        <v>0</v>
      </c>
      <c r="G26" s="271">
        <f t="shared" si="10"/>
        <v>0</v>
      </c>
      <c r="H26" s="271">
        <f t="shared" si="10"/>
        <v>0</v>
      </c>
      <c r="I26" s="271">
        <f t="shared" si="10"/>
        <v>0</v>
      </c>
    </row>
    <row r="27" spans="1:13" x14ac:dyDescent="0.2">
      <c r="A27" t="s">
        <v>298</v>
      </c>
      <c r="C27" s="271">
        <f t="shared" si="5"/>
        <v>728299.53999999992</v>
      </c>
      <c r="D27" s="271">
        <f>D8</f>
        <v>0</v>
      </c>
      <c r="E27" s="271">
        <f t="shared" ref="E27:I27" si="11">E8</f>
        <v>728299.53999999992</v>
      </c>
      <c r="F27" s="271">
        <f t="shared" si="11"/>
        <v>0</v>
      </c>
      <c r="G27" s="271">
        <f t="shared" si="11"/>
        <v>0</v>
      </c>
      <c r="H27" s="271">
        <f t="shared" si="11"/>
        <v>0</v>
      </c>
      <c r="I27" s="271">
        <f t="shared" si="11"/>
        <v>0</v>
      </c>
    </row>
    <row r="28" spans="1:13" x14ac:dyDescent="0.2">
      <c r="A28" t="s">
        <v>470</v>
      </c>
      <c r="C28" s="271">
        <f t="shared" si="5"/>
        <v>243591.89999999997</v>
      </c>
      <c r="D28" s="271">
        <f t="shared" ref="D28:I28" si="12">D9</f>
        <v>38207.949999999997</v>
      </c>
      <c r="E28" s="271">
        <f t="shared" si="12"/>
        <v>205383.94999999998</v>
      </c>
      <c r="F28" s="271">
        <f t="shared" si="12"/>
        <v>0</v>
      </c>
      <c r="G28" s="271">
        <f t="shared" si="12"/>
        <v>0</v>
      </c>
      <c r="H28" s="271">
        <f t="shared" si="12"/>
        <v>0</v>
      </c>
      <c r="I28" s="271">
        <f t="shared" si="12"/>
        <v>0</v>
      </c>
    </row>
    <row r="30" spans="1:13" x14ac:dyDescent="0.2">
      <c r="A30" s="273" t="s">
        <v>300</v>
      </c>
      <c r="B30" s="273"/>
      <c r="C30" s="278">
        <f>SUM(D30:I30)</f>
        <v>99.999999999999986</v>
      </c>
      <c r="D30" s="278">
        <f t="shared" ref="D30:I30" si="13">D20/$C20*100</f>
        <v>1.2510418078567642</v>
      </c>
      <c r="E30" s="278">
        <f t="shared" si="13"/>
        <v>56.529880699934779</v>
      </c>
      <c r="F30" s="278">
        <f t="shared" si="13"/>
        <v>38.018798774247465</v>
      </c>
      <c r="G30" s="278">
        <f t="shared" si="13"/>
        <v>0.66679572654581198</v>
      </c>
      <c r="H30" s="278">
        <f t="shared" si="13"/>
        <v>0.59069822726211307</v>
      </c>
      <c r="I30" s="278">
        <f t="shared" si="13"/>
        <v>2.9427847641530658</v>
      </c>
    </row>
    <row r="31" spans="1:13" x14ac:dyDescent="0.2">
      <c r="A31" t="s">
        <v>295</v>
      </c>
      <c r="C31" s="277">
        <f t="shared" ref="C31:C38" si="14">SUM(D31:I31)</f>
        <v>100</v>
      </c>
      <c r="D31" s="277">
        <f t="shared" ref="D31:I31" si="15">D21/$C21*100</f>
        <v>1.3710440763538949</v>
      </c>
      <c r="E31" s="277">
        <f t="shared" si="15"/>
        <v>55.06660499040099</v>
      </c>
      <c r="F31" s="277">
        <f t="shared" si="15"/>
        <v>40.485670005475995</v>
      </c>
      <c r="G31" s="277">
        <f t="shared" si="15"/>
        <v>6.9668942565306782E-3</v>
      </c>
      <c r="H31" s="277">
        <f t="shared" si="15"/>
        <v>0</v>
      </c>
      <c r="I31" s="277">
        <f t="shared" si="15"/>
        <v>3.0697140335125819</v>
      </c>
    </row>
    <row r="32" spans="1:13" x14ac:dyDescent="0.2">
      <c r="A32" t="s">
        <v>296</v>
      </c>
      <c r="C32" s="277">
        <f t="shared" si="14"/>
        <v>100</v>
      </c>
      <c r="D32" s="277">
        <f t="shared" ref="D32:I32" si="16">D22/$C22*100</f>
        <v>0.77783643447350637</v>
      </c>
      <c r="E32" s="277">
        <f t="shared" si="16"/>
        <v>59.554725346524805</v>
      </c>
      <c r="F32" s="277">
        <f t="shared" si="16"/>
        <v>36.453562049406365</v>
      </c>
      <c r="G32" s="277">
        <f t="shared" si="16"/>
        <v>3.7720487821161296E-2</v>
      </c>
      <c r="H32" s="277">
        <f t="shared" si="16"/>
        <v>0</v>
      </c>
      <c r="I32" s="277">
        <f t="shared" si="16"/>
        <v>3.176155681774167</v>
      </c>
    </row>
    <row r="33" spans="1:9" x14ac:dyDescent="0.2">
      <c r="A33" t="s">
        <v>294</v>
      </c>
      <c r="C33" s="277">
        <f t="shared" si="14"/>
        <v>100</v>
      </c>
      <c r="D33" s="277">
        <f t="shared" ref="D33:I33" si="17">D23/$C23*100</f>
        <v>2.4474601606333439</v>
      </c>
      <c r="E33" s="277">
        <f t="shared" si="17"/>
        <v>55.444902317128964</v>
      </c>
      <c r="F33" s="277">
        <f t="shared" si="17"/>
        <v>8.345613606593572</v>
      </c>
      <c r="G33" s="277">
        <f t="shared" si="17"/>
        <v>9.7843899292091514</v>
      </c>
      <c r="H33" s="277">
        <f t="shared" si="17"/>
        <v>20.59667552168721</v>
      </c>
      <c r="I33" s="277">
        <f t="shared" si="17"/>
        <v>3.3809584647477511</v>
      </c>
    </row>
    <row r="34" spans="1:9" x14ac:dyDescent="0.2">
      <c r="A34" t="s">
        <v>293</v>
      </c>
      <c r="C34" s="277">
        <f t="shared" si="14"/>
        <v>100.00000000000001</v>
      </c>
      <c r="D34" s="277">
        <f t="shared" ref="D34:I34" si="18">D24/$C24*100</f>
        <v>3.6645032890789504</v>
      </c>
      <c r="E34" s="277">
        <f t="shared" si="18"/>
        <v>87.745796494369827</v>
      </c>
      <c r="F34" s="277">
        <f t="shared" si="18"/>
        <v>0</v>
      </c>
      <c r="G34" s="277">
        <f t="shared" si="18"/>
        <v>8.5897002165512326</v>
      </c>
      <c r="H34" s="277">
        <f t="shared" si="18"/>
        <v>0</v>
      </c>
      <c r="I34" s="277">
        <f t="shared" si="18"/>
        <v>0</v>
      </c>
    </row>
    <row r="35" spans="1:9" x14ac:dyDescent="0.2">
      <c r="A35" t="s">
        <v>299</v>
      </c>
      <c r="C35" s="277">
        <f t="shared" si="14"/>
        <v>100</v>
      </c>
      <c r="D35" s="277">
        <f t="shared" ref="D35:I35" si="19">D25/$C25*100</f>
        <v>0</v>
      </c>
      <c r="E35" s="277">
        <f t="shared" si="19"/>
        <v>0</v>
      </c>
      <c r="F35" s="277">
        <f t="shared" si="19"/>
        <v>97.548600036657461</v>
      </c>
      <c r="G35" s="277">
        <f t="shared" si="19"/>
        <v>0</v>
      </c>
      <c r="H35" s="277">
        <f t="shared" si="19"/>
        <v>0</v>
      </c>
      <c r="I35" s="277">
        <f t="shared" si="19"/>
        <v>2.4513999633425407</v>
      </c>
    </row>
    <row r="36" spans="1:9" x14ac:dyDescent="0.2">
      <c r="A36" t="s">
        <v>96</v>
      </c>
      <c r="C36" s="277">
        <f t="shared" si="14"/>
        <v>100</v>
      </c>
      <c r="D36" s="277">
        <f t="shared" ref="D36:I36" si="20">D26/$C26*100</f>
        <v>0</v>
      </c>
      <c r="E36" s="277">
        <f t="shared" si="20"/>
        <v>100</v>
      </c>
      <c r="F36" s="277">
        <f t="shared" si="20"/>
        <v>0</v>
      </c>
      <c r="G36" s="277">
        <f t="shared" si="20"/>
        <v>0</v>
      </c>
      <c r="H36" s="277">
        <f t="shared" si="20"/>
        <v>0</v>
      </c>
      <c r="I36" s="277">
        <f t="shared" si="20"/>
        <v>0</v>
      </c>
    </row>
    <row r="37" spans="1:9" x14ac:dyDescent="0.2">
      <c r="A37" t="s">
        <v>298</v>
      </c>
      <c r="C37" s="277">
        <f t="shared" si="14"/>
        <v>100</v>
      </c>
      <c r="D37" s="277">
        <f t="shared" ref="D37:I38" si="21">D27/$C27*100</f>
        <v>0</v>
      </c>
      <c r="E37" s="277">
        <f t="shared" si="21"/>
        <v>100</v>
      </c>
      <c r="F37" s="277">
        <f t="shared" si="21"/>
        <v>0</v>
      </c>
      <c r="G37" s="277">
        <f t="shared" si="21"/>
        <v>0</v>
      </c>
      <c r="H37" s="277">
        <f t="shared" si="21"/>
        <v>0</v>
      </c>
      <c r="I37" s="277">
        <f t="shared" si="21"/>
        <v>0</v>
      </c>
    </row>
    <row r="38" spans="1:9" x14ac:dyDescent="0.2">
      <c r="A38" t="s">
        <v>470</v>
      </c>
      <c r="C38" s="277">
        <f t="shared" si="14"/>
        <v>100</v>
      </c>
      <c r="D38" s="277">
        <f t="shared" si="21"/>
        <v>15.685230091805188</v>
      </c>
      <c r="E38" s="277">
        <f t="shared" si="21"/>
        <v>84.314769908194819</v>
      </c>
      <c r="F38" s="277">
        <f t="shared" si="21"/>
        <v>0</v>
      </c>
      <c r="G38" s="277">
        <f t="shared" si="21"/>
        <v>0</v>
      </c>
      <c r="H38" s="277">
        <f t="shared" si="21"/>
        <v>0</v>
      </c>
      <c r="I38" s="277">
        <f t="shared" si="21"/>
        <v>0</v>
      </c>
    </row>
    <row r="39" spans="1:9" x14ac:dyDescent="0.2">
      <c r="D39" s="277"/>
      <c r="E39" s="277"/>
      <c r="F39" s="277"/>
      <c r="G39" s="277"/>
      <c r="H39" s="277"/>
      <c r="I39" s="277"/>
    </row>
    <row r="40" spans="1:9" x14ac:dyDescent="0.2">
      <c r="D40" s="277"/>
      <c r="E40" s="277"/>
      <c r="F40" s="277"/>
      <c r="G40" s="277"/>
      <c r="H40" s="277"/>
      <c r="I40" s="277"/>
    </row>
    <row r="41" spans="1:9" x14ac:dyDescent="0.2">
      <c r="C41" s="271">
        <f>C2-[3]Arkusz1!$H$12</f>
        <v>0</v>
      </c>
    </row>
    <row r="42" spans="1:9" x14ac:dyDescent="0.2">
      <c r="C42" s="271">
        <f>C12-[3]Arkusz1!$H$8-H12-I12</f>
        <v>31591.20999997016</v>
      </c>
    </row>
  </sheetData>
  <pageMargins left="0.70866141732283472" right="0.70866141732283472" top="0.74803149606299213" bottom="0.74803149606299213" header="0.31496062992125984" footer="0.31496062992125984"/>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4" sqref="A4"/>
    </sheetView>
  </sheetViews>
  <sheetFormatPr defaultRowHeight="12.75" x14ac:dyDescent="0.2"/>
  <cols>
    <col min="1" max="1" width="17.5703125" style="1" customWidth="1"/>
    <col min="2" max="2" width="12.7109375" style="283" customWidth="1"/>
    <col min="3" max="6" width="12.7109375" style="1" customWidth="1"/>
    <col min="7" max="16384" width="9.140625" style="1"/>
  </cols>
  <sheetData>
    <row r="1" spans="1:6" s="285" customFormat="1" ht="15" customHeight="1" x14ac:dyDescent="0.2">
      <c r="A1" s="398"/>
      <c r="B1" s="403" t="s">
        <v>312</v>
      </c>
      <c r="C1" s="399" t="s">
        <v>311</v>
      </c>
      <c r="D1" s="401" t="s">
        <v>310</v>
      </c>
      <c r="E1" s="401"/>
      <c r="F1" s="402"/>
    </row>
    <row r="2" spans="1:6" s="287" customFormat="1" ht="15" customHeight="1" x14ac:dyDescent="0.2">
      <c r="A2" s="398"/>
      <c r="B2" s="404"/>
      <c r="C2" s="400"/>
      <c r="D2" s="286" t="s">
        <v>301</v>
      </c>
      <c r="E2" s="286" t="s">
        <v>302</v>
      </c>
      <c r="F2" s="286" t="s">
        <v>306</v>
      </c>
    </row>
    <row r="3" spans="1:6" ht="18" customHeight="1" x14ac:dyDescent="0.2">
      <c r="A3" s="279" t="s">
        <v>309</v>
      </c>
      <c r="B3" s="284">
        <f>SUM(B4:B10)</f>
        <v>49</v>
      </c>
      <c r="C3" s="280">
        <f t="shared" ref="C3:C10" si="0">SUM(D3:F3)</f>
        <v>9889675.1499999966</v>
      </c>
      <c r="D3" s="280">
        <f>SUM(D4:D10)</f>
        <v>466637.85000000003</v>
      </c>
      <c r="E3" s="280">
        <f>SUM(E4:E10)</f>
        <v>8646173.8699999973</v>
      </c>
      <c r="F3" s="280">
        <f>SUM(F4:F10)</f>
        <v>776863.42999999993</v>
      </c>
    </row>
    <row r="4" spans="1:6" ht="18" customHeight="1" x14ac:dyDescent="0.2">
      <c r="A4" s="281" t="s">
        <v>293</v>
      </c>
      <c r="B4" s="300">
        <v>21</v>
      </c>
      <c r="C4" s="282">
        <f t="shared" si="0"/>
        <v>7489147.0899999999</v>
      </c>
      <c r="D4" s="282">
        <f>Arkusz2!D3</f>
        <v>280837.27</v>
      </c>
      <c r="E4" s="282">
        <f>Arkusz2!E3</f>
        <v>6575688.5799999991</v>
      </c>
      <c r="F4" s="282">
        <f>Arkusz2!G3</f>
        <v>632621.24</v>
      </c>
    </row>
    <row r="5" spans="1:6" ht="18" customHeight="1" x14ac:dyDescent="0.2">
      <c r="A5" s="281" t="s">
        <v>294</v>
      </c>
      <c r="B5" s="300">
        <v>2</v>
      </c>
      <c r="C5" s="282">
        <f t="shared" si="0"/>
        <v>1043310.65</v>
      </c>
      <c r="D5" s="282">
        <f>Arkusz2!D4</f>
        <v>125262.13</v>
      </c>
      <c r="E5" s="282">
        <f>Arkusz2!E4</f>
        <v>780341.43</v>
      </c>
      <c r="F5" s="282">
        <f>Arkusz2!G4</f>
        <v>137707.09</v>
      </c>
    </row>
    <row r="6" spans="1:6" ht="18" customHeight="1" x14ac:dyDescent="0.2">
      <c r="A6" s="281" t="s">
        <v>295</v>
      </c>
      <c r="B6" s="300">
        <v>2</v>
      </c>
      <c r="C6" s="282">
        <f t="shared" si="0"/>
        <v>104122.48000000001</v>
      </c>
      <c r="D6" s="282">
        <f>Arkusz2!D5</f>
        <v>22330.5</v>
      </c>
      <c r="E6" s="282">
        <f>Arkusz2!E5</f>
        <v>75256.88</v>
      </c>
      <c r="F6" s="282">
        <f>Arkusz2!G5</f>
        <v>6535.1</v>
      </c>
    </row>
    <row r="7" spans="1:6" ht="18" customHeight="1" x14ac:dyDescent="0.2">
      <c r="A7" s="281" t="s">
        <v>296</v>
      </c>
      <c r="B7" s="300">
        <v>3</v>
      </c>
      <c r="C7" s="282">
        <f t="shared" si="0"/>
        <v>0</v>
      </c>
      <c r="D7" s="282">
        <f>Arkusz2!D6</f>
        <v>0</v>
      </c>
      <c r="E7" s="282">
        <f>Arkusz2!E6</f>
        <v>0</v>
      </c>
      <c r="F7" s="282">
        <f>Arkusz2!G6</f>
        <v>0</v>
      </c>
    </row>
    <row r="8" spans="1:6" ht="18" customHeight="1" x14ac:dyDescent="0.2">
      <c r="A8" s="281" t="s">
        <v>96</v>
      </c>
      <c r="B8" s="300">
        <v>11</v>
      </c>
      <c r="C8" s="282">
        <f t="shared" si="0"/>
        <v>281203.49</v>
      </c>
      <c r="D8" s="282">
        <f>Arkusz2!D7</f>
        <v>0</v>
      </c>
      <c r="E8" s="282">
        <f>Arkusz2!E7</f>
        <v>281203.49</v>
      </c>
      <c r="F8" s="282">
        <f>Arkusz2!G7</f>
        <v>0</v>
      </c>
    </row>
    <row r="9" spans="1:6" ht="18" customHeight="1" x14ac:dyDescent="0.2">
      <c r="A9" s="281" t="s">
        <v>298</v>
      </c>
      <c r="B9" s="300">
        <v>5</v>
      </c>
      <c r="C9" s="282">
        <f t="shared" si="0"/>
        <v>728299.53999999992</v>
      </c>
      <c r="D9" s="282">
        <f>Arkusz2!D8</f>
        <v>0</v>
      </c>
      <c r="E9" s="282">
        <f>Arkusz2!E8</f>
        <v>728299.53999999992</v>
      </c>
      <c r="F9" s="282">
        <f>Arkusz2!G8</f>
        <v>0</v>
      </c>
    </row>
    <row r="10" spans="1:6" ht="18" customHeight="1" x14ac:dyDescent="0.2">
      <c r="A10" s="281" t="s">
        <v>470</v>
      </c>
      <c r="B10" s="300">
        <v>5</v>
      </c>
      <c r="C10" s="282">
        <f t="shared" si="0"/>
        <v>243591.89999999997</v>
      </c>
      <c r="D10" s="282">
        <f>Arkusz2!D9</f>
        <v>38207.949999999997</v>
      </c>
      <c r="E10" s="282">
        <f>Arkusz2!E9</f>
        <v>205383.94999999998</v>
      </c>
      <c r="F10" s="282">
        <f>Arkusz2!G9</f>
        <v>0</v>
      </c>
    </row>
    <row r="12" spans="1:6" x14ac:dyDescent="0.2">
      <c r="C12" s="211">
        <f>C3-Arkusz2!C2</f>
        <v>0</v>
      </c>
    </row>
  </sheetData>
  <mergeCells count="4">
    <mergeCell ref="A1:A2"/>
    <mergeCell ref="C1:C2"/>
    <mergeCell ref="D1:F1"/>
    <mergeCell ref="B1:B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I20"/>
  <sheetViews>
    <sheetView zoomScale="130" zoomScaleNormal="130" workbookViewId="0">
      <selection activeCell="B13" sqref="B13:B17"/>
    </sheetView>
  </sheetViews>
  <sheetFormatPr defaultRowHeight="11.25" x14ac:dyDescent="0.2"/>
  <cols>
    <col min="1" max="1" width="15.28515625" style="285" customWidth="1"/>
    <col min="2" max="2" width="7.42578125" style="288" customWidth="1"/>
    <col min="3" max="3" width="12.28515625" style="285" customWidth="1"/>
    <col min="4" max="4" width="10.7109375" style="285" customWidth="1"/>
    <col min="5" max="5" width="12.28515625" style="285" customWidth="1"/>
    <col min="6" max="6" width="11.7109375" style="285" customWidth="1"/>
    <col min="7" max="7" width="10.7109375" style="285" customWidth="1"/>
    <col min="8" max="8" width="10.85546875" style="285" customWidth="1"/>
    <col min="9" max="9" width="10.7109375" style="285" customWidth="1"/>
    <col min="10" max="16384" width="9.140625" style="285"/>
  </cols>
  <sheetData>
    <row r="10" spans="1:9" s="289" customFormat="1" ht="21" customHeight="1" x14ac:dyDescent="0.2">
      <c r="A10" s="409"/>
      <c r="B10" s="405" t="s">
        <v>318</v>
      </c>
      <c r="C10" s="410" t="s">
        <v>311</v>
      </c>
      <c r="D10" s="407" t="s">
        <v>310</v>
      </c>
      <c r="E10" s="407"/>
      <c r="F10" s="407"/>
      <c r="G10" s="407"/>
      <c r="H10" s="407"/>
      <c r="I10" s="408"/>
    </row>
    <row r="11" spans="1:9" s="290" customFormat="1" ht="21" customHeight="1" x14ac:dyDescent="0.2">
      <c r="A11" s="409"/>
      <c r="B11" s="406"/>
      <c r="C11" s="411"/>
      <c r="D11" s="296" t="s">
        <v>301</v>
      </c>
      <c r="E11" s="296" t="s">
        <v>302</v>
      </c>
      <c r="F11" s="296" t="s">
        <v>303</v>
      </c>
      <c r="G11" s="296" t="s">
        <v>306</v>
      </c>
      <c r="H11" s="296" t="s">
        <v>316</v>
      </c>
      <c r="I11" s="296" t="s">
        <v>317</v>
      </c>
    </row>
    <row r="12" spans="1:9" ht="33.75" x14ac:dyDescent="0.2">
      <c r="A12" s="291" t="s">
        <v>314</v>
      </c>
      <c r="B12" s="292">
        <f>SUM(B13:B17)</f>
        <v>25</v>
      </c>
      <c r="C12" s="293">
        <f t="shared" ref="C12:C17" si="0">SUM(D12:I12)</f>
        <v>168568160.23000002</v>
      </c>
      <c r="D12" s="293">
        <f t="shared" ref="D12:I12" si="1">SUM(D13:D17)</f>
        <v>1765944.28</v>
      </c>
      <c r="E12" s="293">
        <f t="shared" si="1"/>
        <v>92235827.569999993</v>
      </c>
      <c r="F12" s="293">
        <f t="shared" si="1"/>
        <v>67847525.329999998</v>
      </c>
      <c r="G12" s="293">
        <f t="shared" si="1"/>
        <v>413085.79000000004</v>
      </c>
      <c r="H12" s="293">
        <f t="shared" si="1"/>
        <v>1054147.27</v>
      </c>
      <c r="I12" s="293">
        <f t="shared" si="1"/>
        <v>5251629.9899999993</v>
      </c>
    </row>
    <row r="13" spans="1:9" ht="33.75" x14ac:dyDescent="0.2">
      <c r="A13" s="294" t="s">
        <v>109</v>
      </c>
      <c r="B13" s="318">
        <v>7</v>
      </c>
      <c r="C13" s="295">
        <f t="shared" si="0"/>
        <v>93698076.310000002</v>
      </c>
      <c r="D13" s="295">
        <f>Arkusz2!D13</f>
        <v>1263738.99</v>
      </c>
      <c r="E13" s="295">
        <f>Arkusz2!E13</f>
        <v>51578429.399999999</v>
      </c>
      <c r="F13" s="295">
        <f>Arkusz2!F13</f>
        <v>37976448.659999996</v>
      </c>
      <c r="G13" s="295">
        <f>Arkusz2!G13</f>
        <v>0</v>
      </c>
      <c r="H13" s="295">
        <f>Arkusz2!H13</f>
        <v>0</v>
      </c>
      <c r="I13" s="295">
        <f>Arkusz2!I13</f>
        <v>2879459.26</v>
      </c>
    </row>
    <row r="14" spans="1:9" ht="45" x14ac:dyDescent="0.2">
      <c r="A14" s="294" t="s">
        <v>105</v>
      </c>
      <c r="B14" s="318">
        <v>11</v>
      </c>
      <c r="C14" s="295">
        <f t="shared" si="0"/>
        <v>64564382.399999984</v>
      </c>
      <c r="D14" s="295">
        <f>Arkusz2!D14</f>
        <v>502205.29</v>
      </c>
      <c r="E14" s="295">
        <f>Arkusz2!E14</f>
        <v>38451140.609999992</v>
      </c>
      <c r="F14" s="295">
        <f>Arkusz2!F14</f>
        <v>23536017.199999996</v>
      </c>
      <c r="G14" s="295">
        <f>Arkusz2!G14</f>
        <v>24354</v>
      </c>
      <c r="H14" s="295">
        <f>Arkusz2!H14</f>
        <v>0</v>
      </c>
      <c r="I14" s="295">
        <f>Arkusz2!I14</f>
        <v>2050665.2999999998</v>
      </c>
    </row>
    <row r="15" spans="1:9" ht="33.75" x14ac:dyDescent="0.2">
      <c r="A15" s="294" t="s">
        <v>50</v>
      </c>
      <c r="B15" s="318">
        <v>1</v>
      </c>
      <c r="C15" s="295">
        <f t="shared" si="0"/>
        <v>4074735.07</v>
      </c>
      <c r="D15" s="295">
        <f>Arkusz2!D15</f>
        <v>0</v>
      </c>
      <c r="E15" s="295">
        <f>Arkusz2!E15</f>
        <v>2057354.02</v>
      </c>
      <c r="F15" s="295">
        <f>Arkusz2!F15</f>
        <v>427132.32</v>
      </c>
      <c r="G15" s="295">
        <f>Arkusz2!G15</f>
        <v>363062.46</v>
      </c>
      <c r="H15" s="295">
        <f>Arkusz2!H15</f>
        <v>1054147.27</v>
      </c>
      <c r="I15" s="295">
        <f>Arkusz2!I15</f>
        <v>173039</v>
      </c>
    </row>
    <row r="16" spans="1:9" ht="33.75" x14ac:dyDescent="0.2">
      <c r="A16" s="294" t="s">
        <v>315</v>
      </c>
      <c r="B16" s="318">
        <v>1</v>
      </c>
      <c r="C16" s="295">
        <f t="shared" si="0"/>
        <v>6056393.5800000001</v>
      </c>
      <c r="D16" s="295">
        <f>Arkusz2!D16</f>
        <v>0</v>
      </c>
      <c r="E16" s="295">
        <f>Arkusz2!E16</f>
        <v>0</v>
      </c>
      <c r="F16" s="295">
        <f>Arkusz2!F16</f>
        <v>5907927.1500000004</v>
      </c>
      <c r="G16" s="295">
        <f>Arkusz2!G16</f>
        <v>0</v>
      </c>
      <c r="H16" s="295">
        <f>Arkusz2!H16</f>
        <v>0</v>
      </c>
      <c r="I16" s="295">
        <f>Arkusz2!I16</f>
        <v>148466.43</v>
      </c>
    </row>
    <row r="17" spans="1:9" ht="22.5" x14ac:dyDescent="0.2">
      <c r="A17" s="294" t="s">
        <v>56</v>
      </c>
      <c r="B17" s="318">
        <v>5</v>
      </c>
      <c r="C17" s="295">
        <f t="shared" si="0"/>
        <v>174572.87</v>
      </c>
      <c r="D17" s="295">
        <f>Arkusz2!D17</f>
        <v>0</v>
      </c>
      <c r="E17" s="295">
        <f>Arkusz2!E17</f>
        <v>148903.54</v>
      </c>
      <c r="F17" s="295">
        <f>Arkusz2!F17</f>
        <v>0</v>
      </c>
      <c r="G17" s="295">
        <f>Arkusz2!G17</f>
        <v>25669.33</v>
      </c>
      <c r="H17" s="295">
        <f>Arkusz2!H17</f>
        <v>0</v>
      </c>
      <c r="I17" s="295">
        <f>Arkusz2!I17</f>
        <v>0</v>
      </c>
    </row>
    <row r="20" spans="1:9" x14ac:dyDescent="0.2">
      <c r="C20" s="319">
        <f>C12-Arkusz2!C12</f>
        <v>0</v>
      </c>
    </row>
  </sheetData>
  <mergeCells count="4">
    <mergeCell ref="B10:B11"/>
    <mergeCell ref="D10:I10"/>
    <mergeCell ref="A10:A11"/>
    <mergeCell ref="C10:C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24" sqref="B24"/>
    </sheetView>
  </sheetViews>
  <sheetFormatPr defaultRowHeight="12.75" x14ac:dyDescent="0.2"/>
  <cols>
    <col min="1" max="1" width="45.7109375" style="1" customWidth="1"/>
    <col min="2" max="2" width="13.7109375" style="283" customWidth="1"/>
    <col min="3" max="3" width="14.7109375" style="1" customWidth="1"/>
    <col min="4" max="16384" width="9.140625" style="1"/>
  </cols>
  <sheetData>
    <row r="1" spans="1:3" s="297" customFormat="1" ht="30.75" customHeight="1" x14ac:dyDescent="0.2">
      <c r="A1" s="298"/>
      <c r="B1" s="299" t="s">
        <v>312</v>
      </c>
      <c r="C1" s="299" t="s">
        <v>311</v>
      </c>
    </row>
    <row r="2" spans="1:3" s="212" customFormat="1" ht="18" customHeight="1" x14ac:dyDescent="0.2">
      <c r="A2" s="279" t="s">
        <v>323</v>
      </c>
      <c r="B2" s="284">
        <f>SUM(B3:B7)</f>
        <v>49</v>
      </c>
      <c r="C2" s="280">
        <f>SUM(C3:C7)</f>
        <v>9889675.1500000022</v>
      </c>
    </row>
    <row r="3" spans="1:3" ht="18" customHeight="1" x14ac:dyDescent="0.2">
      <c r="A3" s="281" t="s">
        <v>321</v>
      </c>
      <c r="B3" s="300">
        <v>28</v>
      </c>
      <c r="C3" s="282">
        <f>'przedsiewziecia UE'!M268+'[1]Załącznik 9'!$H$24+'[2]przedsiewziecia UE'!$M$207+'[2]przedsiewziecia UE'!$M$214+'[2]przedsiewziecia UE'!$M$221</f>
        <v>3985205.4700000007</v>
      </c>
    </row>
    <row r="4" spans="1:3" ht="18" customHeight="1" x14ac:dyDescent="0.2">
      <c r="A4" s="281" t="s">
        <v>319</v>
      </c>
      <c r="B4" s="300">
        <v>3</v>
      </c>
      <c r="C4" s="282">
        <f>'przedsiewziecia UE'!M95</f>
        <v>3836804</v>
      </c>
    </row>
    <row r="5" spans="1:3" ht="18" customHeight="1" x14ac:dyDescent="0.2">
      <c r="A5" s="281" t="s">
        <v>326</v>
      </c>
      <c r="B5" s="300">
        <v>5</v>
      </c>
      <c r="C5" s="282">
        <f>'przedsiewziecia UE'!M29</f>
        <v>1046951.7000000002</v>
      </c>
    </row>
    <row r="6" spans="1:3" ht="18" customHeight="1" x14ac:dyDescent="0.2">
      <c r="A6" s="281" t="s">
        <v>320</v>
      </c>
      <c r="B6" s="300">
        <v>8</v>
      </c>
      <c r="C6" s="282">
        <f>'przedsiewziecia UE'!M185</f>
        <v>916591.50000000012</v>
      </c>
    </row>
    <row r="7" spans="1:3" ht="18" customHeight="1" x14ac:dyDescent="0.2">
      <c r="A7" s="281" t="s">
        <v>322</v>
      </c>
      <c r="B7" s="300">
        <v>5</v>
      </c>
      <c r="C7" s="282">
        <f>'przedsiewziecia UE'!M491</f>
        <v>104122.48000000001</v>
      </c>
    </row>
    <row r="9" spans="1:3" x14ac:dyDescent="0.2">
      <c r="C9" s="211">
        <f>C2-Arkusz2!C2</f>
        <v>0</v>
      </c>
    </row>
  </sheetData>
  <sortState ref="A3:C7">
    <sortCondition descending="1" ref="C3:C7"/>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C7"/>
    </sheetView>
  </sheetViews>
  <sheetFormatPr defaultRowHeight="12.75" x14ac:dyDescent="0.2"/>
  <cols>
    <col min="1" max="1" width="45.7109375" style="1" customWidth="1"/>
    <col min="2" max="2" width="13.7109375" style="1" customWidth="1"/>
    <col min="3" max="3" width="16.28515625" style="1" customWidth="1"/>
    <col min="4" max="16384" width="9.140625" style="1"/>
  </cols>
  <sheetData>
    <row r="1" spans="1:3" s="297" customFormat="1" ht="30.75" customHeight="1" x14ac:dyDescent="0.2">
      <c r="A1" s="298"/>
      <c r="B1" s="299" t="s">
        <v>312</v>
      </c>
      <c r="C1" s="299" t="s">
        <v>311</v>
      </c>
    </row>
    <row r="2" spans="1:3" ht="18" customHeight="1" x14ac:dyDescent="0.2">
      <c r="A2" s="279" t="s">
        <v>313</v>
      </c>
      <c r="B2" s="284">
        <f>SUM(B3:B7)</f>
        <v>25</v>
      </c>
      <c r="C2" s="280">
        <f>SUM(C3:C7)</f>
        <v>168568160.23000005</v>
      </c>
    </row>
    <row r="3" spans="1:3" ht="18" customHeight="1" x14ac:dyDescent="0.2">
      <c r="A3" s="281" t="s">
        <v>327</v>
      </c>
      <c r="B3" s="300">
        <v>16</v>
      </c>
      <c r="C3" s="282">
        <f>'przedsiewziecia UE'!M659</f>
        <v>150339425.09000003</v>
      </c>
    </row>
    <row r="4" spans="1:3" ht="18" customHeight="1" x14ac:dyDescent="0.2">
      <c r="A4" s="281" t="s">
        <v>326</v>
      </c>
      <c r="B4" s="300">
        <v>3</v>
      </c>
      <c r="C4" s="282">
        <f>'przedsiewziecia UE'!M640+'[1]Załącznik 9'!$H$52</f>
        <v>11512205.99</v>
      </c>
    </row>
    <row r="5" spans="1:3" ht="18" customHeight="1" x14ac:dyDescent="0.2">
      <c r="A5" s="281" t="s">
        <v>325</v>
      </c>
      <c r="B5" s="300">
        <v>1</v>
      </c>
      <c r="C5" s="282">
        <f>'przedsiewziecia UE'!M606</f>
        <v>4074735.07</v>
      </c>
    </row>
    <row r="6" spans="1:3" ht="18" customHeight="1" x14ac:dyDescent="0.2">
      <c r="A6" s="281" t="s">
        <v>324</v>
      </c>
      <c r="B6" s="300">
        <v>2</v>
      </c>
      <c r="C6" s="282">
        <f>'przedsiewziecia UE'!M571</f>
        <v>2579456.7100000004</v>
      </c>
    </row>
    <row r="7" spans="1:3" ht="18" customHeight="1" x14ac:dyDescent="0.2">
      <c r="A7" s="281" t="s">
        <v>321</v>
      </c>
      <c r="B7" s="300">
        <v>3</v>
      </c>
      <c r="C7" s="282">
        <f>'przedsiewziecia UE'!M831+'[1]Załącznik 9'!$H$73</f>
        <v>62337.369999999995</v>
      </c>
    </row>
    <row r="9" spans="1:3" x14ac:dyDescent="0.2">
      <c r="C9" s="211">
        <f>C2-Arkusz2!C12</f>
        <v>0</v>
      </c>
    </row>
  </sheetData>
  <sortState ref="A3:C7">
    <sortCondition descending="1" ref="C3:C7"/>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U23" sqref="U23"/>
    </sheetView>
  </sheetViews>
  <sheetFormatPr defaultRowHeight="12.75" x14ac:dyDescent="0.2"/>
  <cols>
    <col min="1" max="1" width="17.5703125" style="1" customWidth="1"/>
    <col min="2" max="2" width="12.7109375" style="283" customWidth="1"/>
    <col min="3" max="6" width="12.7109375" style="1" customWidth="1"/>
    <col min="7" max="16384" width="9.140625" style="1"/>
  </cols>
  <sheetData>
    <row r="1" spans="1:6" s="285" customFormat="1" ht="15" customHeight="1" x14ac:dyDescent="0.2">
      <c r="A1" s="398"/>
      <c r="B1" s="403" t="s">
        <v>312</v>
      </c>
      <c r="C1" s="399" t="s">
        <v>311</v>
      </c>
      <c r="D1" s="401" t="s">
        <v>310</v>
      </c>
      <c r="E1" s="401"/>
      <c r="F1" s="402"/>
    </row>
    <row r="2" spans="1:6" s="287" customFormat="1" ht="51" customHeight="1" x14ac:dyDescent="0.2">
      <c r="A2" s="398"/>
      <c r="B2" s="404"/>
      <c r="C2" s="400"/>
      <c r="D2" s="304" t="s">
        <v>328</v>
      </c>
      <c r="E2" s="304" t="s">
        <v>329</v>
      </c>
      <c r="F2" s="304" t="s">
        <v>330</v>
      </c>
    </row>
    <row r="3" spans="1:6" ht="18" customHeight="1" x14ac:dyDescent="0.2">
      <c r="A3" s="279" t="s">
        <v>309</v>
      </c>
      <c r="B3" s="284">
        <f>SUM(B4:B10)</f>
        <v>49</v>
      </c>
      <c r="C3" s="280">
        <f t="shared" ref="C3" si="0">SUM(D3:F3)</f>
        <v>9889675.1499999985</v>
      </c>
      <c r="D3" s="303">
        <f>SUM(D4:D10)</f>
        <v>466637.85000000003</v>
      </c>
      <c r="E3" s="303">
        <f>SUM(E4:E10)</f>
        <v>8646173.8699999992</v>
      </c>
      <c r="F3" s="303">
        <f>SUM(F4:F10)</f>
        <v>776863.42999999993</v>
      </c>
    </row>
    <row r="4" spans="1:6" ht="18" customHeight="1" x14ac:dyDescent="0.2">
      <c r="A4" s="281" t="s">
        <v>293</v>
      </c>
      <c r="B4" s="300">
        <v>21</v>
      </c>
      <c r="C4" s="282">
        <f t="shared" ref="C4:C10" si="1">SUM(D4:F4)</f>
        <v>7489147.0899999999</v>
      </c>
      <c r="D4" s="282">
        <f>Arkusz2!D3</f>
        <v>280837.27</v>
      </c>
      <c r="E4" s="282">
        <f>Arkusz2!E3</f>
        <v>6575688.5799999991</v>
      </c>
      <c r="F4" s="282">
        <f>Arkusz2!G3</f>
        <v>632621.24</v>
      </c>
    </row>
    <row r="5" spans="1:6" ht="18" customHeight="1" x14ac:dyDescent="0.2">
      <c r="A5" s="281" t="s">
        <v>294</v>
      </c>
      <c r="B5" s="300">
        <v>2</v>
      </c>
      <c r="C5" s="282">
        <f t="shared" si="1"/>
        <v>1043310.65</v>
      </c>
      <c r="D5" s="282">
        <f>Arkusz2!D4</f>
        <v>125262.13</v>
      </c>
      <c r="E5" s="282">
        <f>Arkusz2!E4</f>
        <v>780341.43</v>
      </c>
      <c r="F5" s="282">
        <f>Arkusz2!G4</f>
        <v>137707.09</v>
      </c>
    </row>
    <row r="6" spans="1:6" ht="18" customHeight="1" x14ac:dyDescent="0.2">
      <c r="A6" s="281" t="s">
        <v>298</v>
      </c>
      <c r="B6" s="300">
        <v>11</v>
      </c>
      <c r="C6" s="282">
        <f t="shared" si="1"/>
        <v>728299.53999999992</v>
      </c>
      <c r="D6" s="282">
        <f>Arkusz2!D8</f>
        <v>0</v>
      </c>
      <c r="E6" s="282">
        <f>Arkusz2!E8</f>
        <v>728299.53999999992</v>
      </c>
      <c r="F6" s="282">
        <f>Arkusz2!G8</f>
        <v>0</v>
      </c>
    </row>
    <row r="7" spans="1:6" ht="18" customHeight="1" x14ac:dyDescent="0.2">
      <c r="A7" s="281" t="s">
        <v>96</v>
      </c>
      <c r="B7" s="300">
        <v>5</v>
      </c>
      <c r="C7" s="282">
        <f t="shared" si="1"/>
        <v>281203.49</v>
      </c>
      <c r="D7" s="282">
        <f>Arkusz2!D7</f>
        <v>0</v>
      </c>
      <c r="E7" s="282">
        <f>Arkusz2!E7</f>
        <v>281203.49</v>
      </c>
      <c r="F7" s="282">
        <f>Arkusz2!G7</f>
        <v>0</v>
      </c>
    </row>
    <row r="8" spans="1:6" ht="18" customHeight="1" x14ac:dyDescent="0.2">
      <c r="A8" s="281" t="s">
        <v>470</v>
      </c>
      <c r="B8" s="300">
        <v>5</v>
      </c>
      <c r="C8" s="282">
        <f t="shared" si="1"/>
        <v>243591.89999999997</v>
      </c>
      <c r="D8" s="282">
        <f>Arkusz2!D9</f>
        <v>38207.949999999997</v>
      </c>
      <c r="E8" s="282">
        <f>Arkusz2!E9</f>
        <v>205383.94999999998</v>
      </c>
      <c r="F8" s="282">
        <f>Arkusz2!G9</f>
        <v>0</v>
      </c>
    </row>
    <row r="9" spans="1:6" ht="18" customHeight="1" x14ac:dyDescent="0.2">
      <c r="A9" s="281" t="s">
        <v>295</v>
      </c>
      <c r="B9" s="300">
        <v>2</v>
      </c>
      <c r="C9" s="282">
        <f t="shared" si="1"/>
        <v>104122.48000000001</v>
      </c>
      <c r="D9" s="282">
        <f>Arkusz2!D5</f>
        <v>22330.5</v>
      </c>
      <c r="E9" s="282">
        <f>Arkusz2!E5</f>
        <v>75256.88</v>
      </c>
      <c r="F9" s="282">
        <f>Arkusz2!G5</f>
        <v>6535.1</v>
      </c>
    </row>
    <row r="10" spans="1:6" ht="18" customHeight="1" x14ac:dyDescent="0.2">
      <c r="A10" s="281" t="s">
        <v>296</v>
      </c>
      <c r="B10" s="300">
        <v>3</v>
      </c>
      <c r="C10" s="282">
        <f t="shared" si="1"/>
        <v>0</v>
      </c>
      <c r="D10" s="282">
        <f>Arkusz2!D6</f>
        <v>0</v>
      </c>
      <c r="E10" s="282">
        <f>Arkusz2!E6</f>
        <v>0</v>
      </c>
      <c r="F10" s="282">
        <f>Arkusz2!G6</f>
        <v>0</v>
      </c>
    </row>
  </sheetData>
  <sortState ref="A4:F10">
    <sortCondition descending="1" ref="C4:C10"/>
  </sortState>
  <mergeCells count="4">
    <mergeCell ref="A1:A2"/>
    <mergeCell ref="B1:B2"/>
    <mergeCell ref="C1:C2"/>
    <mergeCell ref="D1:F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I17"/>
  <sheetViews>
    <sheetView topLeftCell="A16" zoomScale="130" zoomScaleNormal="130" workbookViewId="0">
      <selection activeCell="A10" sqref="A10:I17"/>
    </sheetView>
  </sheetViews>
  <sheetFormatPr defaultRowHeight="11.25" x14ac:dyDescent="0.2"/>
  <cols>
    <col min="1" max="1" width="15.28515625" style="285" customWidth="1"/>
    <col min="2" max="2" width="7.42578125" style="288" customWidth="1"/>
    <col min="3" max="3" width="12.28515625" style="285" customWidth="1"/>
    <col min="4" max="4" width="10.7109375" style="285" customWidth="1"/>
    <col min="5" max="5" width="12.28515625" style="285" customWidth="1"/>
    <col min="6" max="6" width="11.7109375" style="285" customWidth="1"/>
    <col min="7" max="7" width="10.7109375" style="285" customWidth="1"/>
    <col min="8" max="8" width="10.28515625" style="285" customWidth="1"/>
    <col min="9" max="9" width="10.7109375" style="285" customWidth="1"/>
    <col min="10" max="16384" width="9.140625" style="285"/>
  </cols>
  <sheetData>
    <row r="10" spans="1:9" s="289" customFormat="1" ht="21" customHeight="1" x14ac:dyDescent="0.2">
      <c r="A10" s="409"/>
      <c r="B10" s="405" t="s">
        <v>318</v>
      </c>
      <c r="C10" s="410" t="s">
        <v>311</v>
      </c>
      <c r="D10" s="407" t="s">
        <v>310</v>
      </c>
      <c r="E10" s="407"/>
      <c r="F10" s="407"/>
      <c r="G10" s="407"/>
      <c r="H10" s="407"/>
      <c r="I10" s="408"/>
    </row>
    <row r="11" spans="1:9" s="290" customFormat="1" ht="29.25" customHeight="1" x14ac:dyDescent="0.2">
      <c r="A11" s="409"/>
      <c r="B11" s="406"/>
      <c r="C11" s="411"/>
      <c r="D11" s="306" t="s">
        <v>328</v>
      </c>
      <c r="E11" s="306" t="s">
        <v>329</v>
      </c>
      <c r="F11" s="306" t="s">
        <v>303</v>
      </c>
      <c r="G11" s="306" t="s">
        <v>330</v>
      </c>
      <c r="H11" s="306" t="s">
        <v>332</v>
      </c>
      <c r="I11" s="306" t="s">
        <v>331</v>
      </c>
    </row>
    <row r="12" spans="1:9" ht="33.75" x14ac:dyDescent="0.2">
      <c r="A12" s="291" t="s">
        <v>314</v>
      </c>
      <c r="B12" s="292">
        <f>SUM(B13:B17)</f>
        <v>25</v>
      </c>
      <c r="C12" s="293">
        <f t="shared" ref="C12" si="0">SUM(D12:I12)</f>
        <v>168568160.22999999</v>
      </c>
      <c r="D12" s="305">
        <f t="shared" ref="D12:I12" si="1">SUM(D13:D17)</f>
        <v>1765944.28</v>
      </c>
      <c r="E12" s="305">
        <f t="shared" si="1"/>
        <v>92235827.569999993</v>
      </c>
      <c r="F12" s="305">
        <f t="shared" si="1"/>
        <v>67847525.329999983</v>
      </c>
      <c r="G12" s="305">
        <f t="shared" si="1"/>
        <v>413085.79000000004</v>
      </c>
      <c r="H12" s="305">
        <f t="shared" si="1"/>
        <v>1054147.27</v>
      </c>
      <c r="I12" s="305">
        <f t="shared" si="1"/>
        <v>5251629.9899999993</v>
      </c>
    </row>
    <row r="13" spans="1:9" ht="33.75" x14ac:dyDescent="0.2">
      <c r="A13" s="294" t="s">
        <v>109</v>
      </c>
      <c r="B13" s="318">
        <v>7</v>
      </c>
      <c r="C13" s="295">
        <f>SUM(D13:I13)</f>
        <v>93698076.310000002</v>
      </c>
      <c r="D13" s="295">
        <f>Arkusz2!D13</f>
        <v>1263738.99</v>
      </c>
      <c r="E13" s="295">
        <f>Arkusz2!E13</f>
        <v>51578429.399999999</v>
      </c>
      <c r="F13" s="295">
        <f>Arkusz2!F13</f>
        <v>37976448.659999996</v>
      </c>
      <c r="G13" s="295">
        <f>Arkusz2!G13</f>
        <v>0</v>
      </c>
      <c r="H13" s="295">
        <f>Arkusz2!H13</f>
        <v>0</v>
      </c>
      <c r="I13" s="295">
        <f>Arkusz2!I13</f>
        <v>2879459.26</v>
      </c>
    </row>
    <row r="14" spans="1:9" ht="45" x14ac:dyDescent="0.2">
      <c r="A14" s="294" t="s">
        <v>105</v>
      </c>
      <c r="B14" s="318">
        <v>11</v>
      </c>
      <c r="C14" s="295">
        <f>SUM(D14:I14)</f>
        <v>64564382.399999984</v>
      </c>
      <c r="D14" s="295">
        <f>Arkusz2!D14</f>
        <v>502205.29</v>
      </c>
      <c r="E14" s="295">
        <f>Arkusz2!E14</f>
        <v>38451140.609999992</v>
      </c>
      <c r="F14" s="295">
        <f>Arkusz2!F14</f>
        <v>23536017.199999996</v>
      </c>
      <c r="G14" s="295">
        <f>Arkusz2!G14</f>
        <v>24354</v>
      </c>
      <c r="H14" s="295">
        <f>Arkusz2!H14</f>
        <v>0</v>
      </c>
      <c r="I14" s="295">
        <f>Arkusz2!I14</f>
        <v>2050665.2999999998</v>
      </c>
    </row>
    <row r="15" spans="1:9" ht="33.75" x14ac:dyDescent="0.2">
      <c r="A15" s="294" t="s">
        <v>315</v>
      </c>
      <c r="B15" s="318">
        <v>1</v>
      </c>
      <c r="C15" s="295">
        <f>SUM(D15:I15)</f>
        <v>6056393.5800000001</v>
      </c>
      <c r="D15" s="295">
        <f>Arkusz2!D16</f>
        <v>0</v>
      </c>
      <c r="E15" s="295">
        <f>Arkusz2!E16</f>
        <v>0</v>
      </c>
      <c r="F15" s="295">
        <f>Arkusz2!F16</f>
        <v>5907927.1500000004</v>
      </c>
      <c r="G15" s="295">
        <f>Arkusz2!G16</f>
        <v>0</v>
      </c>
      <c r="H15" s="295">
        <f>Arkusz2!H16</f>
        <v>0</v>
      </c>
      <c r="I15" s="295">
        <f>Arkusz2!I16</f>
        <v>148466.43</v>
      </c>
    </row>
    <row r="16" spans="1:9" ht="33.75" x14ac:dyDescent="0.2">
      <c r="A16" s="294" t="s">
        <v>50</v>
      </c>
      <c r="B16" s="318">
        <v>1</v>
      </c>
      <c r="C16" s="295">
        <f>SUM(D16:I16)</f>
        <v>4074735.07</v>
      </c>
      <c r="D16" s="295">
        <f>Arkusz2!D15</f>
        <v>0</v>
      </c>
      <c r="E16" s="295">
        <f>Arkusz2!E15</f>
        <v>2057354.02</v>
      </c>
      <c r="F16" s="295">
        <f>Arkusz2!F15</f>
        <v>427132.32</v>
      </c>
      <c r="G16" s="295">
        <f>Arkusz2!G15</f>
        <v>363062.46</v>
      </c>
      <c r="H16" s="295">
        <f>Arkusz2!H15</f>
        <v>1054147.27</v>
      </c>
      <c r="I16" s="295">
        <f>Arkusz2!I15</f>
        <v>173039</v>
      </c>
    </row>
    <row r="17" spans="1:9" ht="22.5" x14ac:dyDescent="0.2">
      <c r="A17" s="294" t="s">
        <v>56</v>
      </c>
      <c r="B17" s="318">
        <v>5</v>
      </c>
      <c r="C17" s="295">
        <f>SUM(D17:I17)</f>
        <v>174572.87</v>
      </c>
      <c r="D17" s="295">
        <f>Arkusz2!D17</f>
        <v>0</v>
      </c>
      <c r="E17" s="295">
        <f>Arkusz2!E17</f>
        <v>148903.54</v>
      </c>
      <c r="F17" s="295">
        <f>Arkusz2!F17</f>
        <v>0</v>
      </c>
      <c r="G17" s="295">
        <f>Arkusz2!G17</f>
        <v>25669.33</v>
      </c>
      <c r="H17" s="295">
        <f>Arkusz2!H17</f>
        <v>0</v>
      </c>
      <c r="I17" s="295">
        <f>Arkusz2!I17</f>
        <v>0</v>
      </c>
    </row>
  </sheetData>
  <sortState ref="A13:I17">
    <sortCondition descending="1" ref="C13:C17"/>
  </sortState>
  <mergeCells count="4">
    <mergeCell ref="A10:A11"/>
    <mergeCell ref="B10:B11"/>
    <mergeCell ref="C10:C11"/>
    <mergeCell ref="D10:I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2</vt:i4>
      </vt:variant>
    </vt:vector>
  </HeadingPairs>
  <TitlesOfParts>
    <vt:vector size="15" baseType="lpstr">
      <vt:lpstr>przedsiewziecia UE</vt:lpstr>
      <vt:lpstr>Arkusz1</vt:lpstr>
      <vt:lpstr>Arkusz2</vt:lpstr>
      <vt:lpstr>Arkusz3</vt:lpstr>
      <vt:lpstr>Arkusz4</vt:lpstr>
      <vt:lpstr>Arkusz5</vt:lpstr>
      <vt:lpstr>Arkusz6</vt:lpstr>
      <vt:lpstr>Arkusz3 (2)</vt:lpstr>
      <vt:lpstr>Arkusz4 (2)</vt:lpstr>
      <vt:lpstr>Arkusz7</vt:lpstr>
      <vt:lpstr>Arkusz8</vt:lpstr>
      <vt:lpstr>Arkusz9</vt:lpstr>
      <vt:lpstr>Arkusz10</vt:lpstr>
      <vt:lpstr>'przedsiewziecia UE'!Obszar_wydruku</vt:lpstr>
      <vt:lpstr>'przedsiewziecia UE'!Tytuły_wydruku</vt:lpstr>
    </vt:vector>
  </TitlesOfParts>
  <Company>ZOUM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dsalwa</dc:creator>
  <cp:lastModifiedBy>Ewa Wypych</cp:lastModifiedBy>
  <cp:lastPrinted>2013-03-28T10:09:56Z</cp:lastPrinted>
  <dcterms:created xsi:type="dcterms:W3CDTF">2006-07-21T07:43:40Z</dcterms:created>
  <dcterms:modified xsi:type="dcterms:W3CDTF">2013-03-29T07:31:28Z</dcterms:modified>
</cp:coreProperties>
</file>