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4940" windowHeight="7875" tabRatio="703"/>
  </bookViews>
  <sheets>
    <sheet name="przedsiewziecia pozostale" sheetId="8" r:id="rId1"/>
    <sheet name="Arkusz1" sheetId="11" r:id="rId2"/>
    <sheet name="Arkusz2" sheetId="12" r:id="rId3"/>
  </sheets>
  <externalReferences>
    <externalReference r:id="rId4"/>
  </externalReferences>
  <definedNames>
    <definedName name="_xlnm.Print_Area" localSheetId="0">'przedsiewziecia pozostale'!$A$1:$N$798</definedName>
    <definedName name="_xlnm.Print_Titles" localSheetId="0">'przedsiewziecia pozostale'!$7:$9</definedName>
  </definedNames>
  <calcPr calcId="145621"/>
</workbook>
</file>

<file path=xl/calcChain.xml><?xml version="1.0" encoding="utf-8"?>
<calcChain xmlns="http://schemas.openxmlformats.org/spreadsheetml/2006/main">
  <c r="K14" i="8"/>
  <c r="L14"/>
  <c r="K12"/>
  <c r="L12"/>
  <c r="J14"/>
  <c r="J12"/>
  <c r="J11"/>
  <c r="H14"/>
  <c r="H12"/>
  <c r="G14"/>
  <c r="G12"/>
  <c r="G11"/>
  <c r="M297"/>
  <c r="M294" s="1"/>
  <c r="M291" s="1"/>
  <c r="I297"/>
  <c r="L294"/>
  <c r="L291" s="1"/>
  <c r="K294"/>
  <c r="K291" s="1"/>
  <c r="J294"/>
  <c r="J291" s="1"/>
  <c r="H294"/>
  <c r="H291" s="1"/>
  <c r="G294"/>
  <c r="I294" s="1"/>
  <c r="I291" s="1"/>
  <c r="M287"/>
  <c r="I287"/>
  <c r="L286"/>
  <c r="K286"/>
  <c r="M286" s="1"/>
  <c r="J286"/>
  <c r="H286"/>
  <c r="G286"/>
  <c r="I286" s="1"/>
  <c r="M284"/>
  <c r="I284"/>
  <c r="L283"/>
  <c r="K283"/>
  <c r="M283" s="1"/>
  <c r="G283"/>
  <c r="I283" s="1"/>
  <c r="M281"/>
  <c r="I281"/>
  <c r="L280"/>
  <c r="L277" s="1"/>
  <c r="K280"/>
  <c r="M280" s="1"/>
  <c r="J280"/>
  <c r="J277" s="1"/>
  <c r="H280"/>
  <c r="H277" s="1"/>
  <c r="G280"/>
  <c r="I280" s="1"/>
  <c r="L272"/>
  <c r="K272"/>
  <c r="K268" s="1"/>
  <c r="J272"/>
  <c r="H272"/>
  <c r="G272"/>
  <c r="L268"/>
  <c r="J268"/>
  <c r="H268"/>
  <c r="G268"/>
  <c r="M263"/>
  <c r="I263"/>
  <c r="L262"/>
  <c r="M262" s="1"/>
  <c r="K262"/>
  <c r="J262"/>
  <c r="H262"/>
  <c r="I262" s="1"/>
  <c r="G262"/>
  <c r="M254"/>
  <c r="I254"/>
  <c r="M252"/>
  <c r="I252"/>
  <c r="L250"/>
  <c r="L249" s="1"/>
  <c r="L245" s="1"/>
  <c r="K250"/>
  <c r="K249" s="1"/>
  <c r="J250"/>
  <c r="H250"/>
  <c r="H249" s="1"/>
  <c r="H245" s="1"/>
  <c r="G250"/>
  <c r="G249" s="1"/>
  <c r="J249"/>
  <c r="J245" s="1"/>
  <c r="M241"/>
  <c r="I241"/>
  <c r="M240"/>
  <c r="L240"/>
  <c r="K240"/>
  <c r="J240"/>
  <c r="J236" s="1"/>
  <c r="I240"/>
  <c r="H240"/>
  <c r="G240"/>
  <c r="L236"/>
  <c r="K236"/>
  <c r="H236"/>
  <c r="G236"/>
  <c r="I236" s="1"/>
  <c r="M232"/>
  <c r="I232"/>
  <c r="L231"/>
  <c r="M231" s="1"/>
  <c r="K231"/>
  <c r="J231"/>
  <c r="H231"/>
  <c r="I231" s="1"/>
  <c r="G231"/>
  <c r="M230"/>
  <c r="I230"/>
  <c r="M227"/>
  <c r="I227"/>
  <c r="L226"/>
  <c r="K226"/>
  <c r="M226" s="1"/>
  <c r="J226"/>
  <c r="H226"/>
  <c r="G226"/>
  <c r="I226" s="1"/>
  <c r="M225"/>
  <c r="I225"/>
  <c r="M222"/>
  <c r="I222"/>
  <c r="L221"/>
  <c r="K221"/>
  <c r="M221" s="1"/>
  <c r="J221"/>
  <c r="H221"/>
  <c r="G221"/>
  <c r="I221" s="1"/>
  <c r="M220"/>
  <c r="I220"/>
  <c r="M217"/>
  <c r="I217"/>
  <c r="M216"/>
  <c r="L216"/>
  <c r="K216"/>
  <c r="J216"/>
  <c r="I216"/>
  <c r="H216"/>
  <c r="G216"/>
  <c r="M215"/>
  <c r="I215"/>
  <c r="M212"/>
  <c r="I212"/>
  <c r="L211"/>
  <c r="H211"/>
  <c r="I211" s="1"/>
  <c r="M208"/>
  <c r="I208"/>
  <c r="L207"/>
  <c r="K207"/>
  <c r="M207" s="1"/>
  <c r="I207"/>
  <c r="H207"/>
  <c r="G207"/>
  <c r="M206"/>
  <c r="I206"/>
  <c r="M205"/>
  <c r="I205"/>
  <c r="M204"/>
  <c r="I204"/>
  <c r="M203"/>
  <c r="I203"/>
  <c r="M202"/>
  <c r="I202"/>
  <c r="M201"/>
  <c r="I201"/>
  <c r="L200"/>
  <c r="K200"/>
  <c r="J200"/>
  <c r="J199" s="1"/>
  <c r="H200"/>
  <c r="G200"/>
  <c r="K199"/>
  <c r="G199"/>
  <c r="K198"/>
  <c r="J198"/>
  <c r="G198"/>
  <c r="M196"/>
  <c r="I196"/>
  <c r="M195"/>
  <c r="I195"/>
  <c r="M194"/>
  <c r="I194"/>
  <c r="L193"/>
  <c r="K193"/>
  <c r="M193" s="1"/>
  <c r="J193"/>
  <c r="H193"/>
  <c r="G193"/>
  <c r="I193" s="1"/>
  <c r="M192"/>
  <c r="I192"/>
  <c r="M191"/>
  <c r="I191"/>
  <c r="M190"/>
  <c r="I190"/>
  <c r="L189"/>
  <c r="K189"/>
  <c r="J189"/>
  <c r="J188" s="1"/>
  <c r="J187" s="1"/>
  <c r="H189"/>
  <c r="G189"/>
  <c r="G188"/>
  <c r="M186"/>
  <c r="I186"/>
  <c r="M185"/>
  <c r="I185"/>
  <c r="M183"/>
  <c r="J183"/>
  <c r="I183"/>
  <c r="M182"/>
  <c r="I182"/>
  <c r="M181"/>
  <c r="I181"/>
  <c r="M180"/>
  <c r="I180"/>
  <c r="M179"/>
  <c r="I179"/>
  <c r="M178"/>
  <c r="J178"/>
  <c r="J176" s="1"/>
  <c r="I178"/>
  <c r="M177"/>
  <c r="I177"/>
  <c r="M176"/>
  <c r="K176"/>
  <c r="I176"/>
  <c r="M175"/>
  <c r="L175"/>
  <c r="K175"/>
  <c r="I175"/>
  <c r="H175"/>
  <c r="G175"/>
  <c r="M174"/>
  <c r="M171"/>
  <c r="I171"/>
  <c r="L170"/>
  <c r="K170"/>
  <c r="M170" s="1"/>
  <c r="J170"/>
  <c r="H170"/>
  <c r="G170"/>
  <c r="I170" s="1"/>
  <c r="K167"/>
  <c r="G167"/>
  <c r="M165"/>
  <c r="M163"/>
  <c r="I163"/>
  <c r="M161"/>
  <c r="I161"/>
  <c r="L159"/>
  <c r="K159"/>
  <c r="M159" s="1"/>
  <c r="J159"/>
  <c r="J117" s="1"/>
  <c r="H159"/>
  <c r="G159"/>
  <c r="I159" s="1"/>
  <c r="M156"/>
  <c r="H156"/>
  <c r="I156" s="1"/>
  <c r="M155"/>
  <c r="I155"/>
  <c r="L154"/>
  <c r="K154"/>
  <c r="M154" s="1"/>
  <c r="J154"/>
  <c r="H154"/>
  <c r="G154"/>
  <c r="I154" s="1"/>
  <c r="M151"/>
  <c r="I151"/>
  <c r="M150"/>
  <c r="I150"/>
  <c r="M149"/>
  <c r="L149"/>
  <c r="K149"/>
  <c r="J149"/>
  <c r="I149"/>
  <c r="H149"/>
  <c r="G149"/>
  <c r="M146"/>
  <c r="I146"/>
  <c r="M145"/>
  <c r="I145"/>
  <c r="L144"/>
  <c r="M144" s="1"/>
  <c r="K144"/>
  <c r="J144"/>
  <c r="H144"/>
  <c r="I144" s="1"/>
  <c r="G144"/>
  <c r="M141"/>
  <c r="I141"/>
  <c r="M140"/>
  <c r="I140"/>
  <c r="L139"/>
  <c r="K139"/>
  <c r="M139" s="1"/>
  <c r="J139"/>
  <c r="H139"/>
  <c r="G139"/>
  <c r="I139" s="1"/>
  <c r="M136"/>
  <c r="I136"/>
  <c r="M134"/>
  <c r="I134"/>
  <c r="I131"/>
  <c r="L130"/>
  <c r="K130"/>
  <c r="M130" s="1"/>
  <c r="J130"/>
  <c r="H130"/>
  <c r="G130"/>
  <c r="I130" s="1"/>
  <c r="M127"/>
  <c r="I127"/>
  <c r="M125"/>
  <c r="I125"/>
  <c r="M122"/>
  <c r="L121"/>
  <c r="L117" s="1"/>
  <c r="K121"/>
  <c r="J121"/>
  <c r="H121"/>
  <c r="H117" s="1"/>
  <c r="G121"/>
  <c r="M113"/>
  <c r="I113"/>
  <c r="M110"/>
  <c r="I110"/>
  <c r="M107"/>
  <c r="L107"/>
  <c r="K107"/>
  <c r="J107"/>
  <c r="J102" s="1"/>
  <c r="I107"/>
  <c r="H107"/>
  <c r="G107"/>
  <c r="L106"/>
  <c r="M106" s="1"/>
  <c r="K106"/>
  <c r="H106"/>
  <c r="I106" s="1"/>
  <c r="G106"/>
  <c r="L102"/>
  <c r="K102"/>
  <c r="H102"/>
  <c r="G102"/>
  <c r="M97"/>
  <c r="I97"/>
  <c r="M96"/>
  <c r="I96"/>
  <c r="L95"/>
  <c r="K95"/>
  <c r="M95" s="1"/>
  <c r="I95"/>
  <c r="H95"/>
  <c r="G95"/>
  <c r="M92"/>
  <c r="I92"/>
  <c r="L90"/>
  <c r="K90"/>
  <c r="M90" s="1"/>
  <c r="J90"/>
  <c r="H90"/>
  <c r="G90"/>
  <c r="I90" s="1"/>
  <c r="M86"/>
  <c r="I86"/>
  <c r="L85"/>
  <c r="K85"/>
  <c r="M85" s="1"/>
  <c r="J85"/>
  <c r="H85"/>
  <c r="G85"/>
  <c r="I85" s="1"/>
  <c r="M82"/>
  <c r="I82"/>
  <c r="M81"/>
  <c r="I81"/>
  <c r="H81"/>
  <c r="L80"/>
  <c r="K80"/>
  <c r="M80" s="1"/>
  <c r="J80"/>
  <c r="H80"/>
  <c r="G80"/>
  <c r="I80" s="1"/>
  <c r="M77"/>
  <c r="I77"/>
  <c r="M76"/>
  <c r="I76"/>
  <c r="L75"/>
  <c r="K75"/>
  <c r="M75" s="1"/>
  <c r="J75"/>
  <c r="H75"/>
  <c r="G75"/>
  <c r="I75" s="1"/>
  <c r="M72"/>
  <c r="L72"/>
  <c r="K72"/>
  <c r="J72"/>
  <c r="J70" s="1"/>
  <c r="I72"/>
  <c r="H72"/>
  <c r="G72"/>
  <c r="L71"/>
  <c r="K71"/>
  <c r="J71"/>
  <c r="H71"/>
  <c r="G71"/>
  <c r="K70"/>
  <c r="G70"/>
  <c r="M66"/>
  <c r="I66"/>
  <c r="L64"/>
  <c r="M64" s="1"/>
  <c r="K64"/>
  <c r="J64"/>
  <c r="H64"/>
  <c r="I64" s="1"/>
  <c r="G64"/>
  <c r="M60"/>
  <c r="I60"/>
  <c r="M59"/>
  <c r="L59"/>
  <c r="K59"/>
  <c r="J59"/>
  <c r="I59"/>
  <c r="H59"/>
  <c r="G59"/>
  <c r="M55"/>
  <c r="I55"/>
  <c r="L54"/>
  <c r="K54"/>
  <c r="M54" s="1"/>
  <c r="J54"/>
  <c r="H54"/>
  <c r="G54"/>
  <c r="I54" s="1"/>
  <c r="M50"/>
  <c r="L50"/>
  <c r="K50"/>
  <c r="J50"/>
  <c r="I50"/>
  <c r="H50"/>
  <c r="G50"/>
  <c r="M46"/>
  <c r="I46"/>
  <c r="L44"/>
  <c r="K44"/>
  <c r="M44" s="1"/>
  <c r="J44"/>
  <c r="H44"/>
  <c r="G44"/>
  <c r="I44" s="1"/>
  <c r="M43"/>
  <c r="L43"/>
  <c r="K43"/>
  <c r="J43"/>
  <c r="I43"/>
  <c r="H43"/>
  <c r="G43"/>
  <c r="M41"/>
  <c r="I41"/>
  <c r="L39"/>
  <c r="K39"/>
  <c r="M39" s="1"/>
  <c r="J39"/>
  <c r="H39"/>
  <c r="G39"/>
  <c r="I39" s="1"/>
  <c r="M38"/>
  <c r="L38"/>
  <c r="K38"/>
  <c r="J38"/>
  <c r="I38"/>
  <c r="H38"/>
  <c r="G38"/>
  <c r="M36"/>
  <c r="I36"/>
  <c r="M33"/>
  <c r="I33"/>
  <c r="M30"/>
  <c r="I30"/>
  <c r="L28"/>
  <c r="K28"/>
  <c r="M28" s="1"/>
  <c r="J28"/>
  <c r="H28"/>
  <c r="G28"/>
  <c r="I28" s="1"/>
  <c r="M27"/>
  <c r="L27"/>
  <c r="K27"/>
  <c r="J27"/>
  <c r="J24" s="1"/>
  <c r="I27"/>
  <c r="H27"/>
  <c r="G27"/>
  <c r="L24"/>
  <c r="K24"/>
  <c r="H24"/>
  <c r="G24"/>
  <c r="K19"/>
  <c r="J19"/>
  <c r="H19"/>
  <c r="G19"/>
  <c r="I19" s="1"/>
  <c r="I102" l="1"/>
  <c r="I121"/>
  <c r="G117"/>
  <c r="I117" s="1"/>
  <c r="G166"/>
  <c r="G165" s="1"/>
  <c r="G187"/>
  <c r="M249"/>
  <c r="K245"/>
  <c r="I24"/>
  <c r="K188"/>
  <c r="M200"/>
  <c r="L198"/>
  <c r="L199"/>
  <c r="M199" s="1"/>
  <c r="I249"/>
  <c r="G245"/>
  <c r="I245" s="1"/>
  <c r="M71"/>
  <c r="L70"/>
  <c r="M70" s="1"/>
  <c r="M102"/>
  <c r="J175"/>
  <c r="J166"/>
  <c r="J165" s="1"/>
  <c r="M189"/>
  <c r="L188"/>
  <c r="M198"/>
  <c r="I200"/>
  <c r="H199"/>
  <c r="H198"/>
  <c r="L167"/>
  <c r="M211"/>
  <c r="L19"/>
  <c r="I198"/>
  <c r="M19"/>
  <c r="M24"/>
  <c r="I71"/>
  <c r="H70"/>
  <c r="I70" s="1"/>
  <c r="M121"/>
  <c r="K117"/>
  <c r="M117" s="1"/>
  <c r="I189"/>
  <c r="H188"/>
  <c r="I199"/>
  <c r="J106"/>
  <c r="I250"/>
  <c r="M250"/>
  <c r="G277"/>
  <c r="I277" s="1"/>
  <c r="K277"/>
  <c r="M277" s="1"/>
  <c r="G291"/>
  <c r="L628"/>
  <c r="I166" l="1"/>
  <c r="I165" s="1"/>
  <c r="K166"/>
  <c r="M188"/>
  <c r="K187"/>
  <c r="G18"/>
  <c r="H187"/>
  <c r="I187" s="1"/>
  <c r="H166"/>
  <c r="L187"/>
  <c r="L166"/>
  <c r="I188"/>
  <c r="J18"/>
  <c r="J17" s="1"/>
  <c r="L656"/>
  <c r="L657"/>
  <c r="L655"/>
  <c r="K657"/>
  <c r="J657"/>
  <c r="K656"/>
  <c r="J656"/>
  <c r="K655"/>
  <c r="J655"/>
  <c r="G656"/>
  <c r="G657"/>
  <c r="H661"/>
  <c r="I661" s="1"/>
  <c r="M663"/>
  <c r="I663"/>
  <c r="H663"/>
  <c r="M662"/>
  <c r="I662"/>
  <c r="H662"/>
  <c r="M661"/>
  <c r="L660"/>
  <c r="K660"/>
  <c r="J660"/>
  <c r="G660"/>
  <c r="K447"/>
  <c r="L449"/>
  <c r="L448"/>
  <c r="L447"/>
  <c r="K449"/>
  <c r="K448"/>
  <c r="J449"/>
  <c r="J448"/>
  <c r="J447"/>
  <c r="G448"/>
  <c r="G449"/>
  <c r="G447"/>
  <c r="H571"/>
  <c r="I571" s="1"/>
  <c r="M573"/>
  <c r="I573"/>
  <c r="H573"/>
  <c r="M572"/>
  <c r="I572"/>
  <c r="H572"/>
  <c r="M571"/>
  <c r="L570"/>
  <c r="K570"/>
  <c r="J570"/>
  <c r="G570"/>
  <c r="H495"/>
  <c r="I495" s="1"/>
  <c r="H489"/>
  <c r="I489" s="1"/>
  <c r="M497"/>
  <c r="I497"/>
  <c r="H497"/>
  <c r="M496"/>
  <c r="I496"/>
  <c r="H496"/>
  <c r="M495"/>
  <c r="L494"/>
  <c r="K494"/>
  <c r="J494"/>
  <c r="G494"/>
  <c r="M491"/>
  <c r="I491"/>
  <c r="H491"/>
  <c r="M490"/>
  <c r="I490"/>
  <c r="H490"/>
  <c r="M489"/>
  <c r="L488"/>
  <c r="K488"/>
  <c r="J488"/>
  <c r="G488"/>
  <c r="H459"/>
  <c r="M461"/>
  <c r="I461"/>
  <c r="H461"/>
  <c r="M460"/>
  <c r="I460"/>
  <c r="H460"/>
  <c r="M459"/>
  <c r="I459"/>
  <c r="L458"/>
  <c r="K458"/>
  <c r="J458"/>
  <c r="G458"/>
  <c r="H440"/>
  <c r="H434"/>
  <c r="L402"/>
  <c r="L403"/>
  <c r="L401"/>
  <c r="K403"/>
  <c r="J403"/>
  <c r="K402"/>
  <c r="J402"/>
  <c r="K401"/>
  <c r="J401"/>
  <c r="G402"/>
  <c r="G403"/>
  <c r="G401"/>
  <c r="M436"/>
  <c r="I436"/>
  <c r="H436"/>
  <c r="M435"/>
  <c r="I435"/>
  <c r="H435"/>
  <c r="M434"/>
  <c r="L433"/>
  <c r="K433"/>
  <c r="J433"/>
  <c r="G433"/>
  <c r="M429"/>
  <c r="I429"/>
  <c r="H429"/>
  <c r="M428"/>
  <c r="I428"/>
  <c r="H428"/>
  <c r="H426" s="1"/>
  <c r="M427"/>
  <c r="H427"/>
  <c r="I427" s="1"/>
  <c r="L426"/>
  <c r="K426"/>
  <c r="M426" s="1"/>
  <c r="J426"/>
  <c r="G426"/>
  <c r="H781"/>
  <c r="H788"/>
  <c r="H794"/>
  <c r="I796"/>
  <c r="H796"/>
  <c r="I795"/>
  <c r="H795"/>
  <c r="I790"/>
  <c r="H790"/>
  <c r="I789"/>
  <c r="H789"/>
  <c r="I783"/>
  <c r="H783"/>
  <c r="I782"/>
  <c r="H782"/>
  <c r="I770"/>
  <c r="H770"/>
  <c r="I769"/>
  <c r="H769"/>
  <c r="H768"/>
  <c r="I670"/>
  <c r="H670"/>
  <c r="I669"/>
  <c r="H669"/>
  <c r="I677"/>
  <c r="H677"/>
  <c r="I676"/>
  <c r="H676"/>
  <c r="I683"/>
  <c r="H683"/>
  <c r="I682"/>
  <c r="H682"/>
  <c r="I689"/>
  <c r="H689"/>
  <c r="I688"/>
  <c r="H688"/>
  <c r="I695"/>
  <c r="H695"/>
  <c r="I694"/>
  <c r="H694"/>
  <c r="I713"/>
  <c r="H713"/>
  <c r="I712"/>
  <c r="H712"/>
  <c r="I720"/>
  <c r="H720"/>
  <c r="I719"/>
  <c r="H719"/>
  <c r="I726"/>
  <c r="H726"/>
  <c r="I725"/>
  <c r="H725"/>
  <c r="I733"/>
  <c r="H733"/>
  <c r="I732"/>
  <c r="H732"/>
  <c r="I746"/>
  <c r="H746"/>
  <c r="I745"/>
  <c r="H745"/>
  <c r="I752"/>
  <c r="H752"/>
  <c r="I751"/>
  <c r="H751"/>
  <c r="H756"/>
  <c r="H750"/>
  <c r="H744"/>
  <c r="H731"/>
  <c r="H724"/>
  <c r="H718"/>
  <c r="H705"/>
  <c r="H701"/>
  <c r="H699"/>
  <c r="H711"/>
  <c r="H693"/>
  <c r="H687"/>
  <c r="H681"/>
  <c r="H675"/>
  <c r="H668"/>
  <c r="H648"/>
  <c r="H641"/>
  <c r="H628"/>
  <c r="H621"/>
  <c r="H608"/>
  <c r="H602"/>
  <c r="H595"/>
  <c r="H589"/>
  <c r="H583"/>
  <c r="H577"/>
  <c r="H564"/>
  <c r="H557"/>
  <c r="H556"/>
  <c r="H550"/>
  <c r="H543"/>
  <c r="H538"/>
  <c r="H536"/>
  <c r="H530"/>
  <c r="H523"/>
  <c r="H515"/>
  <c r="H510"/>
  <c r="H508"/>
  <c r="H501"/>
  <c r="H483"/>
  <c r="H477"/>
  <c r="H471"/>
  <c r="H465"/>
  <c r="H453"/>
  <c r="H420"/>
  <c r="H414"/>
  <c r="H407"/>
  <c r="H394"/>
  <c r="H384"/>
  <c r="H390"/>
  <c r="H389"/>
  <c r="H386"/>
  <c r="H385"/>
  <c r="H374"/>
  <c r="H370"/>
  <c r="H360"/>
  <c r="H376"/>
  <c r="H375"/>
  <c r="H372"/>
  <c r="H371"/>
  <c r="H354"/>
  <c r="H356"/>
  <c r="H355"/>
  <c r="H351"/>
  <c r="H350"/>
  <c r="H349"/>
  <c r="H758"/>
  <c r="H757"/>
  <c r="H740"/>
  <c r="H739"/>
  <c r="H738"/>
  <c r="H707"/>
  <c r="H706"/>
  <c r="H700"/>
  <c r="H650"/>
  <c r="H649"/>
  <c r="H643"/>
  <c r="H642"/>
  <c r="H630"/>
  <c r="H629"/>
  <c r="H623"/>
  <c r="H622"/>
  <c r="H610"/>
  <c r="H609"/>
  <c r="H604"/>
  <c r="H603"/>
  <c r="H597"/>
  <c r="H596"/>
  <c r="H591"/>
  <c r="H590"/>
  <c r="H585"/>
  <c r="H584"/>
  <c r="H579"/>
  <c r="H578"/>
  <c r="H566"/>
  <c r="H565"/>
  <c r="H558"/>
  <c r="H552"/>
  <c r="H551"/>
  <c r="H545"/>
  <c r="H544"/>
  <c r="H537"/>
  <c r="H532"/>
  <c r="H531"/>
  <c r="H525"/>
  <c r="H524"/>
  <c r="H517"/>
  <c r="H516"/>
  <c r="H509"/>
  <c r="H503"/>
  <c r="H502"/>
  <c r="H485"/>
  <c r="H484"/>
  <c r="H479"/>
  <c r="H478"/>
  <c r="H473"/>
  <c r="H472"/>
  <c r="H467"/>
  <c r="H466"/>
  <c r="H455"/>
  <c r="H454"/>
  <c r="H442"/>
  <c r="H441"/>
  <c r="H422"/>
  <c r="H421"/>
  <c r="H416"/>
  <c r="H415"/>
  <c r="H409"/>
  <c r="H408"/>
  <c r="H397"/>
  <c r="H396"/>
  <c r="H395"/>
  <c r="H362"/>
  <c r="H361"/>
  <c r="H334"/>
  <c r="H333"/>
  <c r="H328"/>
  <c r="H327"/>
  <c r="H321"/>
  <c r="H320"/>
  <c r="H315"/>
  <c r="H314"/>
  <c r="H332"/>
  <c r="H326"/>
  <c r="H319"/>
  <c r="H313"/>
  <c r="G17" l="1"/>
  <c r="K165"/>
  <c r="K18"/>
  <c r="H165"/>
  <c r="H18"/>
  <c r="H17" s="1"/>
  <c r="M187"/>
  <c r="L165"/>
  <c r="L18"/>
  <c r="L17" s="1"/>
  <c r="H402"/>
  <c r="H433"/>
  <c r="H494"/>
  <c r="I494" s="1"/>
  <c r="H447"/>
  <c r="H660"/>
  <c r="I660" s="1"/>
  <c r="H448"/>
  <c r="H458"/>
  <c r="I458" s="1"/>
  <c r="M433"/>
  <c r="H488"/>
  <c r="M660"/>
  <c r="H656"/>
  <c r="M488"/>
  <c r="H657"/>
  <c r="H655"/>
  <c r="H449"/>
  <c r="M494"/>
  <c r="H403"/>
  <c r="M570"/>
  <c r="H570"/>
  <c r="I570" s="1"/>
  <c r="I426"/>
  <c r="H401"/>
  <c r="I488"/>
  <c r="M458"/>
  <c r="I433"/>
  <c r="I434"/>
  <c r="L777"/>
  <c r="K777"/>
  <c r="M777" s="1"/>
  <c r="L776"/>
  <c r="K776"/>
  <c r="M776" s="1"/>
  <c r="L775"/>
  <c r="K775"/>
  <c r="J777"/>
  <c r="J776"/>
  <c r="J775"/>
  <c r="H776"/>
  <c r="H777"/>
  <c r="G776"/>
  <c r="I776" s="1"/>
  <c r="G777"/>
  <c r="I777" s="1"/>
  <c r="M796"/>
  <c r="M795"/>
  <c r="M794"/>
  <c r="I794"/>
  <c r="L793"/>
  <c r="K793"/>
  <c r="J793"/>
  <c r="H793"/>
  <c r="G793"/>
  <c r="M790"/>
  <c r="M789"/>
  <c r="M788"/>
  <c r="I788"/>
  <c r="L787"/>
  <c r="K787"/>
  <c r="J787"/>
  <c r="H787"/>
  <c r="G787"/>
  <c r="M783"/>
  <c r="M782"/>
  <c r="M781"/>
  <c r="I781"/>
  <c r="L780"/>
  <c r="K780"/>
  <c r="J780"/>
  <c r="H780"/>
  <c r="G780"/>
  <c r="L764"/>
  <c r="K764"/>
  <c r="M764" s="1"/>
  <c r="L763"/>
  <c r="K763"/>
  <c r="M763" s="1"/>
  <c r="L762"/>
  <c r="K762"/>
  <c r="J764"/>
  <c r="J763"/>
  <c r="J762"/>
  <c r="H763"/>
  <c r="H764"/>
  <c r="G763"/>
  <c r="I763" s="1"/>
  <c r="G764"/>
  <c r="I764" s="1"/>
  <c r="H762"/>
  <c r="M770"/>
  <c r="M769"/>
  <c r="M768"/>
  <c r="I768"/>
  <c r="L767"/>
  <c r="K767"/>
  <c r="J767"/>
  <c r="H767"/>
  <c r="G767"/>
  <c r="L755"/>
  <c r="K755"/>
  <c r="M755" s="1"/>
  <c r="J755"/>
  <c r="G755"/>
  <c r="L749"/>
  <c r="K749"/>
  <c r="J749"/>
  <c r="G749"/>
  <c r="L743"/>
  <c r="K743"/>
  <c r="M743" s="1"/>
  <c r="J743"/>
  <c r="G743"/>
  <c r="L737"/>
  <c r="K737"/>
  <c r="J737"/>
  <c r="G737"/>
  <c r="L730"/>
  <c r="K730"/>
  <c r="J730"/>
  <c r="G730"/>
  <c r="L723"/>
  <c r="K723"/>
  <c r="J723"/>
  <c r="G723"/>
  <c r="L717"/>
  <c r="K717"/>
  <c r="J717"/>
  <c r="G717"/>
  <c r="L704"/>
  <c r="K704"/>
  <c r="J704"/>
  <c r="G704"/>
  <c r="L698"/>
  <c r="K698"/>
  <c r="J698"/>
  <c r="G698"/>
  <c r="L710"/>
  <c r="K710"/>
  <c r="J710"/>
  <c r="G710"/>
  <c r="L692"/>
  <c r="K692"/>
  <c r="J692"/>
  <c r="G692"/>
  <c r="L686"/>
  <c r="K686"/>
  <c r="J686"/>
  <c r="G686"/>
  <c r="L680"/>
  <c r="K680"/>
  <c r="J680"/>
  <c r="G680"/>
  <c r="L674"/>
  <c r="K674"/>
  <c r="J674"/>
  <c r="L667"/>
  <c r="K667"/>
  <c r="J667"/>
  <c r="G667"/>
  <c r="M656"/>
  <c r="I656"/>
  <c r="H755"/>
  <c r="H749"/>
  <c r="I744"/>
  <c r="I740"/>
  <c r="H730"/>
  <c r="I724"/>
  <c r="I718"/>
  <c r="I707"/>
  <c r="I705"/>
  <c r="I701"/>
  <c r="I699"/>
  <c r="M752"/>
  <c r="M751"/>
  <c r="M750"/>
  <c r="I750"/>
  <c r="M746"/>
  <c r="M745"/>
  <c r="M744"/>
  <c r="M740"/>
  <c r="M739"/>
  <c r="I739"/>
  <c r="M738"/>
  <c r="M733"/>
  <c r="M732"/>
  <c r="M731"/>
  <c r="M726"/>
  <c r="M725"/>
  <c r="M724"/>
  <c r="M720"/>
  <c r="M719"/>
  <c r="M718"/>
  <c r="M707"/>
  <c r="M706"/>
  <c r="I706"/>
  <c r="M705"/>
  <c r="M701"/>
  <c r="M700"/>
  <c r="I700"/>
  <c r="M699"/>
  <c r="H710"/>
  <c r="H692"/>
  <c r="H686"/>
  <c r="H680"/>
  <c r="H674"/>
  <c r="G675"/>
  <c r="G655" s="1"/>
  <c r="M758"/>
  <c r="I758"/>
  <c r="M757"/>
  <c r="I757"/>
  <c r="M756"/>
  <c r="M713"/>
  <c r="M712"/>
  <c r="M711"/>
  <c r="M695"/>
  <c r="M694"/>
  <c r="M693"/>
  <c r="M689"/>
  <c r="M688"/>
  <c r="M687"/>
  <c r="M683"/>
  <c r="M682"/>
  <c r="M681"/>
  <c r="I681"/>
  <c r="M677"/>
  <c r="M676"/>
  <c r="M675"/>
  <c r="H667"/>
  <c r="M670"/>
  <c r="M669"/>
  <c r="M668"/>
  <c r="I668"/>
  <c r="M650"/>
  <c r="I650"/>
  <c r="M649"/>
  <c r="I649"/>
  <c r="M648"/>
  <c r="I648"/>
  <c r="L647"/>
  <c r="K647"/>
  <c r="J647"/>
  <c r="H647"/>
  <c r="G647"/>
  <c r="M643"/>
  <c r="I643"/>
  <c r="M642"/>
  <c r="I642"/>
  <c r="M641"/>
  <c r="I641"/>
  <c r="L640"/>
  <c r="K640"/>
  <c r="J640"/>
  <c r="H640"/>
  <c r="G640"/>
  <c r="L637"/>
  <c r="K637"/>
  <c r="M637" s="1"/>
  <c r="J637"/>
  <c r="H637"/>
  <c r="G637"/>
  <c r="I637" s="1"/>
  <c r="L636"/>
  <c r="K636"/>
  <c r="J636"/>
  <c r="H636"/>
  <c r="G636"/>
  <c r="I636" s="1"/>
  <c r="L635"/>
  <c r="K635"/>
  <c r="J635"/>
  <c r="G635"/>
  <c r="L617"/>
  <c r="L616"/>
  <c r="L615"/>
  <c r="K617"/>
  <c r="M617" s="1"/>
  <c r="J617"/>
  <c r="K616"/>
  <c r="M616" s="1"/>
  <c r="J616"/>
  <c r="K615"/>
  <c r="J615"/>
  <c r="H616"/>
  <c r="H617"/>
  <c r="G616"/>
  <c r="I616" s="1"/>
  <c r="G617"/>
  <c r="I617" s="1"/>
  <c r="G615"/>
  <c r="I628"/>
  <c r="I621"/>
  <c r="M630"/>
  <c r="I630"/>
  <c r="M629"/>
  <c r="I629"/>
  <c r="M628"/>
  <c r="M623"/>
  <c r="I623"/>
  <c r="M622"/>
  <c r="I622"/>
  <c r="M621"/>
  <c r="M448"/>
  <c r="I17" l="1"/>
  <c r="I18"/>
  <c r="M18"/>
  <c r="K17"/>
  <c r="M17" s="1"/>
  <c r="M674"/>
  <c r="M657"/>
  <c r="I787"/>
  <c r="H775"/>
  <c r="M780"/>
  <c r="M449"/>
  <c r="I756"/>
  <c r="M787"/>
  <c r="K634"/>
  <c r="M793"/>
  <c r="M636"/>
  <c r="I793"/>
  <c r="I780"/>
  <c r="I731"/>
  <c r="I693"/>
  <c r="M680"/>
  <c r="M692"/>
  <c r="M698"/>
  <c r="H635"/>
  <c r="H634" s="1"/>
  <c r="M635"/>
  <c r="G634"/>
  <c r="M640"/>
  <c r="I675"/>
  <c r="I687"/>
  <c r="I711"/>
  <c r="G654"/>
  <c r="H737"/>
  <c r="I737" s="1"/>
  <c r="M730"/>
  <c r="H704"/>
  <c r="I704" s="1"/>
  <c r="M667"/>
  <c r="H717"/>
  <c r="I717" s="1"/>
  <c r="M717"/>
  <c r="M767"/>
  <c r="I767"/>
  <c r="I657"/>
  <c r="L654"/>
  <c r="G674"/>
  <c r="I674" s="1"/>
  <c r="I686"/>
  <c r="I710"/>
  <c r="H698"/>
  <c r="I698" s="1"/>
  <c r="H743"/>
  <c r="I743" s="1"/>
  <c r="I749"/>
  <c r="I738"/>
  <c r="K654"/>
  <c r="I667"/>
  <c r="I680"/>
  <c r="M686"/>
  <c r="I692"/>
  <c r="M710"/>
  <c r="M704"/>
  <c r="H723"/>
  <c r="I723" s="1"/>
  <c r="M723"/>
  <c r="I730"/>
  <c r="M737"/>
  <c r="M749"/>
  <c r="I755"/>
  <c r="J654"/>
  <c r="I647"/>
  <c r="J634"/>
  <c r="L634"/>
  <c r="I640"/>
  <c r="M647"/>
  <c r="H615"/>
  <c r="I583"/>
  <c r="I577"/>
  <c r="I564"/>
  <c r="M610"/>
  <c r="I610"/>
  <c r="M609"/>
  <c r="I609"/>
  <c r="M608"/>
  <c r="I608"/>
  <c r="L607"/>
  <c r="K607"/>
  <c r="J607"/>
  <c r="H607"/>
  <c r="G607"/>
  <c r="M604"/>
  <c r="I604"/>
  <c r="M603"/>
  <c r="I603"/>
  <c r="M602"/>
  <c r="I602"/>
  <c r="L601"/>
  <c r="K601"/>
  <c r="J601"/>
  <c r="H601"/>
  <c r="G601"/>
  <c r="M597"/>
  <c r="I597"/>
  <c r="M596"/>
  <c r="I596"/>
  <c r="M595"/>
  <c r="I595"/>
  <c r="L594"/>
  <c r="K594"/>
  <c r="J594"/>
  <c r="H594"/>
  <c r="G594"/>
  <c r="M591"/>
  <c r="I591"/>
  <c r="M590"/>
  <c r="I590"/>
  <c r="M589"/>
  <c r="I589"/>
  <c r="L588"/>
  <c r="K588"/>
  <c r="J588"/>
  <c r="H588"/>
  <c r="G588"/>
  <c r="M585"/>
  <c r="I585"/>
  <c r="M584"/>
  <c r="I584"/>
  <c r="M583"/>
  <c r="L582"/>
  <c r="K582"/>
  <c r="J582"/>
  <c r="G582"/>
  <c r="M579"/>
  <c r="I579"/>
  <c r="M578"/>
  <c r="I578"/>
  <c r="M577"/>
  <c r="L576"/>
  <c r="K576"/>
  <c r="J576"/>
  <c r="G576"/>
  <c r="I556"/>
  <c r="I550"/>
  <c r="I543"/>
  <c r="I538"/>
  <c r="I536"/>
  <c r="I532"/>
  <c r="I530"/>
  <c r="I523"/>
  <c r="M566"/>
  <c r="I566"/>
  <c r="M565"/>
  <c r="I565"/>
  <c r="M564"/>
  <c r="M558"/>
  <c r="I558"/>
  <c r="M557"/>
  <c r="I557"/>
  <c r="M556"/>
  <c r="M552"/>
  <c r="I552"/>
  <c r="M551"/>
  <c r="I551"/>
  <c r="M550"/>
  <c r="M545"/>
  <c r="I545"/>
  <c r="M544"/>
  <c r="I544"/>
  <c r="M543"/>
  <c r="M538"/>
  <c r="M537"/>
  <c r="I537"/>
  <c r="M536"/>
  <c r="M532"/>
  <c r="M531"/>
  <c r="I531"/>
  <c r="M530"/>
  <c r="L563"/>
  <c r="K563"/>
  <c r="J563"/>
  <c r="G563"/>
  <c r="L555"/>
  <c r="K555"/>
  <c r="J555"/>
  <c r="G555"/>
  <c r="L549"/>
  <c r="K549"/>
  <c r="J549"/>
  <c r="G549"/>
  <c r="L542"/>
  <c r="K542"/>
  <c r="J542"/>
  <c r="G542"/>
  <c r="L535"/>
  <c r="K535"/>
  <c r="J535"/>
  <c r="G535"/>
  <c r="L529"/>
  <c r="K529"/>
  <c r="J529"/>
  <c r="G529"/>
  <c r="M525"/>
  <c r="I525"/>
  <c r="M524"/>
  <c r="I524"/>
  <c r="M523"/>
  <c r="L522"/>
  <c r="K522"/>
  <c r="J522"/>
  <c r="G522"/>
  <c r="I515"/>
  <c r="I508"/>
  <c r="I501"/>
  <c r="I483"/>
  <c r="I477"/>
  <c r="M517"/>
  <c r="I517"/>
  <c r="M516"/>
  <c r="I516"/>
  <c r="M515"/>
  <c r="M510"/>
  <c r="M509"/>
  <c r="I509"/>
  <c r="M508"/>
  <c r="M503"/>
  <c r="I503"/>
  <c r="M502"/>
  <c r="I502"/>
  <c r="M501"/>
  <c r="M485"/>
  <c r="I485"/>
  <c r="M484"/>
  <c r="I484"/>
  <c r="M483"/>
  <c r="L514"/>
  <c r="K514"/>
  <c r="J514"/>
  <c r="G514"/>
  <c r="L507"/>
  <c r="K507"/>
  <c r="J507"/>
  <c r="G507"/>
  <c r="L500"/>
  <c r="K500"/>
  <c r="J500"/>
  <c r="G500"/>
  <c r="L482"/>
  <c r="K482"/>
  <c r="J482"/>
  <c r="G482"/>
  <c r="M479"/>
  <c r="I479"/>
  <c r="M478"/>
  <c r="I478"/>
  <c r="M477"/>
  <c r="L476"/>
  <c r="K476"/>
  <c r="J476"/>
  <c r="G476"/>
  <c r="M473"/>
  <c r="I473"/>
  <c r="M472"/>
  <c r="I472"/>
  <c r="M471"/>
  <c r="I471"/>
  <c r="L470"/>
  <c r="K470"/>
  <c r="J470"/>
  <c r="H470"/>
  <c r="G470"/>
  <c r="I465"/>
  <c r="M467"/>
  <c r="I467"/>
  <c r="M466"/>
  <c r="I466"/>
  <c r="M465"/>
  <c r="L464"/>
  <c r="K464"/>
  <c r="J464"/>
  <c r="G464"/>
  <c r="M455"/>
  <c r="I455"/>
  <c r="M454"/>
  <c r="I454"/>
  <c r="M453"/>
  <c r="I453"/>
  <c r="L452"/>
  <c r="K452"/>
  <c r="J452"/>
  <c r="H452"/>
  <c r="G452"/>
  <c r="M403"/>
  <c r="M402"/>
  <c r="I402"/>
  <c r="H439"/>
  <c r="I420"/>
  <c r="I414"/>
  <c r="I407"/>
  <c r="M442"/>
  <c r="I442"/>
  <c r="M441"/>
  <c r="I441"/>
  <c r="M440"/>
  <c r="I440"/>
  <c r="M422"/>
  <c r="I422"/>
  <c r="M421"/>
  <c r="I421"/>
  <c r="M420"/>
  <c r="M416"/>
  <c r="M415"/>
  <c r="I415"/>
  <c r="M414"/>
  <c r="M409"/>
  <c r="I409"/>
  <c r="M408"/>
  <c r="I408"/>
  <c r="M407"/>
  <c r="I394"/>
  <c r="H388"/>
  <c r="I388" s="1"/>
  <c r="I370"/>
  <c r="I360"/>
  <c r="I354"/>
  <c r="I349"/>
  <c r="M390"/>
  <c r="I390"/>
  <c r="M389"/>
  <c r="I389"/>
  <c r="M388"/>
  <c r="M386"/>
  <c r="I386"/>
  <c r="M385"/>
  <c r="I385"/>
  <c r="M384"/>
  <c r="L382"/>
  <c r="K382"/>
  <c r="M382" s="1"/>
  <c r="J382"/>
  <c r="H382"/>
  <c r="G382"/>
  <c r="I382" s="1"/>
  <c r="L381"/>
  <c r="K381"/>
  <c r="M381" s="1"/>
  <c r="J381"/>
  <c r="H381"/>
  <c r="G381"/>
  <c r="I381" s="1"/>
  <c r="L380"/>
  <c r="K380"/>
  <c r="J380"/>
  <c r="G380"/>
  <c r="L367"/>
  <c r="L368"/>
  <c r="L345"/>
  <c r="L346"/>
  <c r="M376"/>
  <c r="I376"/>
  <c r="M375"/>
  <c r="I375"/>
  <c r="M374"/>
  <c r="I374"/>
  <c r="M372"/>
  <c r="I372"/>
  <c r="M371"/>
  <c r="I371"/>
  <c r="M370"/>
  <c r="K368"/>
  <c r="M368" s="1"/>
  <c r="J368"/>
  <c r="H368"/>
  <c r="G368"/>
  <c r="I368" s="1"/>
  <c r="K367"/>
  <c r="M367" s="1"/>
  <c r="J367"/>
  <c r="H367"/>
  <c r="G367"/>
  <c r="I367" s="1"/>
  <c r="L366"/>
  <c r="K366"/>
  <c r="J366"/>
  <c r="G366"/>
  <c r="M362"/>
  <c r="I362"/>
  <c r="M361"/>
  <c r="I361"/>
  <c r="M360"/>
  <c r="L359"/>
  <c r="K359"/>
  <c r="J359"/>
  <c r="G359"/>
  <c r="L344"/>
  <c r="K346"/>
  <c r="M346" s="1"/>
  <c r="J346"/>
  <c r="K345"/>
  <c r="M345" s="1"/>
  <c r="J345"/>
  <c r="K344"/>
  <c r="J344"/>
  <c r="J343" s="1"/>
  <c r="H345"/>
  <c r="H346"/>
  <c r="G345"/>
  <c r="I345" s="1"/>
  <c r="G346"/>
  <c r="I346" s="1"/>
  <c r="G344"/>
  <c r="M356"/>
  <c r="I356"/>
  <c r="M355"/>
  <c r="I355"/>
  <c r="M354"/>
  <c r="M351"/>
  <c r="I351"/>
  <c r="M350"/>
  <c r="I350"/>
  <c r="M349"/>
  <c r="M397"/>
  <c r="I397"/>
  <c r="M396"/>
  <c r="I396"/>
  <c r="M395"/>
  <c r="I395"/>
  <c r="M394"/>
  <c r="L308"/>
  <c r="L309"/>
  <c r="L307"/>
  <c r="K309"/>
  <c r="J309"/>
  <c r="K308"/>
  <c r="J308"/>
  <c r="K307"/>
  <c r="J307"/>
  <c r="H308"/>
  <c r="H309"/>
  <c r="G308"/>
  <c r="G309"/>
  <c r="G307"/>
  <c r="I332"/>
  <c r="I326"/>
  <c r="I313"/>
  <c r="M334"/>
  <c r="I334"/>
  <c r="M333"/>
  <c r="I333"/>
  <c r="M332"/>
  <c r="M328"/>
  <c r="I328"/>
  <c r="M327"/>
  <c r="I327"/>
  <c r="M326"/>
  <c r="M321"/>
  <c r="I321"/>
  <c r="M320"/>
  <c r="I320"/>
  <c r="M319"/>
  <c r="M314"/>
  <c r="M315"/>
  <c r="I315"/>
  <c r="I314"/>
  <c r="A11" i="12"/>
  <c r="A4"/>
  <c r="A7"/>
  <c r="A13"/>
  <c r="A14"/>
  <c r="A5"/>
  <c r="A10"/>
  <c r="A8"/>
  <c r="A3"/>
  <c r="A9"/>
  <c r="A6"/>
  <c r="A12"/>
  <c r="G775" i="8"/>
  <c r="L620"/>
  <c r="K620"/>
  <c r="J620"/>
  <c r="H620"/>
  <c r="G620"/>
  <c r="G406"/>
  <c r="J406"/>
  <c r="K406"/>
  <c r="L406"/>
  <c r="G413"/>
  <c r="J413"/>
  <c r="K413"/>
  <c r="L413"/>
  <c r="G419"/>
  <c r="J419"/>
  <c r="K419"/>
  <c r="L419"/>
  <c r="G439"/>
  <c r="J439"/>
  <c r="K439"/>
  <c r="L439"/>
  <c r="L393"/>
  <c r="K393"/>
  <c r="J393"/>
  <c r="G393"/>
  <c r="L331"/>
  <c r="J331"/>
  <c r="G331"/>
  <c r="L325"/>
  <c r="K325"/>
  <c r="J325"/>
  <c r="G325"/>
  <c r="L318"/>
  <c r="K318"/>
  <c r="J318"/>
  <c r="G318"/>
  <c r="L312"/>
  <c r="J312"/>
  <c r="G312"/>
  <c r="G762"/>
  <c r="L627"/>
  <c r="K627"/>
  <c r="J627"/>
  <c r="H627"/>
  <c r="G627"/>
  <c r="K312"/>
  <c r="M312" s="1"/>
  <c r="M313"/>
  <c r="K331"/>
  <c r="M331" s="1"/>
  <c r="A19" i="11"/>
  <c r="A16"/>
  <c r="A15"/>
  <c r="A18"/>
  <c r="B15"/>
  <c r="B19"/>
  <c r="B18"/>
  <c r="B16"/>
  <c r="M325" i="8" l="1"/>
  <c r="I634"/>
  <c r="M654"/>
  <c r="M634"/>
  <c r="I635"/>
  <c r="I308"/>
  <c r="J306"/>
  <c r="I309"/>
  <c r="M308"/>
  <c r="M309"/>
  <c r="H654"/>
  <c r="I654" s="1"/>
  <c r="H563"/>
  <c r="I563" s="1"/>
  <c r="M563"/>
  <c r="H549"/>
  <c r="I549" s="1"/>
  <c r="M594"/>
  <c r="M607"/>
  <c r="H500"/>
  <c r="I500" s="1"/>
  <c r="H514"/>
  <c r="I514" s="1"/>
  <c r="M452"/>
  <c r="I447"/>
  <c r="H482"/>
  <c r="I482" s="1"/>
  <c r="H507"/>
  <c r="I507" s="1"/>
  <c r="H542"/>
  <c r="I542" s="1"/>
  <c r="M542"/>
  <c r="M476"/>
  <c r="M482"/>
  <c r="M507"/>
  <c r="H522"/>
  <c r="I522" s="1"/>
  <c r="H576"/>
  <c r="I576" s="1"/>
  <c r="I510"/>
  <c r="I449"/>
  <c r="H555"/>
  <c r="I448"/>
  <c r="M464"/>
  <c r="M470"/>
  <c r="M500"/>
  <c r="M514"/>
  <c r="M522"/>
  <c r="M529"/>
  <c r="M535"/>
  <c r="M549"/>
  <c r="M555"/>
  <c r="M576"/>
  <c r="M582"/>
  <c r="M588"/>
  <c r="M601"/>
  <c r="I607"/>
  <c r="I601"/>
  <c r="I594"/>
  <c r="I588"/>
  <c r="H582"/>
  <c r="I582" s="1"/>
  <c r="I555"/>
  <c r="H535"/>
  <c r="I535" s="1"/>
  <c r="H529"/>
  <c r="I529" s="1"/>
  <c r="H476"/>
  <c r="I476" s="1"/>
  <c r="I470"/>
  <c r="H464"/>
  <c r="I464" s="1"/>
  <c r="H312"/>
  <c r="I312" s="1"/>
  <c r="I452"/>
  <c r="H406"/>
  <c r="I406" s="1"/>
  <c r="G339"/>
  <c r="I339" s="1"/>
  <c r="H359"/>
  <c r="I359" s="1"/>
  <c r="H339"/>
  <c r="I416"/>
  <c r="H380"/>
  <c r="H379" s="1"/>
  <c r="I403"/>
  <c r="K338"/>
  <c r="K301" s="1"/>
  <c r="H400"/>
  <c r="H419"/>
  <c r="I419" s="1"/>
  <c r="M307"/>
  <c r="H340"/>
  <c r="H344"/>
  <c r="H343" s="1"/>
  <c r="H366"/>
  <c r="I366" s="1"/>
  <c r="H413"/>
  <c r="I413" s="1"/>
  <c r="M344"/>
  <c r="G340"/>
  <c r="I340" s="1"/>
  <c r="J339"/>
  <c r="J302" s="1"/>
  <c r="J13" s="1"/>
  <c r="J340"/>
  <c r="J303" s="1"/>
  <c r="L340"/>
  <c r="L303" s="1"/>
  <c r="L339"/>
  <c r="L302" s="1"/>
  <c r="L13" s="1"/>
  <c r="J379"/>
  <c r="L379"/>
  <c r="I384"/>
  <c r="M413"/>
  <c r="M406"/>
  <c r="J338"/>
  <c r="J301" s="1"/>
  <c r="K339"/>
  <c r="M339" s="1"/>
  <c r="K340"/>
  <c r="M340" s="1"/>
  <c r="H325"/>
  <c r="I325" s="1"/>
  <c r="K343"/>
  <c r="L343"/>
  <c r="M359"/>
  <c r="M380"/>
  <c r="L338"/>
  <c r="L301" s="1"/>
  <c r="H393"/>
  <c r="I393" s="1"/>
  <c r="G338"/>
  <c r="G301" s="1"/>
  <c r="G365"/>
  <c r="K365"/>
  <c r="J365"/>
  <c r="L365"/>
  <c r="G379"/>
  <c r="K379"/>
  <c r="M366"/>
  <c r="I775"/>
  <c r="H307"/>
  <c r="J774"/>
  <c r="M447"/>
  <c r="M318"/>
  <c r="G343"/>
  <c r="L774"/>
  <c r="B11" i="12" s="1"/>
  <c r="J761" i="8"/>
  <c r="M439"/>
  <c r="K400"/>
  <c r="H614"/>
  <c r="J614"/>
  <c r="B4" i="12"/>
  <c r="L446" i="8"/>
  <c r="B3" i="12" s="1"/>
  <c r="M655" i="8"/>
  <c r="H331"/>
  <c r="I331" s="1"/>
  <c r="H318"/>
  <c r="I318" s="1"/>
  <c r="H761"/>
  <c r="B7" i="12"/>
  <c r="I439" i="8"/>
  <c r="M419"/>
  <c r="I620"/>
  <c r="K774"/>
  <c r="I319"/>
  <c r="I655"/>
  <c r="I615"/>
  <c r="J446"/>
  <c r="K446"/>
  <c r="I627"/>
  <c r="M627"/>
  <c r="G761"/>
  <c r="L761"/>
  <c r="B13" i="12" s="1"/>
  <c r="B14"/>
  <c r="M775" i="8"/>
  <c r="G774"/>
  <c r="G306"/>
  <c r="J400"/>
  <c r="K306"/>
  <c r="I762"/>
  <c r="K761"/>
  <c r="M393"/>
  <c r="G614"/>
  <c r="B5" i="12"/>
  <c r="H774" i="8"/>
  <c r="M401"/>
  <c r="K614"/>
  <c r="B10" i="12"/>
  <c r="M762" i="8"/>
  <c r="L400"/>
  <c r="G400"/>
  <c r="M615"/>
  <c r="M620"/>
  <c r="L306"/>
  <c r="L614"/>
  <c r="G446"/>
  <c r="I344" l="1"/>
  <c r="B12" i="12"/>
  <c r="I380" i="8"/>
  <c r="M446"/>
  <c r="H303"/>
  <c r="H302"/>
  <c r="H13" s="1"/>
  <c r="K302"/>
  <c r="M302" s="1"/>
  <c r="G303"/>
  <c r="I307"/>
  <c r="K303"/>
  <c r="G302"/>
  <c r="I343"/>
  <c r="I761"/>
  <c r="M379"/>
  <c r="G337"/>
  <c r="J337"/>
  <c r="L337"/>
  <c r="B6" i="12" s="1"/>
  <c r="H306" i="8"/>
  <c r="I306" s="1"/>
  <c r="M338"/>
  <c r="K337"/>
  <c r="I774"/>
  <c r="H338"/>
  <c r="I338" s="1"/>
  <c r="M774"/>
  <c r="I401"/>
  <c r="I614"/>
  <c r="H365"/>
  <c r="I365" s="1"/>
  <c r="I379"/>
  <c r="M343"/>
  <c r="M365"/>
  <c r="B14" i="11"/>
  <c r="I400" i="8"/>
  <c r="M761"/>
  <c r="L11"/>
  <c r="M12"/>
  <c r="M306"/>
  <c r="M301"/>
  <c r="L300"/>
  <c r="B13" i="11" s="1"/>
  <c r="B17"/>
  <c r="A14"/>
  <c r="H446" i="8"/>
  <c r="I446" s="1"/>
  <c r="M614"/>
  <c r="B8" i="12"/>
  <c r="M400" i="8"/>
  <c r="B9" i="12"/>
  <c r="K13" i="8" l="1"/>
  <c r="M13" s="1"/>
  <c r="I14"/>
  <c r="I303"/>
  <c r="K300"/>
  <c r="A13" i="11" s="1"/>
  <c r="M303" i="8"/>
  <c r="G13"/>
  <c r="I13" s="1"/>
  <c r="I302"/>
  <c r="H301"/>
  <c r="I12" s="1"/>
  <c r="A17" i="11"/>
  <c r="A23" s="1"/>
  <c r="M337" i="8"/>
  <c r="J300"/>
  <c r="H337"/>
  <c r="I337" s="1"/>
  <c r="B23" i="11"/>
  <c r="G300" i="8"/>
  <c r="B2" i="12"/>
  <c r="M300" i="8" l="1"/>
  <c r="H11"/>
  <c r="I11" s="1"/>
  <c r="M14"/>
  <c r="K11"/>
  <c r="I301"/>
  <c r="H300"/>
  <c r="I300" s="1"/>
  <c r="M11" l="1"/>
</calcChain>
</file>

<file path=xl/comments1.xml><?xml version="1.0" encoding="utf-8"?>
<comments xmlns="http://schemas.openxmlformats.org/spreadsheetml/2006/main">
  <authors>
    <author>zoiium</author>
  </authors>
  <commentList>
    <comment ref="F195" authorId="0">
      <text>
        <r>
          <rPr>
            <b/>
            <sz val="9"/>
            <color indexed="81"/>
            <rFont val="Tahoma"/>
            <family val="2"/>
            <charset val="238"/>
          </rPr>
          <t>zoiium:</t>
        </r>
        <r>
          <rPr>
            <sz val="9"/>
            <color indexed="81"/>
            <rFont val="Tahoma"/>
            <family val="2"/>
            <charset val="238"/>
          </rPr>
          <t xml:space="preserve">
tego nie maja oni</t>
        </r>
      </text>
    </comment>
    <comment ref="F208" authorId="0">
      <text>
        <r>
          <rPr>
            <b/>
            <sz val="9"/>
            <color indexed="81"/>
            <rFont val="Tahoma"/>
            <family val="2"/>
            <charset val="238"/>
          </rPr>
          <t>zoiium:</t>
        </r>
        <r>
          <rPr>
            <sz val="9"/>
            <color indexed="81"/>
            <rFont val="Tahoma"/>
            <family val="2"/>
            <charset val="238"/>
          </rPr>
          <t xml:space="preserve">
tego nie mieli a u nas jest </t>
        </r>
      </text>
    </comment>
  </commentList>
</comments>
</file>

<file path=xl/sharedStrings.xml><?xml version="1.0" encoding="utf-8"?>
<sst xmlns="http://schemas.openxmlformats.org/spreadsheetml/2006/main" count="1371" uniqueCount="555">
  <si>
    <t>Budowa ul. Skrajnej w Kielcach na odcinku od ul. 1 Maja do posesji nr 70</t>
  </si>
  <si>
    <t>600          60016</t>
  </si>
  <si>
    <t>(9)</t>
  </si>
  <si>
    <t>(10)</t>
  </si>
  <si>
    <t>(11)</t>
  </si>
  <si>
    <t>Stan zaawansowania prac,                                                                          zrealizowany zakres rzeczowy - wskaźniki ilościowe</t>
  </si>
  <si>
    <t>1.</t>
  </si>
  <si>
    <t>A</t>
  </si>
  <si>
    <t>w zł</t>
  </si>
  <si>
    <t>(1)</t>
  </si>
  <si>
    <t>(2)</t>
  </si>
  <si>
    <t>(3)</t>
  </si>
  <si>
    <t>(4)</t>
  </si>
  <si>
    <t>(5)</t>
  </si>
  <si>
    <t>(6)</t>
  </si>
  <si>
    <t>(7)</t>
  </si>
  <si>
    <t>(8)</t>
  </si>
  <si>
    <t>Lp.</t>
  </si>
  <si>
    <t>Źródło</t>
  </si>
  <si>
    <t>II.</t>
  </si>
  <si>
    <t>Plan                       na początek                       roku</t>
  </si>
  <si>
    <t>- środki własne miasta</t>
  </si>
  <si>
    <t>Miasto Kielce</t>
  </si>
  <si>
    <t>Nazwa i cel przedsięwzięcia</t>
  </si>
  <si>
    <t>Ogółem przedsięwzięcia:</t>
  </si>
  <si>
    <t>- środki inne</t>
  </si>
  <si>
    <t>Cel:</t>
  </si>
  <si>
    <t>Łączne nakłady finansowe</t>
  </si>
  <si>
    <t>Przewidywane nakłady i źródła finansowania</t>
  </si>
  <si>
    <t>Okres                 realizacji</t>
  </si>
  <si>
    <t>Ogółem przedsięwzięcia majątkowe:</t>
  </si>
  <si>
    <t>(12)</t>
  </si>
  <si>
    <t>Przedsięwzięcie:</t>
  </si>
  <si>
    <t>Wartość przedsięwzięcia:</t>
  </si>
  <si>
    <t>(13)</t>
  </si>
  <si>
    <t>Wykaz pozostałych programów, projektów lub zadań</t>
  </si>
  <si>
    <t>Dział             Rozdział</t>
  </si>
  <si>
    <t>Stopień realizacji  przedsięwzięć          %                         7:6</t>
  </si>
  <si>
    <t>Zapewnienie bezpieczeństwa przeciwpożarowego w budynku</t>
  </si>
  <si>
    <t>2.</t>
  </si>
  <si>
    <t>Zakład Obsługi i Informatyki Urzędu Miasta</t>
  </si>
  <si>
    <t>3.</t>
  </si>
  <si>
    <t>4.</t>
  </si>
  <si>
    <t>5.</t>
  </si>
  <si>
    <t>750
75023</t>
  </si>
  <si>
    <t>Geopark Kielce</t>
  </si>
  <si>
    <t>Edukacyjno-turystyczny i rekreacyjny</t>
  </si>
  <si>
    <t>Geopark Kielce - Ogród botaniczny</t>
  </si>
  <si>
    <t>Edukacyjno-rekreacyjny</t>
  </si>
  <si>
    <t>Geopark Kielce - udostępnienie jaskiń</t>
  </si>
  <si>
    <t>Promowanie obiektów geologicznych Miasta</t>
  </si>
  <si>
    <t>6.</t>
  </si>
  <si>
    <t>7.</t>
  </si>
  <si>
    <t>8.</t>
  </si>
  <si>
    <t>Miejski Zarząd Dróg</t>
  </si>
  <si>
    <t>Poprawa i rozbudowa infrastruktury drogowej</t>
  </si>
  <si>
    <t>Budowa ul. Kolonia - dokumentacja i wykupy gruntów</t>
  </si>
  <si>
    <t>Budowa ul. Wydryńskiej w Kielcach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</si>
  <si>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</si>
  <si>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</si>
  <si>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</si>
  <si>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</si>
  <si>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</si>
  <si>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</si>
  <si>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</si>
  <si>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</si>
  <si>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</si>
  <si>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</si>
  <si>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</si>
  <si>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Rozbudowa ul. Łopuszniańskiej</t>
  </si>
  <si>
    <t>20.</t>
  </si>
  <si>
    <t>21.</t>
  </si>
  <si>
    <t>22.</t>
  </si>
  <si>
    <t>23.</t>
  </si>
  <si>
    <t>24.</t>
  </si>
  <si>
    <t>25.</t>
  </si>
  <si>
    <t>27.</t>
  </si>
  <si>
    <t>28.</t>
  </si>
  <si>
    <t>Wydział Gospodarki Nieruchomościami  i Geodezji</t>
  </si>
  <si>
    <t>Regionalny Port Lotniczy Kielce - pozyskiwanie gruntów</t>
  </si>
  <si>
    <t>600     60095</t>
  </si>
  <si>
    <t>Zespół budynków mieszkalnych przy ul. Lecha w Kielcach</t>
  </si>
  <si>
    <t>Budowa szkoły podstawowej wraz z przedszkolem - Dąbrowa</t>
  </si>
  <si>
    <t>Budynek mieszkalny wielorodzinny przy ul. Chrobrego w Kielcach</t>
  </si>
  <si>
    <t>Zaspokojenie potrzeb mieszkaniowych mieszkańców Kielc</t>
  </si>
  <si>
    <t>Zwiększenie dostępności do nauki, kultury i sportu</t>
  </si>
  <si>
    <t>Wydział Edukacji, Kultury i Sportu</t>
  </si>
  <si>
    <t>Termomodernizacja budynku KCK wraz z modernizacją instalacji</t>
  </si>
  <si>
    <t>Poprawa energochłonności budynku</t>
  </si>
  <si>
    <t>Podnoszenie bezpieczeństwa obywateli Miasta Kielce</t>
  </si>
  <si>
    <t>754     75495</t>
  </si>
  <si>
    <t xml:space="preserve">Wydział Zarządzania Kryzysowego </t>
  </si>
  <si>
    <t>754     75414</t>
  </si>
  <si>
    <t>2010  2012</t>
  </si>
  <si>
    <t>2011  2013</t>
  </si>
  <si>
    <t>852  85202</t>
  </si>
  <si>
    <t xml:space="preserve">Docieplenie i elewacja budynku DPS im. Jana Pawła II </t>
  </si>
  <si>
    <t>ul. Jagiellońska 76</t>
  </si>
  <si>
    <t xml:space="preserve">Wykonanie termomodernizacji budynku DPS Jana Pawła II w celu </t>
  </si>
  <si>
    <t>utrzymania odpowiedniej temeratury w pomieszczeniach z jednoczes-</t>
  </si>
  <si>
    <t>nym wprowadzeniem oszczędności w opłatach za energię cieplną</t>
  </si>
  <si>
    <t>2011  2012</t>
  </si>
  <si>
    <t xml:space="preserve">Budowa, rozbudowa, modernizacja i wyposażenie ogólnodostępnych </t>
  </si>
  <si>
    <t>stref sportu i rekreacji na terenie miasta Kielce</t>
  </si>
  <si>
    <t xml:space="preserve">Urządzenie miejsc aktywnego wypoczynku i rekreacji dla dzieci, </t>
  </si>
  <si>
    <t>młodzieży, osób starszych oraz niepełnosprawnych</t>
  </si>
  <si>
    <t>900  90095</t>
  </si>
  <si>
    <t>853  85311</t>
  </si>
  <si>
    <t>2009  2013</t>
  </si>
  <si>
    <t>Budowa Kieleckiego Centrum Niepełnosprawnych ul. Bodzentyńska</t>
  </si>
  <si>
    <t xml:space="preserve">Utworzenie miejsca rehabilitacji, integracji i pracy dla osób </t>
  </si>
  <si>
    <t>niepełnosprawnych</t>
  </si>
  <si>
    <t>Adaptacja części budynku Domu Pomocy Społecznej im. Jana Pawła</t>
  </si>
  <si>
    <t xml:space="preserve">II ul. Jagiellońska 76 z przeznaczeniem na utworzenie Zakładu </t>
  </si>
  <si>
    <t>Opiekuńczo-Leczniczego</t>
  </si>
  <si>
    <t>Stworzenie odpowiednich warunków pielęgnacyjno-medyczno-</t>
  </si>
  <si>
    <t>rehabilitacyjnych dla osób obłożnie chorych (DPS JP II)</t>
  </si>
  <si>
    <t>600  60016</t>
  </si>
  <si>
    <t>600  60015</t>
  </si>
  <si>
    <t>900  90001</t>
  </si>
  <si>
    <t>2010  2013</t>
  </si>
  <si>
    <t>2006  2013</t>
  </si>
  <si>
    <t>w Kielcach</t>
  </si>
  <si>
    <t xml:space="preserve">Rozbudowa i przebudowa układu komunikacyjnego obejmującego </t>
  </si>
  <si>
    <t>skrzyżowanie ul. Warszawskiej z ul. Polną oraz ulice: Polną, Radiową</t>
  </si>
  <si>
    <t>i Niską w Kielcach</t>
  </si>
  <si>
    <t>Rozbudowa i przebudowa ul. Piekoszowskiej na odcinku od ul. Grun-</t>
  </si>
  <si>
    <t xml:space="preserve">waldzkiej do granic miasta (droga wojewódzka nr 786) w Kielcach - </t>
  </si>
  <si>
    <t>dokumentacja</t>
  </si>
  <si>
    <t xml:space="preserve">Przebudowa ul. Górników Staszicowskich wraz z budową kanalizacji </t>
  </si>
  <si>
    <t xml:space="preserve">deszczowej, chodników i ścieżki rowerowej - dokumentacja i wykupy </t>
  </si>
  <si>
    <t>gruntów</t>
  </si>
  <si>
    <t xml:space="preserve">Ul. Zgórska w Kielcach (odcinek od ul. Łopuszniańskiej </t>
  </si>
  <si>
    <t>do ul. Przegrody)</t>
  </si>
  <si>
    <t>921  92113</t>
  </si>
  <si>
    <t xml:space="preserve">Budowa ścieżki rowerowej od ul. Klonowej do granic miasta </t>
  </si>
  <si>
    <t>w kierunku Cedzyny</t>
  </si>
  <si>
    <t xml:space="preserve">Poprawa sprawności systemu komunikacji drogowej oraz polepszenie </t>
  </si>
  <si>
    <t>dostępności komunikacji zbiorowej</t>
  </si>
  <si>
    <t xml:space="preserve">Projekt kanalizacji sanitarnej w ul. Aleskandrówka i ul. Dobromyśl </t>
  </si>
  <si>
    <t xml:space="preserve">Dostosawanie posiadanych zasobów do zwiększających się potrzeb </t>
  </si>
  <si>
    <t>mieszkańców</t>
  </si>
  <si>
    <t xml:space="preserve">Projekt kanalizacji sanitarnej w ul. Cedro Mazur - przepompownie </t>
  </si>
  <si>
    <t xml:space="preserve">Regulacja rzeki Silnicy z uwzgl. czynników ekologicznych </t>
  </si>
  <si>
    <t>i zabezpieczenia przeciwpowodziowego - dokumentacja + realizacja</t>
  </si>
  <si>
    <t xml:space="preserve">Rozwój gospodarczy i społeczny oraz poprawa konkurencyjności </t>
  </si>
  <si>
    <t>Regionu Świętokrzyskiego  w zakresie intensyfikacji rozwoju</t>
  </si>
  <si>
    <t>infrastruktury lotniczej</t>
  </si>
  <si>
    <t>700  70095</t>
  </si>
  <si>
    <t>2011  2015</t>
  </si>
  <si>
    <t>900  90019</t>
  </si>
  <si>
    <t>600  60095</t>
  </si>
  <si>
    <t>2008  2015</t>
  </si>
  <si>
    <t xml:space="preserve">Modernizacja budynku Zespołu Szkół Ogólnokształcących Nr 28 </t>
  </si>
  <si>
    <t>ul. Górnicza 64 wraz z zagospodarowaniem terenu</t>
  </si>
  <si>
    <t xml:space="preserve">Rozbudowa, modernizacja oraz wyposażenie miejskiego systemu </t>
  </si>
  <si>
    <t xml:space="preserve">monitoringu wizyjnego Miasta Kielce </t>
  </si>
  <si>
    <t>2007  2012</t>
  </si>
  <si>
    <t xml:space="preserve">Dostosowanie systemu ostrzegania i alarmowania do obowiązujących </t>
  </si>
  <si>
    <t>standardów</t>
  </si>
  <si>
    <t xml:space="preserve">Wymiana sieci ostrzegania i alarmowania oraz urządzeń do </t>
  </si>
  <si>
    <t xml:space="preserve">sterowania syrenami elektornicznymi </t>
  </si>
  <si>
    <t xml:space="preserve">Zakup niezbędnego wyposażenia miejskiego systemu monitoringu </t>
  </si>
  <si>
    <t>wizyjnego Miasta Kielce</t>
  </si>
  <si>
    <t>Budowa ul. Skalistej z odwodnieniem i oświetleniem (droga gminna)</t>
  </si>
  <si>
    <t xml:space="preserve">wraz z przebudową kolizji z istniejącymi urządzeniami infrastruktury </t>
  </si>
  <si>
    <t>technicznej</t>
  </si>
  <si>
    <t>Miejski Ośrodek Pomocy Rodzinie</t>
  </si>
  <si>
    <t>754  75495</t>
  </si>
  <si>
    <t>26.</t>
  </si>
  <si>
    <t>29.</t>
  </si>
  <si>
    <t>2008  2014</t>
  </si>
  <si>
    <t>Zespół budynków mieszkalnych przy ul. Piekoszowskiej w Kielcach</t>
  </si>
  <si>
    <t>Rewitalizacja śródmieścia Kielc</t>
  </si>
  <si>
    <t>Wyposażenie jednostki budżetowej na działalność statutową</t>
  </si>
  <si>
    <t>921  92195</t>
  </si>
  <si>
    <t>Wykupy gruntów pod drogi - Dąbrowa II</t>
  </si>
  <si>
    <t>Rozbudowa infrastruktury drogowej</t>
  </si>
  <si>
    <t>700     70005</t>
  </si>
  <si>
    <t>710      71095</t>
  </si>
  <si>
    <t>710    71095</t>
  </si>
  <si>
    <t>2004   2013</t>
  </si>
  <si>
    <t xml:space="preserve">Dostosowanie budynku Urzędu Miasta przy ul. Rynek 1 do </t>
  </si>
  <si>
    <t>obowiązujących wymagań w zakresie ochrony przeciwpożarowej</t>
  </si>
  <si>
    <t xml:space="preserve">Zapewnienie warunków technicznych (wentylacji mechanicznej </t>
  </si>
  <si>
    <t>Zwiększenie powierzchni użytkowej (poprawa funkcjonalności budynku</t>
  </si>
  <si>
    <t>Urzędu Miasta)</t>
  </si>
  <si>
    <t xml:space="preserve">Geopark Kielce - otwarcie obszarów poprzemysłowych pod potrzeby </t>
  </si>
  <si>
    <t>turystyki, edukacji i wypoczynku. Modernizacja i budowa urządzeń</t>
  </si>
  <si>
    <t xml:space="preserve">techniczno-budowlanych w Parku Kadzielnia, Rezerwacie Ślichowice, </t>
  </si>
  <si>
    <t>Rezerwacie Wietrznia</t>
  </si>
  <si>
    <t>samorządowej Kielc</t>
  </si>
  <si>
    <t xml:space="preserve">Budowa budynków mieszkalnych "Zlota Jesień" przy ul. Kazimierza </t>
  </si>
  <si>
    <t>Wielkiego w Kielcach</t>
  </si>
  <si>
    <t xml:space="preserve">Zaspokojenie potrzeb mieszkaniowych członków wspólnoty </t>
  </si>
  <si>
    <t xml:space="preserve">Zespół budynków mieszkalnych segmentowych przy ul. Hutniczej </t>
  </si>
  <si>
    <t xml:space="preserve">Przebudowa budynków przy ul. Zamkowej 1 na zaplecze konferencyjne </t>
  </si>
  <si>
    <t xml:space="preserve">dla Ośrodka Mysli Patriotycznej i Obywatelskiej, Galerii Współczesnej </t>
  </si>
  <si>
    <t>Sztuki Użytkowej oraz Warsztatów Rękodzieła Artystycznego</t>
  </si>
  <si>
    <t xml:space="preserve">Przebudowa i rozbudowa ul. Żółkiewskiego w Kielcach na odcinku </t>
  </si>
  <si>
    <t>od ul. Janczarskiej do ul. Pancernej</t>
  </si>
  <si>
    <t xml:space="preserve">Przebudowa i rozbudowa ulicy 1-go Maja na odcinku od ul. Pawiej </t>
  </si>
  <si>
    <t>do ul. Łódzkiej w Kielcach</t>
  </si>
  <si>
    <t>Przebudowa ulic usparniajacych powiązania komunikacyjne w rejonie</t>
  </si>
  <si>
    <t>osiedla Bocianek</t>
  </si>
  <si>
    <t xml:space="preserve">Rozbudowa Al. Tysiąclecia Państwa Polskiego i ulicy Radiowej </t>
  </si>
  <si>
    <t xml:space="preserve">Rozbudowa ulicy łączącej ul. Piłsudskiego z ul. Sikorskiego (obecnie </t>
  </si>
  <si>
    <t xml:space="preserve">Orląt Lwowskich) w Kielcach </t>
  </si>
  <si>
    <t xml:space="preserve">Wiadukt nad terenami PKP w ciągu ul. 1-Maja w Kielcach </t>
  </si>
  <si>
    <t>Polepszenie standardów dostarczenia usług oświatowo-wychowaw-</t>
  </si>
  <si>
    <t>czych w mieście</t>
  </si>
  <si>
    <t>Stopień realizacji  przedsięwzięć                  %                            11:10</t>
  </si>
  <si>
    <t>Przedsięwzięcia majątkowe w zakresie pozostałych programów, projektów lub zadań</t>
  </si>
  <si>
    <t>Kwota</t>
  </si>
  <si>
    <t>Rok 2012</t>
  </si>
  <si>
    <t>- kredyty, pożyczki i obligacje</t>
  </si>
  <si>
    <t>- środki własne miasta pozaprojektowe</t>
  </si>
  <si>
    <t>2010  2014</t>
  </si>
  <si>
    <t xml:space="preserve">Montaż klimatyzatorów w pomieszczeniach biurowych </t>
  </si>
  <si>
    <t xml:space="preserve">w budynkach Urzędu Miasta </t>
  </si>
  <si>
    <t xml:space="preserve">nawiewno-wywiewnej), wynikających z przepisów prawa (rozp. </t>
  </si>
  <si>
    <t>Min. Infrastruktury z dnia 12 kwietnia 2002r.).</t>
  </si>
  <si>
    <t xml:space="preserve">Przebudowa, rozbudowa siedziby Urzędu Miasta Kielce przy </t>
  </si>
  <si>
    <t>ul. Rynek 1</t>
  </si>
  <si>
    <t>Wyd. maj. - trwałość projektu "e-Świętokszyskie - budowa sieci</t>
  </si>
  <si>
    <t>światłowodowych wraz z urządzeniami na terenie Miasta Kielce"</t>
  </si>
  <si>
    <t>Utrzymanie trwałości Projektu pn. "e-Świętokszyskie - budowa sieci</t>
  </si>
  <si>
    <t xml:space="preserve">Geopark Kielce - Budowa ekranów akustycznych w Amfiteatrze </t>
  </si>
  <si>
    <t>Kadzielnia</t>
  </si>
  <si>
    <t xml:space="preserve">Zabezpieczenie okolicznych mieszkańców przed uciążliwością </t>
  </si>
  <si>
    <t>akustyczną w trakcie imprez masowych w Amfiteatrze Kadzielnia</t>
  </si>
  <si>
    <t>2005   2014</t>
  </si>
  <si>
    <t>2011   2012</t>
  </si>
  <si>
    <t>710  71095</t>
  </si>
  <si>
    <t>2008  2016</t>
  </si>
  <si>
    <t>Budowa drogi wewnętrznej z włączeniem do ul. Popiełuszki, na potrze-</t>
  </si>
  <si>
    <t>by obsługi komunikacyjnej Starowstwa Powiatowego w Kielcach</t>
  </si>
  <si>
    <t>600          60015</t>
  </si>
  <si>
    <t>2010  2015</t>
  </si>
  <si>
    <t>2009  2015</t>
  </si>
  <si>
    <t>Przebudowa, rozbudowa i budowa ulic w osiedlu Ostra Górka w Kiel-</t>
  </si>
  <si>
    <t>cach (ulice: Domki, Łopianowa, Monte Casino, Studziankowska, Nar-</t>
  </si>
  <si>
    <t>wicka, Torbucka, Helska i Oksywska) wraz z budową i przebudową</t>
  </si>
  <si>
    <t>infrastruktury technicznej i budową oczyszczalni wód deszczowych</t>
  </si>
  <si>
    <t>2007  2015</t>
  </si>
  <si>
    <t>Rozbudowa ulic usprawniających powiązania komunikacyjne miasta</t>
  </si>
  <si>
    <t>Kielce - rozbudowa ul. Wapiennikowej wraz z rozbudową skrzyżo-</t>
  </si>
  <si>
    <t xml:space="preserve">wań z ulicą Ściegiennego i Husarską oraz z ul. Ks. J. Popiełuszki i </t>
  </si>
  <si>
    <t>Armii Ludowej w Kielcach - dokumentacja, wykupy, roboty rozbiórkowe</t>
  </si>
  <si>
    <t>30.</t>
  </si>
  <si>
    <t>31.</t>
  </si>
  <si>
    <t>32.</t>
  </si>
  <si>
    <t>33.</t>
  </si>
  <si>
    <t>34.</t>
  </si>
  <si>
    <t>Ul. Jagiellońska, Podklasztorna, Bernardyńska, Karczówkowska w Kiel-</t>
  </si>
  <si>
    <t>cach - przebudowa i budowa zewnętrznego układu komunikacyjnego</t>
  </si>
  <si>
    <t>Ogrodu Botanicznego w Kielcach - dokumentacja i wykupy gruntów</t>
  </si>
  <si>
    <t xml:space="preserve">Ul. Kazimierza Wielkiego w Kielcach (I i II etap) - dokumentacja </t>
  </si>
  <si>
    <t>i wykupy gruntów</t>
  </si>
  <si>
    <t>35.</t>
  </si>
  <si>
    <t>36.</t>
  </si>
  <si>
    <t>37.</t>
  </si>
  <si>
    <t>38.</t>
  </si>
  <si>
    <t>Wydział Inwestycji</t>
  </si>
  <si>
    <t>39.</t>
  </si>
  <si>
    <t>40.</t>
  </si>
  <si>
    <t>41.</t>
  </si>
  <si>
    <t>42.</t>
  </si>
  <si>
    <t>43.</t>
  </si>
  <si>
    <t>44.</t>
  </si>
  <si>
    <t>45.</t>
  </si>
  <si>
    <t>801  80101</t>
  </si>
  <si>
    <t>2008  2012</t>
  </si>
  <si>
    <t xml:space="preserve">Bulwar spacerowy wzdłuż rzeki Silnicy na odcinku od ulicy </t>
  </si>
  <si>
    <t>Sienkiewicza do ulicy Solnej</t>
  </si>
  <si>
    <t>Poprawa estetyki i komunikacji na terenie Miasta Kielce</t>
  </si>
  <si>
    <t>2012  2013</t>
  </si>
  <si>
    <t>801  80110</t>
  </si>
  <si>
    <t>46.</t>
  </si>
  <si>
    <t>47.</t>
  </si>
  <si>
    <t>48.</t>
  </si>
  <si>
    <t>49.</t>
  </si>
  <si>
    <t>50.</t>
  </si>
  <si>
    <t>51.</t>
  </si>
  <si>
    <t>52.</t>
  </si>
  <si>
    <t>53.</t>
  </si>
  <si>
    <t>921  92109</t>
  </si>
  <si>
    <t xml:space="preserve">Przebudowa budynku przy ul. Kapitulnej 2, wraz ze zmianą sposobu </t>
  </si>
  <si>
    <t>jego użytkowania</t>
  </si>
  <si>
    <t>Rozwój bazy dla upowszechniania kultury</t>
  </si>
  <si>
    <t>921  92110</t>
  </si>
  <si>
    <t xml:space="preserve">Sieć wodociągowo-kanalizacyjna w os. Ostrogórka w Kielcach - </t>
  </si>
  <si>
    <t>dokumentacja + realizacja</t>
  </si>
  <si>
    <t>2009  2016</t>
  </si>
  <si>
    <t>2011  2017</t>
  </si>
  <si>
    <t>Wydział Środowiska i Usług Komunalnych</t>
  </si>
  <si>
    <t>Przedsięwzięcie związane z usuwaniem azbestu</t>
  </si>
  <si>
    <t>2011  2014</t>
  </si>
  <si>
    <t>54.</t>
  </si>
  <si>
    <t>55.</t>
  </si>
  <si>
    <t>56.</t>
  </si>
  <si>
    <t>57.</t>
  </si>
  <si>
    <t xml:space="preserve">Geopark Kielce - Opracowanie dokumentacji projektowej do Centrum </t>
  </si>
  <si>
    <t>Geoedukacji</t>
  </si>
  <si>
    <t xml:space="preserve">Wykonanie drogi dojazdowej do nowopowstałego Centrum </t>
  </si>
  <si>
    <t xml:space="preserve">Wieloletnie przedsiewziecie inwestycyjne na wyposazenie jednostki budżetowej </t>
  </si>
  <si>
    <t>"Wzgórze Zamkowe"</t>
  </si>
  <si>
    <t>Wydatki poniesione                do dnia               31.12.2012</t>
  </si>
  <si>
    <t>Planowane wydatki                      po zmianach                          na 31.12.2012</t>
  </si>
  <si>
    <t>Wykonanie                       na dzień           31.12.2012</t>
  </si>
  <si>
    <t>2014  2018</t>
  </si>
  <si>
    <t>Przebudowa(adaptacja) budynku przy ul. Nowowiejskiej 14 w Kielcach</t>
  </si>
  <si>
    <t>z przeznaczeniem na utworzenie lokali aktywizacyjnych (mieszkania</t>
  </si>
  <si>
    <t>chronione) dla osób niepełnosprawnych</t>
  </si>
  <si>
    <t>Aktywizacja osób starszych i niepełnosprawnych</t>
  </si>
  <si>
    <t>2012   2013</t>
  </si>
  <si>
    <t>852  85220</t>
  </si>
  <si>
    <t>im. Jana Pawła II przy ul. Jagiellońskiej 76 w Kielcach z przeznaczeniem</t>
  </si>
  <si>
    <t>na utworzenie lokali aktywizacyjnych (mieszkania chronione) dla osób</t>
  </si>
  <si>
    <t>Przebudowa i rozbudowa części budynku Domu Pomocy Społecznej</t>
  </si>
  <si>
    <t>starszych i niepełnosprawnych</t>
  </si>
  <si>
    <t>Budowa sygnalizacji świetlnej wraz z częściową przebudową ul.</t>
  </si>
  <si>
    <t>Chorzowskiej w rejonie skrzyżowania z ul. Krakowską w Kielcach</t>
  </si>
  <si>
    <t>2007   2013</t>
  </si>
  <si>
    <t>2007  2016</t>
  </si>
  <si>
    <t>Kładka dla pieszych w ciągu ul. Karczówkowskiej</t>
  </si>
  <si>
    <t>Lokalne Inicjatywy Inwestycyjne: "Budowa kanału deszczowego</t>
  </si>
  <si>
    <t>w ul. Prostej i ul. Wojska Polskiego w Kielcach</t>
  </si>
  <si>
    <t>900   90001</t>
  </si>
  <si>
    <t>2007  2014</t>
  </si>
  <si>
    <t>2009  2017</t>
  </si>
  <si>
    <t>2008  2017</t>
  </si>
  <si>
    <t>Ul. Daleszycka</t>
  </si>
  <si>
    <t>2010  2016</t>
  </si>
  <si>
    <t>Ul. Rzepichy</t>
  </si>
  <si>
    <t>2006  2014</t>
  </si>
  <si>
    <t>Adaptacja pomieszczeń w budynku Żłobka Samorządowego Nr 15</t>
  </si>
  <si>
    <t>z przeznaczeniem na utworzenie dodatkowych 25 miejsc z dostoso-</t>
  </si>
  <si>
    <t>waniem obiektu do obowiązujących przepisów</t>
  </si>
  <si>
    <t>Zaspokojenie potrzeb mieszkańców w zakresie opieki nad dziećmi</t>
  </si>
  <si>
    <t>853  85305</t>
  </si>
  <si>
    <t>wraz z przyłączeniem do istniejącego kanału sanitarnego</t>
  </si>
  <si>
    <t>wraz z kanałem tłocznym</t>
  </si>
  <si>
    <t>58.</t>
  </si>
  <si>
    <t>59.</t>
  </si>
  <si>
    <t>60.</t>
  </si>
  <si>
    <t>61.</t>
  </si>
  <si>
    <t>62.</t>
  </si>
  <si>
    <t>63.</t>
  </si>
  <si>
    <t>64.</t>
  </si>
  <si>
    <t>Zaplanowane dalsze etapy wykonania zabudowy przeciwpożarowej w budynku Urzędu Miasta przy Rynek 1 przeniesiono do realizacji na 2013r., ze względu na politykę oszczędności budżetowych w latach 2011-2012.</t>
  </si>
  <si>
    <t>Zrealizowane wydatki poniesiono na wykonanie instalacji klimatyzacji (montaż klimatyzatorów o wyższych parametrach technicznych) w pomieszczeniu serwerowni w budynku UM przy Rynek 1 oraz w pomieszczeniu technicznym w budynku UM przy ul. Strycharskiej 6.</t>
  </si>
  <si>
    <t>W ramach wydatków poniesiono opłaty za przesadzenie drzew z dziedzińca nieruchomości przy Rynek 1</t>
  </si>
  <si>
    <t>Realizacja wydatków rozpocznie się w 2014r..</t>
  </si>
  <si>
    <t>Wykonano: oświetlenie ścieżek turystycznych w Rezerwacie Ślichowice, kolejne odcinki ścieżki turystycznej wraz z punktami widokowymi w Rezerwacie Wietrznia,   zabezpieczenie fragmentu skarp w Parku Kadzielnia</t>
  </si>
  <si>
    <t>Wykonano: ekrany akustyczne w Amfiteatrze Kadzielnia, ogrodzenie Amfiteatru Kadzielnia, monitoring w rejonie wybudowanych ekranów.</t>
  </si>
  <si>
    <t xml:space="preserve"> Wykonano:  kolejne odcinki przyłącza wodociągowego i instalacji wody do podlewania,  kanał sanitarny do budynku zielonej szkoły.  Zlecono wykonanie kolejnych odcinków ścieżek - zakończenie w kwietniu 2013r.  Wykonano nasadzenia drzew wraz z pracami przygotowawczymi. </t>
  </si>
  <si>
    <t>Zakończono prace zabezpieczające w jaskini Szczelina,  wykonano oświetlenie jaskiń. Wykonano system monitoringu teemperatury i wilgotności powietrza.</t>
  </si>
  <si>
    <t>Dokumentacja przekazana do MZD w celu realizacji inwestycji</t>
  </si>
  <si>
    <t>Ze względu na brak środków finansowych realizacja inwestycji została przesunięta na kolejne lata</t>
  </si>
  <si>
    <t>w ramach zadania wykonano: Strefa Białogon o pow. 2535 m² na której zamontowano urządzenia i sprzęt służący do zabawy i rekreacji, wykonano alejki, ławki, oświetlenie, system monitoringu. Strefa Łazy - postawiono budynek (kontener) o pow. 29,54 m² służący do wypoczynku osób przebywających na placu zabaw, wykonano przyłącza i inst. sanitarne i elektryczne. Strefa Seminaryjska - wykonano projekt budowlany. Strefa Ślichowice o pow. 3030,50 m² na której zamontowano urządzenia i sprzęt służący do zabawy i rekreacji, wykonano alejki, ławki, dokonano nasadzeń drzew i krzewów. Strefa Wikaryjska o pow. 1266 m² na której zamontowano urządzenia i sprzęt służący do zabawy i rekreacji, wykonano alejki, ławki, zamontowano system monitoringu</t>
  </si>
  <si>
    <t>Złożono wniosek o dofinansowanie z funduszy szwajcarskich</t>
  </si>
  <si>
    <t>wykonano projekt budowlany, złożono wniosek o dofinansowanie z funduszy szwajcarskich</t>
  </si>
  <si>
    <t>W tym roku zapłacono za wycinkę drzew. Pozostałe wydatki przeniesione na rok 2013 r. Realizacja planowana  w 2013 r.</t>
  </si>
  <si>
    <t>Wszystkie prace budowlane zostały zakończone w roku 2012. W przyszłym roku zostanie uregulowana decyzja wywłaszczeniowa.</t>
  </si>
  <si>
    <t>Prace projektowe wstrzymane. Rozważanie  rozszerzenia tematu o dodatkowe elementy wynikające z wykonanego opracowania ochrony środowiska z zakresu ochrony przeciwpowodziowej dorzecza górnej Wisły.</t>
  </si>
  <si>
    <t>Dokumentacja zakończona. Nie wystąpiono o ZRID - brak środków na odszkodowania.</t>
  </si>
  <si>
    <t>Pierwszy etap inwestycji zakończony. Z uwagi na brak środków na odszkodowania za wywłaszczenia oraz realizację zadanie wyłączone z projektu planu budżetu.</t>
  </si>
  <si>
    <t xml:space="preserve">Decyzja na realizację inwestycji drogowej jest prawomocna. W roku 2012 zostały poniesione jedynie koszty związane w wykupem gruntów. </t>
  </si>
  <si>
    <t>Etap odbioru dokumentacji projektowej. W bieżacym roku zostały zapłacone wynagrodzenia inspektorów pracujących nad przygotowaniem inwestycji do realizacji</t>
  </si>
  <si>
    <t>Przetarg rozstrzygnięty. Inwestycja została rozpoczęta, płatności będą realizowane w roku 2013.</t>
  </si>
  <si>
    <t>Inwestycja zakończona. Wykonano: jezdnię o szer 6 m, długości 426 m z betonu asfaltowego o gr 5 + 7 cm na podbudowie z kruszywa kamiennego gr 20 cm i stabilizacji piasku cementem o gr 15 cm, chodniki obustronne o szer. 2 m z kostki betonowej o gr 8 cm, krawężniki obustronne betonowe. Kanalizacja deszczowa z rur polietylenowych, wodociąg z rur żeliwnych, oświetlenie słupy 6 szt, linia kablowa NN, kabel telekomunikacyjny.</t>
  </si>
  <si>
    <t>Dokumentacja projektowo-kosztorysowa   jest gotowa dla poszczególnych ulic. Na budowę oczyszczalni wód deszczowych, ulic: Tobruckiej, Narwickiej, Helskiej, Studziankowskiej, Domki, Łopianowej są prawomocne  decyzje ZRID.  Dla ul. Oksywskiej jest w opracowaniu aktualizacja zagospodarowania terenu i aktualizacja map podziałowych (protesty mieszkańców) termin zakończenia prac 31.01.2013r, Po zaktualizowaniu dokumentacji zostanie złozony wniosek o wydanie decyzji ZRID na ul. Oksywską. 21 listopada została podpisana umowa z wykonawcą na  na realizację oczyszczalni wód deszczowych. Termin realizacji OWD do 19.07.2013r. Płatność w br na dokumentację projektową (częściowa płatność) i odszkodowania za przejęte grunty.</t>
  </si>
  <si>
    <t>Inwestycja zakończona. Wykonano: Jezdnię i skrzyżowanie o nawierzchni bitumicznej, na podbudowie stablizowanej mechanicznie. Z kostki brukowej betonowej wykonano chodniki oraz zjazdy indywidualne, krawężniki betonowe na ławie betonowej z oporem. Oznakowanie pionowe i poziome, oświetlenie uliczne słupy 21 szt., zbudowano sygnalizację świetlną wyposażoną w kamery detekcji pojazdów.</t>
  </si>
  <si>
    <t xml:space="preserve">Inwestycja w trakcie realizacji. Planowany termin zakończenia zgodnie z umową lipiec 2013 r. </t>
  </si>
  <si>
    <t>Inwestycja zakończona. Brak odbioru technicznego ze względu na liczne uchybienia Wykonawcy. W roku 2013 zostanie inwestycja przywrócona do realizacji i z pieniędzy ubezpieczyciela Wykonawca wyłoniony w przetargu wykona naprawy niezbędne do odbioru inwestycji. Poprzedni Wykonawca został postawiony w stan upadłości i została rozwiązana z Nim umowa o współpracy.</t>
  </si>
  <si>
    <t>W bieżącym roku przewidziano jedynie płatność końcową za dokumentację. Roboty budowlano-montażowe przewidziane do realizacji w istniejącym pasie drogowym zostały zgłoszone. Zakres skrzyżowania ulic Malików i Piekoszowskiej wymaga uzyskania decyzji ZRiD-owskiej. Realizacja planowana po 2014 roku w miarę pozyskania środków finansowych.</t>
  </si>
  <si>
    <t xml:space="preserve">Dokumentacja projektowa w trakcie odbioru. Wystąpienie o ZRID będzie możliwe po zapewnieniu środków na odszkodowania. </t>
  </si>
  <si>
    <t>Planowany termin realizacji inwestycji uzależniony od uzyskania  środków finansowych na realizację inwestycji. Dokumentacja projektowa przygotowana. Brak wystąpienia o ZRID (możliwy po zapewnieniu środków na odszkodowania). W roku 2012 zaplanowano jedynie płatność końcową za dokumentację.</t>
  </si>
  <si>
    <t xml:space="preserve">Etap II - Z uwagi na protesty mieszkańców dotyczące budowy ekranów akustycznych oraz brak możliwości rezygnacji z ekranów ujętych w decyzji środowiskowej i decyzji ZRID wstrzymano rozpoczęcie inwestycji w założonej wersji.  W roku 2012 zrealizowano wykupy gruntów niezbędne do realizacji inwestycji
</t>
  </si>
  <si>
    <t xml:space="preserve">Wydano Decyzję ZRID od której wpłynęło odwołanie do Wojewody Świetokrzyskiego. Procedura przetargowa na realizację zostala unieważniona do czasu rozstrzygniecia odwołania. </t>
  </si>
  <si>
    <t>W roku 2012 tylko płatność końcowa za dokumentację projektową.</t>
  </si>
  <si>
    <t xml:space="preserve">Dokumentacja projektowa uaktualniona. Wycofanio wniosek o ZRID ze względu na brak środków finansowych na odszkodowania za przejęte grunty. </t>
  </si>
  <si>
    <t>Zakończono prace projektowe. W roku 2012 jedynie płatność końcowa za dokumentację. Nie wystąpiono z wnioskiem o ZRID - brak środków na odszkodowania.</t>
  </si>
  <si>
    <t xml:space="preserve">Inwestycja zakończona. Wykonano drogę gminną klasy L, jezdnia o szer. 5 m z obustronnym chodnikiem o szer. 1,25 m, nawierzchnia ścieralna z kostki betonowej , nawierzchnia chodników z kostki betonowej czerwonej. Zbudowano kanał deszczowy, z rur PEHD, studzienki kanalizacyjne, odwodnienie liniowe, wpusty deszczowe z z rur żelbetowych. </t>
  </si>
  <si>
    <t>Prace projektowe zawieszone (biuro projektowe w likwidacji).</t>
  </si>
  <si>
    <t xml:space="preserve">Trwają roboty budowlane I etapu inwestycji, dotyczącego modernizacji waiduktu PKP - Planowane zakończenie I połowa stycznia 2013 r. II etap inwestycji dotyczący przebudowy skrzyżowania ul. 1-go Maja i ul. Jagiellońskiej na etapie przygotowania dokumentacji projektowej. </t>
  </si>
  <si>
    <t>Środki przeznaczone zostały na zadanie pn. termomodernizacja budynku KCK wraz z wymianą instalacji, w tym m. in.: wymiana stolarki okiennej, remont pokrycia stropodachów, wymiana okładziny pudła scenicznego, wymiana ścianek aluminiowych wewn., nadzór inwestorski, remont instalacji c. o. i c. w. u., demontaże i roboty wewn., docieplenie ścian zewn. budynku, wymiana fasad aluminiowych,.</t>
  </si>
  <si>
    <t>Miasto Kielce wypłaca  odszkodowania za odjętą uczestnikom scalenia powierznię gruntów niezbędną do wydzielenia nowych dróg i  poszerzenie dróg istniejących. Powierzchnia, za którą zostały wypłacone odszkodowania w okresie od  2011 roku do 31.12.2012 wynosi 6,9737 ha.  Przewiduje się jeszcze  wypłatę odszkodowań za grunty o  pow. 3,3856 ha.</t>
  </si>
  <si>
    <t>Dokumentacja projektowo - kosztorysowa adaptacji pomieszczeń wykonana. Ogłoszenie przetargu planowane jest w I kwartale 2013r. Termin wykonania dokumentacji projektowo-kosztorysowej pod potrzeby dostosowania ciągu pieszego do wymogów drogi pożarowej przy Żłobku Samorządowym N r 15 w Kielcach - 29.03.2013r.</t>
  </si>
  <si>
    <t>w</t>
  </si>
  <si>
    <t xml:space="preserve">Realizowany jest I Etap inwestycji, którego przedmiotem jest wykonanie budynku wielorodzinnego z lokalem pracy administracyjnej, czterokondygnacyjnego, niepodpiwniczonego o łącznej pow. użytkowej budynku ok. 759,84 m2, wraz z instalacjami wewnętrznymi, przyłączami: wody, kanalizacji deszczowej, kanalizacji sanitarnej; drenażem; wykonaniem zagospodarowania terenu.   W toku  postępowanie o udzielenie zamówienia na wybór Wykonawcy zadania. </t>
  </si>
  <si>
    <t>Dokumentacja opracowana. Realizacja zadania zaplanowana na lata 2015-2016</t>
  </si>
  <si>
    <t>Wykonano podziały geodezyjne działek. Zadanie zakończone.</t>
  </si>
  <si>
    <t>Dokumentacja na 9 kondygnacyjny budynek z 36 mieszkaniami przygotowania do przetargu. Pozwolenie na budowę ważne do maja 2015r.</t>
  </si>
  <si>
    <t>Apartamenty Solna Sp z o.o. nie dostarczyła pozwolenia na budowę oraz dokumentacji projektowej</t>
  </si>
  <si>
    <t>Przebudowano  drogę do przepompowni ścieków o długości 256,60 m i szer. 3,00 m, wykonano prace polegające na usunięciu usterek powstałych w wyniku kradziezy</t>
  </si>
  <si>
    <t>Monitorowanie prac projektowych</t>
  </si>
  <si>
    <t>Budynek przystosowany pod potrzeby Gimnazjum, Przedszkola, Biblioteki, Świetlicy Środowiskowej.  Zakres rzeczowy robót związanych z modernizacją budynku obejmował zarówno roboty zewnętrzne m.in. instalacja kanalizacji  deszczowej, docieplanie ścian, wykonanie izolacji termicznej i przeciwwilgociowej, wymiana pokrycia dachowego,  jak i wewnętrzne m.in. wymurowanie i montaż ścian, wymiana stolarki okiennej i drzwiowej, instalacja wodociągową, kanalizacyjna, przeciwpożarowa. Boisko do piłki siatkowej i tenisa.</t>
  </si>
  <si>
    <t>Odstąpiono od realizacji zadania</t>
  </si>
  <si>
    <t>Na powyższym zadaniu zostały wykonane m.in. następujące zakresy robót:  dezynfekcje i odgrzybianie powierzchni, obicie tynków w pomieszczeniach piwnic, rozbiórki ścian w pomieszczeniach piwnic -  zrealizowano 50%, rozbiórki ścian, obicie tynków w pomieszczeniach parteru -  zrealizowano w 40%,rozbiórki stropu nad parterem - zrealizowano w 70% , rozbiórki  w pomieszczeniach poddasza, demontaż  instalacji wewnętrznych budynku - zrealizowano-100%.</t>
  </si>
  <si>
    <t>Trwają działania zmierząjące do pozyskania środków pozabudżetowych. Przeprowadzono rozmowy ws. porozumienia z Marszałkiem Województwa Świętokrzyskiego, Świętokrzyskim Zarządem Melioracji i Urządzeń Wodnych w Kielcach warunkującego pozyskanie dofinansowania.</t>
  </si>
  <si>
    <t>Dokumentacja na wykonanie sieci wodociągowo - kanalizacyjnej o dł. ok 7 km w trakcie opracowania. Zgodnie z umową termin wykonania wrzesiń 2013r.</t>
  </si>
  <si>
    <t xml:space="preserve">zadanie na etapie wykonywania dokumentacji projektowo-kosztorysowej. Wykonawca prac projektowych w zwłoce - umowny termin minął w grudniu 2012r. </t>
  </si>
  <si>
    <t>Jest pozwolenie na budowę. Realizacja zadania zaplanowana na lata 2015-2016</t>
  </si>
  <si>
    <t xml:space="preserve">Zgodnie z Uchwałą Nr XXI/443/2011 z dnia 22 grudnia 2011 roku w sprawie zniesienia uchwały określającej zasady udzielania dotacji celowej na przedsięwzięcia związane z usuwaniem azbestu,  zadanie zostało przeniesione z przedsięwzięć majątkowych  do  bieżących. </t>
  </si>
  <si>
    <t>W ramach zadania inwestycyjnego  dokonano m.in. integracji systemu monitoringu osiedla Dalnia i Ślichowice z systemem monitoringu wizyjnego Miasta Kielce, wykonano demontaż i przeniesienie kamer wraz z montażem w nowe miejsca oraz budowę nowych przyłączy energetycznych. Ponadto środki finansowe w wysokości 79.900 zł przeznaczone na „Rozbudowę kablowej sieci światłowodowej, od budynku  Urzędu Miasta Kielce przy ul. Rynek 1 do Centrum Monitoringu Miejskiego przy ul. Ściegiennego 8 (Stadionu) poprzez Budynek Straży Miejskiej w Kielcach ul. Ogrodowa, na potrzeby monitoringu wizyjnego miasta Kielce”, obejmującą sporządzenie projektów technicznych, dostarczenie niezbędnych materiałów, wykonanie prac budowlanych i instalacyjnych oraz sporządzenie dokumentacji powykonawczych zostały zaklasyfikowane jako wydatki niewygasające z upływem roku budżetowego 2012 z terminem realizacji do 30.06.2013r.</t>
  </si>
  <si>
    <t>Plan nie został zrealizowany, gdyż zaplanowane środki zostaly przesunięte na inne zadanie inwestycyjne.</t>
  </si>
  <si>
    <t>Plan w kwocie 80.000 zł na zakupy inwestycyjne pn. „Zakup niezbędnego wyposażenia miejskiego systemu monitoringu wizyjnego Miasta Kielce” nie został zrealizowany, środki zostały zwrócone jako oszczędności do budżetu miasta.</t>
  </si>
  <si>
    <t>Jest decyzja ZRID (zezwolenie na realizację inwestycji drogowej) ostateczna. Zlecone operaty szacunkowe gruntów (do odszkodowania).Odszkodowania 2013r. Inwestycja zgłoszona o dofinansowanie z NPPDL tzw. ,,schetynówek".</t>
  </si>
  <si>
    <t>Wykonanie ekspozycji stałej Ośrodka Myśli Patriotycznej i Obywatelskiej  (projekt wykonawczy, prace instalacyjne, posadzki, instalacje elektryczne, niskoprądowe, system sterowania, system zabezpieczający, odtwarzacze multimedialne, playery, szafa serwerowa, klimatyzacja, monitory, projektory, oświetlenie, itp.), zakup wyposażenia studia ceramicznego (meble i urządzenia niezbędne do funkcjonowania DCK), zakup książek i albumów do czytelni DCK, itp.</t>
  </si>
  <si>
    <t>W latach 2006-2012 (do 31.12.2012r.) wykupiono 580 ha nieruchomości na potrzeby budowy lotniska (w roku 2012  - ok. 15 ha.). Jednocześnie trwa postępowanie wywłaszczeniowe  w Starostwie Powiatowym. Plan wykupów  nieruchomości  2012 roku nie został wykonany w 100 % na skutek odwołań osób fizycznych od decyzji Starosty Kieleckiego dot. wysokości przyznanych kwot odszkodowań za wywłaszczone nieruchomości. Do wywłaszczenia pozostaje ok. 50 ha</t>
  </si>
  <si>
    <t>I.</t>
  </si>
  <si>
    <t>Ogółem przedsięwzięcia bieżące:</t>
  </si>
  <si>
    <t>ZAKLAD OBSŁUGI I INFORMATYKI URZEDU MIASTA</t>
  </si>
  <si>
    <t>Utrzymanie pozostałych zarządzanych nieruchomości</t>
  </si>
  <si>
    <t xml:space="preserve">Wydatki dotyczą opłat związanych z zarządzaną nieruchomością przy ul. Mazurskiej 48 za okres (w tym m. inn. za dostawę energii elektrycznej, gazu i wody, wywóz śmieci,  monitoring nieruchomości), wydatki z tytułu czynszu za pomieszczenia wynajmowane na potrzeby Powiatowego Inspektoratu Nadzoru Budowlanego, za energię elektryczną, dostarczaną do zasilania monitorów ekranowych zainstalowanych na budynku oraz z tytułu czynszu za udostępnienie powierzchni pod w/w monitory ekranowe </t>
  </si>
  <si>
    <t>Zapewnienie utrzymania pozostałych zarządzanych nieruchomości i majątku</t>
  </si>
  <si>
    <t>2011-2018</t>
  </si>
  <si>
    <t>WYD.BIEŻ.-TRWAŁOŚĆ PROJEKTU "e-Świętokrzyskie - budowa sieci światłowodowych wraz z urządzeniami na terenie Miasta Kielce"</t>
  </si>
  <si>
    <t>Utrzymanie trwałości Projektu pn. "e-Świętokrzyskie - budowa sieci światłowodowych wraz z urządzeniami na terenie Miasta Kielce"</t>
  </si>
  <si>
    <t>2013-2017</t>
  </si>
  <si>
    <t>WYD.BIEŻ.-TRWAŁOŚĆ PROJEKTU "e-Świętokrzyskie - Budowa Systemu Informacji Przestrzennej Województwa Świętokrzyskiego"</t>
  </si>
  <si>
    <t>Utrzymanie trwałości Projektu pn. "e-Świętokrzyskie - Budowa Systemu Informacji Przestrzennej Województwa Świętokrzyskiego"</t>
  </si>
  <si>
    <t>W zakresie wydatków dot. utrzymania rezerwatówprzyrody poniesiono wydatki na opłaty za energię elektryczną, wodę, wywóz śmieci, usługi dostepu do sieci internet, za telefony komórkowe i stacjonarne,opłaty za czynsz, opłaty za ubezpieczenie majątku, za prace porządkowe w rezerwatach, za ochronę obiektów- Amfiteatru Kadzielnia i Centrum Geoedukacji, za usługi konserwacyjne klimatyzacji.</t>
  </si>
  <si>
    <t>Utrzymanie rezerwatów przyrody i innych jednostek pozostających w administracji Geopark Kielce</t>
  </si>
  <si>
    <t>Promowanie walorów geologicznych Miasta Kielce</t>
  </si>
  <si>
    <t>Utrzymanie trwałości projektu pn. Przebudowa Amfiteatru Kadzielnia</t>
  </si>
  <si>
    <t>2011-2015</t>
  </si>
  <si>
    <t xml:space="preserve">W ramach utrzymania trwłości projektu dokonano przeglądu ruchomego zdaszenia sceny, zapłacono za energie elektryczną i częsciowo za pozostałe usługi </t>
  </si>
  <si>
    <t>Stymulowanie rozwoju turystyki i promowanie Kielce oraz regionu w Polsce i za granicą</t>
  </si>
  <si>
    <t>W ramach utrzymania trwałości projektu dokonano opłat za energię elektryczną  za I półrocze 2012rdot.  budynku Centrum Geoedukacji oraz opłat za nadzór i konserwację  klimatyzacji w budynku - Centrum Geoedukacji.</t>
  </si>
  <si>
    <t xml:space="preserve">Utrzymanie trwałosci projektu pn "Budowa Centrum Geoedukacji"  </t>
  </si>
  <si>
    <t>Propagowanie edukacji i turystyki gologicznej regionu</t>
  </si>
  <si>
    <t>Kielecki Park Technologiczny</t>
  </si>
  <si>
    <t xml:space="preserve"> - środki inne</t>
  </si>
  <si>
    <t>Projekt był realizowany w okresie 01.09.2011-30.06.2012. Głównym zadaniem projektu była organizacja dwóch edycji: jesiennej i wiosennej imprezy pn . Kielecki Dni Przedsiębiorczości Akademickiej, której celem było zwiększenie wiedzy studentów, przedsiębiorców i pracowników naukowych na temat zakładania i prowadzenia działalności gospodarczej.W tym celu wydana była gazetka promocyjno-informacyjna Puls przedsiębiorczości. Zorganizowana była giełda kooperacyjna a także warsztaty i szkolenia.</t>
  </si>
  <si>
    <t>Akademia Kreatywnej Przedsiębiorczości Akademickiej</t>
  </si>
  <si>
    <t>Upowszechnianie dobrych praktyk, zwiększenie poziomu wiedzy w zakresie przedsiębiorczości akademickiej</t>
  </si>
  <si>
    <t>Projekt jest  realizowany w okresie 01.09.2011-31.08.2012.2012. Głównym zadaniem projektu była organizacja wydarzenia"Kreacja-Innowacja-Design" prezentującego rolę designu w nowoczesnej gospodarce.W tym celu opublikowano Puls kreatywności, utworzono uczelniane zespoły designerskie, zorganizowano wystawę w zakresie designu.</t>
  </si>
  <si>
    <t>Design-nowy wymiar komercjalizacji wiedzy</t>
  </si>
  <si>
    <t>Stworzenie modelowego systemu komercjalizacji wiedzyw zakresie wzornictwa przemysłowego(designu)</t>
  </si>
  <si>
    <t xml:space="preserve">Projekt jest realizowany  od 01.09.2012 do 31.08.2012 i jest kontynuacją pierwszej edycji Design </t>
  </si>
  <si>
    <t>Design-nowy wymiar komercjalizacji wiedzy (II edycja)</t>
  </si>
  <si>
    <t>Trwałość projektu pn."Budowa infrastruktury KPT"</t>
  </si>
  <si>
    <t>Trwałość Projektu pn. "Budowa infr5astruktury KPT"-utrzymanie wybudowanych obiektów Inkubatora i Centrum Technologicznego.</t>
  </si>
  <si>
    <t>Świadczenie usług w wielofunkcyjnym terenie aktywności gospodarczej w zakresie usług doradczych, szkoleniowych, informacyjnych,wynajmu powierzchni biurowej i laboratoryjno-produkcyjnej</t>
  </si>
  <si>
    <t>Przedsięwzięcie:BiznesStarter</t>
  </si>
  <si>
    <t>Projekt jest realizowany  od 01.07.2012 do 31.01.2014r.Głównym celem Projektu jest przeprowadzenie kampanii informacyjnej, przeprowadzenie konkursu na najlepszy pomysł na biznes spin off/out</t>
  </si>
  <si>
    <t>2012 - 2014</t>
  </si>
  <si>
    <t>Cel:Rozwój postaw i kompetencji biznesowych w środowisku akademickim</t>
  </si>
  <si>
    <t>MIEJSKI ZARZĄD BUDYNKÓW</t>
  </si>
  <si>
    <t>Zabezpieczenie niezbędnych usług i mediów dla zarządzanego zasobu</t>
  </si>
  <si>
    <t>Zabezpieczono dostawy wody, gazu, c.o.,energii elektrycznej, odprowadzenie ścieków, wywóz śmieci i nieczystości, dozorowanie budynków, administrowanie nieruchomości, zakup oleju opałowego do kotłowni, opłaty na zaliczki na utrzymanie części wspólnych, ubezpieczenie nieruchomości, opłaty za emisję gazów.</t>
  </si>
  <si>
    <t>Zarządzanie mieszkaniowym zasobem Gminy Kielce</t>
  </si>
  <si>
    <r>
      <rPr>
        <b/>
        <u/>
        <sz val="8.5"/>
        <rFont val="Arial"/>
        <family val="2"/>
        <charset val="238"/>
      </rPr>
      <t xml:space="preserve">W ramach Przedsięwzięcia realizuje się:  </t>
    </r>
    <r>
      <rPr>
        <sz val="8.5"/>
        <rFont val="Arial"/>
        <family val="2"/>
        <charset val="238"/>
      </rPr>
      <t xml:space="preserve">                                 - zakup energii do sygnalizacji świetlnych na terenie Miasta Kielce,                                                                                             - wykonuje się oznakowanie pionowe i poziome dróg,                                                                          - wykonuje się konserwację oświetlenia ulicznego
</t>
    </r>
  </si>
  <si>
    <t>Administracja bezpieczeństwem ruchu drogowego</t>
  </si>
  <si>
    <t>2011-2014</t>
  </si>
  <si>
    <t>Zapewnienie bezpieczeństwa ruchu drogowego</t>
  </si>
  <si>
    <r>
      <rPr>
        <b/>
        <u/>
        <sz val="8.5"/>
        <rFont val="Arial"/>
        <family val="2"/>
        <charset val="238"/>
      </rPr>
      <t xml:space="preserve">W ramach Przedsięwzięcia realizuje się:  </t>
    </r>
    <r>
      <rPr>
        <sz val="8.5"/>
        <rFont val="Arial"/>
        <family val="2"/>
        <charset val="238"/>
      </rPr>
      <t xml:space="preserve">                                     - remonty bitumiczne dróg,                                                                           - remonty niebitumiczne dróg,                                                                    - remonty przystanków,                                                                                -  monitorowanie  mostów i wiaduktów,                                        - remonty chodników i ścieżek rowerowych</t>
    </r>
  </si>
  <si>
    <t>Bieżące utrzymanie dróg</t>
  </si>
  <si>
    <t>Utrzymanie należytego stanu dróg i chodników na terenie Miasta</t>
  </si>
  <si>
    <r>
      <rPr>
        <b/>
        <u/>
        <sz val="8.5"/>
        <rFont val="Arial"/>
        <family val="2"/>
        <charset val="238"/>
      </rPr>
      <t>W ramach Przedsięwzięcia realizuje się:</t>
    </r>
    <r>
      <rPr>
        <sz val="8.5"/>
        <rFont val="Arial"/>
        <family val="2"/>
        <charset val="238"/>
      </rPr>
      <t xml:space="preserve">                                                       - letnie utrzymanie dróg i chodników,                                                                             - zimowe utrzymanie dróg i chodników,                                                             - opróżnianie koszy,                                                                                      - zakup nowych koszy,                                                                                      </t>
    </r>
  </si>
  <si>
    <t>Oczyszczanie miasta</t>
  </si>
  <si>
    <t>Letnie i zimowe utrzymanie czystości infrastruktury drogowej</t>
  </si>
  <si>
    <r>
      <rPr>
        <b/>
        <u/>
        <sz val="8.5"/>
        <rFont val="Arial"/>
        <family val="2"/>
        <charset val="238"/>
      </rPr>
      <t xml:space="preserve">W ramach Przedsięwzięcia realizuje się:   </t>
    </r>
    <r>
      <rPr>
        <sz val="8.5"/>
        <rFont val="Arial"/>
        <family val="2"/>
        <charset val="238"/>
      </rPr>
      <t xml:space="preserve">                                                            - konserwacja kanalizacji deszczowej,                                          - konserwacja podczyszczalni wód deszczowych,                                                                               - konserwacja rowów komunalnych,                                                         - badania labolatoryne ścieków,                                                                                  - opłaty na rzecz budżetów jednostek samorządu terytorialnego</t>
    </r>
  </si>
  <si>
    <t>Oczyszczanie wód deszczowych</t>
  </si>
  <si>
    <t>Utrzymanie parametrów czystości odprowadzanych wód opadowych</t>
  </si>
  <si>
    <r>
      <rPr>
        <b/>
        <u/>
        <sz val="8.5"/>
        <rFont val="Arial"/>
        <family val="2"/>
        <charset val="238"/>
      </rPr>
      <t xml:space="preserve">W ramach Przedsięwzięcia realizuje się: </t>
    </r>
    <r>
      <rPr>
        <sz val="8.5"/>
        <rFont val="Arial"/>
        <family val="2"/>
        <charset val="238"/>
      </rPr>
      <t xml:space="preserve">                                                                  - zakup energii elektrycznej do oświetlenia ulicznego,                                                                        - zakup energii elektrycznej do sygnalizacji śiwtlnych na terenie Miasta  Kielce,                                                                                   - zakup onowych opraw i słupów oświetleniowych </t>
    </r>
  </si>
  <si>
    <t>Oświetlenie uliczne</t>
  </si>
  <si>
    <t>Oświetlenie ulic na terenie Miasta</t>
  </si>
  <si>
    <t>Wykonano badania trwałości projektu dotyczące inwestycji: Most Herbski</t>
  </si>
  <si>
    <t>Trwałość projektów realizowanych w udziałem środków UE (analiza osiągnięcia wskaźnika realizacji celów projektów)</t>
  </si>
  <si>
    <t>Monitoring pomiaru i utrzymanie głównych wartości wskaźników w projektach UE</t>
  </si>
  <si>
    <r>
      <rPr>
        <b/>
        <u/>
        <sz val="8.5"/>
        <rFont val="Arial"/>
        <family val="2"/>
        <charset val="238"/>
      </rPr>
      <t xml:space="preserve">W ramach Przedsięwzięcia realizuje się: </t>
    </r>
    <r>
      <rPr>
        <sz val="8.5"/>
        <rFont val="Arial"/>
        <family val="2"/>
        <charset val="238"/>
      </rPr>
      <t xml:space="preserve">                                               utrzymanie i konserwację zieleni mieskiej: w tym: kwietniki, gazony, zielone ciągi komunikacyjne w pasie drogowym </t>
    </r>
  </si>
  <si>
    <t>Utrzymanie zieleni miejskiej</t>
  </si>
  <si>
    <t>Zapewnienie wyglądu i estetyki Miasta</t>
  </si>
  <si>
    <t>WYDZIAŁ EDUKACJI, KULTURY I SPORTU</t>
  </si>
  <si>
    <t>Środki przeznaczone na realizację zadania "Dotowanie Miejskiego Ośrodka Sportu i Rekreacji w Kielcach" zostały wydatkowane na remonty i konserwację maszyn, urządzeń oraz sprzętu znajdujących się na obiektach sportowych administrowanych przez MOSiR, zakup kabiny ochronnej do ciągnika rolniczego,  zorganizowano wiele imprez i zajęć sportowo-rekreacyjnych i turystycznych dla dzieci i młodzieży w ramach akcji zima w mieście, wiosenną edycję Czwartków Lekkoatletycznych, VIII Rodzinną Majówkę Rowerową.</t>
  </si>
  <si>
    <t>Dotowanie Miejskiego Ośrodka  Sportu i Rekreacji w Kielcach</t>
  </si>
  <si>
    <t>926             92604</t>
  </si>
  <si>
    <t>Upowszechnianie kultury fizycznej i turystyki poprzez organizowanie imprez i zajęć sportowo - rekreacyjnych i turystycznych oraz administrowanie obiektami sportowymi</t>
  </si>
  <si>
    <t>Dotowanie samorządowych instytucji kultury</t>
  </si>
  <si>
    <t>Środki przeznaczone na realizację zadania "Dotowanie samorządowych instytucji kultury" (Zadania Gminy i Powiatu) zostały wydatkowane  na pokrycie wydatków bieżących instytucji.</t>
  </si>
  <si>
    <t>Zapewnienie mieszkańcom miasta powszechnego dostępu do zróżnicowanej oferty kulturalnej</t>
  </si>
  <si>
    <t>Dotowanie szkół i placówek oświatowych publicznych 
i niepublicznych prowadzonych przez inne podmioty 
niż j.s.t (Zadania Powiatu)</t>
  </si>
  <si>
    <t>Środki przeznaczone na realizację zadania "Dotowanie szkół i placówek oświatowych publicznych i niepublicznych prowadzonych przez inne podmioty niż j.s.t (Zadania Powiatu) zostały wydatkowane  na pokrycie wydatków bieżacych w szkołach publicznych i niepublicznych oraz w ośrodkach prowadzonych przez inne podmioty niż jst.</t>
  </si>
  <si>
    <t xml:space="preserve"> -środki wlasne miasta</t>
  </si>
  <si>
    <t>Zapewnienie finansowania poszerzonej oferty oświatowo - wychowawczej uzupełniającej ofertę publiczną samorzadową.</t>
  </si>
  <si>
    <t>Dotowanie szkół i placówek oświatowych publicznych 
i niepublicznych prowadzonych przez inne podmioty 
niż j.s.t (Zadania Gminy)</t>
  </si>
  <si>
    <t>Środki przeznaczone na realizację zadania "Dotowanie szkół i placówek oświatowych publicznych i niepublicznych prowadzonych przez inne podmioty niż j.s.t (Zadania Gminy) zostały wydatkowane  na pokrycie wydatków bieżacych w szkołach publicznych i niepublicznych oraz w ośrodkach prowadzonych przez inne podmioty niż jst.</t>
  </si>
  <si>
    <t xml:space="preserve"> - środki własne miasta</t>
  </si>
  <si>
    <t>"Gminowo"</t>
  </si>
  <si>
    <t>Projekt mający na celu zapoznanie z działaniem Gmin</t>
  </si>
  <si>
    <t>2012-2013</t>
  </si>
  <si>
    <t>801                        80120</t>
  </si>
  <si>
    <t>- środki własne inne</t>
  </si>
  <si>
    <t>851   85195</t>
  </si>
  <si>
    <t>Organizacja i współorganizowanie transportu osób niepełnosprawnych</t>
  </si>
  <si>
    <t>Pokrycie kosztów zawartego porozumienia na usługi transportowe oraz ubezpieczenie trzech samochodów przystosowanych do przewozu osób niepełnosprawnych z terenu Miasta Kielce</t>
  </si>
  <si>
    <t>Ułatwienie osobom niepełnosprawnym dostępu do instytucji publicznych</t>
  </si>
  <si>
    <t>Profilaktyka i Promocja zdrowia</t>
  </si>
  <si>
    <t>851   85149</t>
  </si>
  <si>
    <t>Przedsięwzięcie to obejmuje pokrycie kosztów związanych z realizacją trzechh programów profilaktyki zdrowotnej</t>
  </si>
  <si>
    <t>Poprawa zdrowia mieszkańców miasta</t>
  </si>
  <si>
    <t>Stypendia sportowe dla osób fizycznych za osiągnięte wyniki sportowe</t>
  </si>
  <si>
    <t>926    92605</t>
  </si>
  <si>
    <t>Wypłacono stypendia sportowe dla 127 osób.  Wśród osób otrzymujących stypendia 42 to osoby pełnoletnie a 85 poniżej 18 roku życia. Średniomiesięczne stypendium wypłacane dla osoby pełnoletniej wyniosło 267 zł. a dla niepełnoletniej 255 zł.</t>
  </si>
  <si>
    <t>Motywowanie zawodników do osiagania wysokich wyników sportowych.</t>
  </si>
  <si>
    <t>Trwałość projektu - Wzgórze Zamkowe</t>
  </si>
  <si>
    <t>2011-2016</t>
  </si>
  <si>
    <t>921    92195</t>
  </si>
  <si>
    <t>Środki przeznaczone na realizację zadania "Trwałość projektu Wzórze Zamkowe" (Zadania Gminy) zostały wydatkowane  na pokrycie wydatków bieżących jednostki.</t>
  </si>
  <si>
    <t>Promocja współczesnego designu oraz prowadzenie i inspirowanie działalności o charakterze edukacyjnym z zakresu dziejów Kielc</t>
  </si>
  <si>
    <t xml:space="preserve">WYDZIAŁ KOMUNIKACJI I DZIAŁALNOŚCI GOSPODARCZEJ  </t>
  </si>
  <si>
    <t>Zakupiono 58.255 szt. Druków komunikacjynjych jak: dowody rejestracyjne, nalepki kontrolne, prawo jazdy i inne druki.</t>
  </si>
  <si>
    <t>Zakup dowodów stałych, pozwoleń czasowych itp.. Dokumentów komunikacyjnych, praw jazdy</t>
  </si>
  <si>
    <t>750   75095</t>
  </si>
  <si>
    <t>Weryfikacja ilości i własności pojazdów oraz weryfikacja uprawnień kierowców</t>
  </si>
  <si>
    <t>WYDZIAŁ ŚRODOWISKA I USŁUG KOMUNALNYCH</t>
  </si>
  <si>
    <t>Przedsięwzięcie objemuje: dostawę wody i energii oraz ścieków do 9 szt. szaletów miejskich, dostawę energii do 5 szt. skrzynek energetycznych wykorzystywanych w czasie imprez oraz dostawę wody do ok.. 85 szt. zdroi ulicznych wraz z pitnikami i fontanny na Placu Artystów.</t>
  </si>
  <si>
    <t>Dostawy wody i energii elektrycznej na potrzeby Miasta Kielce</t>
  </si>
  <si>
    <t>Utrzymanie czystości i porządku na terenie miasta. Poprawa jakości wód na terenie miasta.</t>
  </si>
  <si>
    <t>Przedsięwzięcie</t>
  </si>
  <si>
    <t>Przeprowadzenie badań procesu spalania na zawartość dioksyn</t>
  </si>
  <si>
    <t>Uzyskanie informacji czy w paleniskach domowych spalane są tworzywa sztuczne</t>
  </si>
  <si>
    <t>2011-2012</t>
  </si>
  <si>
    <t>Program usuwania i unieszkodliwania z terenu Miasta Kielce odpadów zawierających azbest</t>
  </si>
  <si>
    <t>2012-2014</t>
  </si>
  <si>
    <t>Demontaż, załadunek, wywóz  i utylizacja wyrobów zawierających azbest z pokryć dachowych i elewacji obiektów</t>
  </si>
  <si>
    <t>WYDZIAŁ ZARZĄDZANIA KRYZYSOWEGO I BEZPIECZEŃSTWA</t>
  </si>
  <si>
    <t xml:space="preserve">Przedsięwzięcie:  </t>
  </si>
  <si>
    <t>Usuwanie odpadów poakcyjnych przez Komend e Miejską Państwowej Straży Pożarnej po akcjach ratowniczo-gaśniczych na terenie Miasta Kielce</t>
  </si>
  <si>
    <t>2011-               2018</t>
  </si>
  <si>
    <t>754                   75411</t>
  </si>
  <si>
    <t>Środki przeznaczono w szczególności na utylizację odpadów poakcyjnych, powstałychw wyniku zbierania plam i rozlewisk materiałów niebezpiecznych, ropopochodnych pochodzących z likwidacji skutków miejscowych zagrożeń na ternie miasta Kielce podczas działań ratowniczych KMPSP.</t>
  </si>
  <si>
    <t>Eliminacja odpadów poakcyjnych z terenu Miasta Kielce</t>
  </si>
  <si>
    <t>ZARZĄD TRANSPORTU MIEJSKIEGO W KIELCACH</t>
  </si>
  <si>
    <t xml:space="preserve">Trwałość projektu pn. "Rozwój systemu komunikacji publicznej  w Kieleckim Obszarze Metropolitalnym - zakup 40 szt. autobusów komunikacji miejskiej wraz z mobilnymi automatami do sprzedaży biletów komunikacji miejskiej"
</t>
  </si>
  <si>
    <t>600    60004</t>
  </si>
  <si>
    <t>Wydatki dotyczą podatku od środkiów transportowych</t>
  </si>
  <si>
    <t>Utrzymanie  autobusów komunikacji miejskiej wraz z mobilnymi autobusami do sprzedaży biletów</t>
  </si>
  <si>
    <t xml:space="preserve">Trwałość projektu pn. "Rozwój systemu komunikacji publicznej  w Kieleckim Obszarze Metropolitalnym - zakup i montaż elektronicznych tablic informacyjnych i stacjonarnych automatów do sprzedaży biletów"
</t>
  </si>
  <si>
    <t>2012-2016</t>
  </si>
  <si>
    <t>600      60004</t>
  </si>
  <si>
    <t>Dotyczy zakupu energii elektrycznej</t>
  </si>
  <si>
    <t>Utrzymanie elektronicznych tablic informacyjnych oraz automatów do sprzedaży biletów komunikacji miejskiej</t>
  </si>
  <si>
    <t xml:space="preserve">Zakup usług przewozu pasazerów srodkami komunikacji miejskiej
</t>
  </si>
  <si>
    <t>600   60004</t>
  </si>
  <si>
    <t xml:space="preserve">Dotyczy zakupu usług od przewoźnika za wykonywane wozokilometry na terenie Miasta i Gmin ościennych </t>
  </si>
  <si>
    <t>Zapewnienie dobrej jakosci komunikacji</t>
  </si>
  <si>
    <t>miejskiej</t>
  </si>
  <si>
    <t>WYDZIAŁ GOSPODARKI NIERUCHOMOŚCIAMI I GEODEZJI</t>
  </si>
  <si>
    <t xml:space="preserve">Lączna  kwota 69 000 zł przeznaczona jest na regulowanie stanu prawnego nieruchomści  w celu  uzyskania tytułu własności  przez Gminę Kielce.
</t>
  </si>
  <si>
    <t>Tabela Nr 3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</si>
</sst>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\ &quot;zł&quot;"/>
    <numFmt numFmtId="166" formatCode="0.0"/>
    <numFmt numFmtId="167" formatCode="0.0%"/>
  </numFmts>
  <fonts count="24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.5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Czcionka tekstu podstawowego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.5"/>
      <color indexed="8"/>
      <name val="Arial"/>
      <family val="2"/>
      <charset val="238"/>
    </font>
    <font>
      <b/>
      <i/>
      <sz val="6.5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"/>
      <charset val="238"/>
    </font>
    <font>
      <sz val="8.5"/>
      <color rgb="FF0070C0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b/>
      <sz val="8.5"/>
      <color rgb="FF0070C0"/>
      <name val="Arial"/>
      <family val="2"/>
      <charset val="238"/>
    </font>
    <font>
      <sz val="7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8.5"/>
      <color theme="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" fillId="0" borderId="0"/>
  </cellStyleXfs>
  <cellXfs count="722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2" borderId="5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vertical="center"/>
    </xf>
    <xf numFmtId="4" fontId="7" fillId="3" borderId="4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49" fontId="7" fillId="4" borderId="5" xfId="0" applyNumberFormat="1" applyFont="1" applyFill="1" applyBorder="1" applyAlignment="1">
      <alignment vertical="center"/>
    </xf>
    <xf numFmtId="4" fontId="7" fillId="4" borderId="4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4" fontId="7" fillId="4" borderId="7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4" fontId="7" fillId="0" borderId="4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7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3" fontId="5" fillId="2" borderId="4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3" fontId="7" fillId="4" borderId="2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7" fillId="5" borderId="5" xfId="0" applyFont="1" applyFill="1" applyBorder="1" applyAlignment="1">
      <alignment vertical="center"/>
    </xf>
    <xf numFmtId="3" fontId="7" fillId="5" borderId="4" xfId="0" applyNumberFormat="1" applyFont="1" applyFill="1" applyBorder="1" applyAlignment="1">
      <alignment vertical="center"/>
    </xf>
    <xf numFmtId="3" fontId="5" fillId="5" borderId="4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/>
    </xf>
    <xf numFmtId="3" fontId="7" fillId="5" borderId="5" xfId="0" applyNumberFormat="1" applyFont="1" applyFill="1" applyBorder="1" applyAlignment="1">
      <alignment vertical="center"/>
    </xf>
    <xf numFmtId="4" fontId="7" fillId="5" borderId="5" xfId="0" applyNumberFormat="1" applyFont="1" applyFill="1" applyBorder="1" applyAlignment="1">
      <alignment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 wrapText="1"/>
    </xf>
    <xf numFmtId="3" fontId="7" fillId="5" borderId="3" xfId="0" applyNumberFormat="1" applyFont="1" applyFill="1" applyBorder="1" applyAlignment="1">
      <alignment vertical="center"/>
    </xf>
    <xf numFmtId="4" fontId="7" fillId="5" borderId="3" xfId="0" applyNumberFormat="1" applyFont="1" applyFill="1" applyBorder="1" applyAlignment="1">
      <alignment vertical="center"/>
    </xf>
    <xf numFmtId="3" fontId="7" fillId="5" borderId="2" xfId="0" applyNumberFormat="1" applyFont="1" applyFill="1" applyBorder="1" applyAlignment="1">
      <alignment vertical="center"/>
    </xf>
    <xf numFmtId="164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4" fontId="7" fillId="7" borderId="4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4" fontId="7" fillId="5" borderId="2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164" fontId="7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4" fontId="0" fillId="0" borderId="0" xfId="0" applyNumberFormat="1"/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3" fontId="13" fillId="0" borderId="4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horizontal="center" vertical="center"/>
    </xf>
    <xf numFmtId="4" fontId="13" fillId="0" borderId="4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7" borderId="4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164" fontId="7" fillId="0" borderId="18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vertical="center"/>
    </xf>
    <xf numFmtId="3" fontId="15" fillId="3" borderId="4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vertical="center"/>
    </xf>
    <xf numFmtId="164" fontId="15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66" fontId="5" fillId="3" borderId="4" xfId="1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166" fontId="7" fillId="3" borderId="4" xfId="1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5" borderId="9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4" fontId="7" fillId="4" borderId="5" xfId="0" applyNumberFormat="1" applyFont="1" applyFill="1" applyBorder="1" applyAlignment="1">
      <alignment vertical="center"/>
    </xf>
    <xf numFmtId="167" fontId="7" fillId="4" borderId="4" xfId="1" applyNumberFormat="1" applyFont="1" applyFill="1" applyBorder="1" applyAlignment="1">
      <alignment horizontal="center" vertical="center"/>
    </xf>
    <xf numFmtId="4" fontId="7" fillId="5" borderId="6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6" fontId="5" fillId="7" borderId="2" xfId="0" applyNumberFormat="1" applyFont="1" applyFill="1" applyBorder="1" applyAlignment="1">
      <alignment horizontal="center" vertical="center" wrapText="1"/>
    </xf>
    <xf numFmtId="166" fontId="5" fillId="7" borderId="4" xfId="0" applyNumberFormat="1" applyFont="1" applyFill="1" applyBorder="1" applyAlignment="1">
      <alignment horizontal="center" vertical="center" wrapText="1"/>
    </xf>
    <xf numFmtId="4" fontId="10" fillId="7" borderId="6" xfId="0" applyNumberFormat="1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/>
    </xf>
    <xf numFmtId="3" fontId="7" fillId="7" borderId="4" xfId="0" applyNumberFormat="1" applyFont="1" applyFill="1" applyBorder="1" applyAlignment="1">
      <alignment vertical="center"/>
    </xf>
    <xf numFmtId="166" fontId="7" fillId="7" borderId="4" xfId="0" applyNumberFormat="1" applyFont="1" applyFill="1" applyBorder="1" applyAlignment="1">
      <alignment horizontal="center" vertical="center" wrapText="1"/>
    </xf>
    <xf numFmtId="2" fontId="7" fillId="4" borderId="4" xfId="1" applyNumberFormat="1" applyFont="1" applyFill="1" applyBorder="1" applyAlignment="1">
      <alignment vertical="center"/>
    </xf>
    <xf numFmtId="2" fontId="7" fillId="4" borderId="7" xfId="1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66" fontId="5" fillId="0" borderId="4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166" fontId="7" fillId="0" borderId="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4" fontId="7" fillId="0" borderId="28" xfId="0" applyNumberFormat="1" applyFont="1" applyFill="1" applyBorder="1" applyAlignment="1">
      <alignment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6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vertical="center"/>
    </xf>
    <xf numFmtId="164" fontId="7" fillId="0" borderId="27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164" fontId="7" fillId="0" borderId="28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8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3" fontId="7" fillId="8" borderId="0" xfId="0" applyNumberFormat="1" applyFont="1" applyFill="1" applyBorder="1" applyAlignment="1">
      <alignment vertical="center"/>
    </xf>
    <xf numFmtId="3" fontId="7" fillId="8" borderId="27" xfId="0" applyNumberFormat="1" applyFont="1" applyFill="1" applyBorder="1" applyAlignment="1">
      <alignment vertical="center"/>
    </xf>
    <xf numFmtId="3" fontId="5" fillId="8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3" fontId="7" fillId="8" borderId="28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3" fontId="7" fillId="8" borderId="2" xfId="0" applyNumberFormat="1" applyFont="1" applyFill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8" borderId="4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3" fontId="7" fillId="8" borderId="4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8" borderId="4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9" fontId="7" fillId="0" borderId="28" xfId="0" applyNumberFormat="1" applyFont="1" applyBorder="1" applyAlignment="1">
      <alignment vertical="center"/>
    </xf>
    <xf numFmtId="3" fontId="7" fillId="8" borderId="7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4" fontId="7" fillId="0" borderId="6" xfId="0" applyNumberFormat="1" applyFont="1" applyFill="1" applyBorder="1" applyAlignment="1">
      <alignment vertical="center"/>
    </xf>
    <xf numFmtId="3" fontId="5" fillId="0" borderId="5" xfId="0" quotePrefix="1" applyNumberFormat="1" applyFont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" fontId="7" fillId="0" borderId="10" xfId="0" applyNumberFormat="1" applyFont="1" applyBorder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49" fontId="7" fillId="0" borderId="7" xfId="0" applyNumberFormat="1" applyFont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vertical="center"/>
    </xf>
    <xf numFmtId="164" fontId="5" fillId="7" borderId="2" xfId="0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0" fillId="5" borderId="4" xfId="0" applyNumberFormat="1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/>
    </xf>
    <xf numFmtId="49" fontId="7" fillId="7" borderId="5" xfId="0" applyNumberFormat="1" applyFont="1" applyFill="1" applyBorder="1" applyAlignment="1">
      <alignment vertical="center"/>
    </xf>
    <xf numFmtId="164" fontId="7" fillId="7" borderId="4" xfId="0" applyNumberFormat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3" fontId="7" fillId="7" borderId="7" xfId="0" applyNumberFormat="1" applyFont="1" applyFill="1" applyBorder="1" applyAlignment="1">
      <alignment vertical="center"/>
    </xf>
    <xf numFmtId="3" fontId="7" fillId="7" borderId="8" xfId="0" applyNumberFormat="1" applyFont="1" applyFill="1" applyBorder="1" applyAlignment="1">
      <alignment vertical="center"/>
    </xf>
    <xf numFmtId="164" fontId="7" fillId="7" borderId="7" xfId="0" applyNumberFormat="1" applyFont="1" applyFill="1" applyBorder="1" applyAlignment="1">
      <alignment horizontal="center" vertical="center"/>
    </xf>
    <xf numFmtId="3" fontId="7" fillId="7" borderId="10" xfId="0" applyNumberFormat="1" applyFont="1" applyFill="1" applyBorder="1" applyAlignment="1">
      <alignment vertical="center"/>
    </xf>
    <xf numFmtId="4" fontId="10" fillId="5" borderId="7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7" fillId="8" borderId="5" xfId="0" applyFont="1" applyFill="1" applyBorder="1" applyAlignment="1">
      <alignment vertical="center"/>
    </xf>
    <xf numFmtId="0" fontId="7" fillId="8" borderId="6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horizontal="center" vertical="center" wrapText="1"/>
    </xf>
    <xf numFmtId="49" fontId="7" fillId="8" borderId="4" xfId="0" applyNumberFormat="1" applyFont="1" applyFill="1" applyBorder="1" applyAlignment="1">
      <alignment vertical="center"/>
    </xf>
    <xf numFmtId="164" fontId="5" fillId="8" borderId="4" xfId="0" applyNumberFormat="1" applyFont="1" applyFill="1" applyBorder="1" applyAlignment="1">
      <alignment horizontal="center" vertical="center"/>
    </xf>
    <xf numFmtId="4" fontId="7" fillId="8" borderId="4" xfId="0" applyNumberFormat="1" applyFont="1" applyFill="1" applyBorder="1" applyAlignment="1">
      <alignment horizontal="right" vertical="center" wrapText="1"/>
    </xf>
    <xf numFmtId="164" fontId="7" fillId="8" borderId="4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vertical="center"/>
    </xf>
    <xf numFmtId="0" fontId="7" fillId="8" borderId="10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horizontal="center" vertical="center" wrapText="1"/>
    </xf>
    <xf numFmtId="49" fontId="7" fillId="8" borderId="7" xfId="0" applyNumberFormat="1" applyFont="1" applyFill="1" applyBorder="1" applyAlignment="1">
      <alignment vertical="center"/>
    </xf>
    <xf numFmtId="3" fontId="7" fillId="8" borderId="8" xfId="0" applyNumberFormat="1" applyFont="1" applyFill="1" applyBorder="1" applyAlignment="1">
      <alignment vertical="center"/>
    </xf>
    <xf numFmtId="164" fontId="5" fillId="8" borderId="7" xfId="0" applyNumberFormat="1" applyFont="1" applyFill="1" applyBorder="1" applyAlignment="1">
      <alignment horizontal="center" vertical="center"/>
    </xf>
    <xf numFmtId="4" fontId="7" fillId="8" borderId="8" xfId="0" applyNumberFormat="1" applyFont="1" applyFill="1" applyBorder="1" applyAlignment="1">
      <alignment vertical="center"/>
    </xf>
    <xf numFmtId="164" fontId="7" fillId="8" borderId="7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vertical="center" wrapText="1"/>
    </xf>
    <xf numFmtId="0" fontId="7" fillId="8" borderId="4" xfId="0" applyFont="1" applyFill="1" applyBorder="1" applyAlignment="1">
      <alignment horizontal="center" vertical="center"/>
    </xf>
    <xf numFmtId="3" fontId="7" fillId="8" borderId="5" xfId="0" applyNumberFormat="1" applyFont="1" applyFill="1" applyBorder="1" applyAlignment="1">
      <alignment vertical="center"/>
    </xf>
    <xf numFmtId="4" fontId="7" fillId="8" borderId="5" xfId="0" applyNumberFormat="1" applyFont="1" applyFill="1" applyBorder="1" applyAlignment="1">
      <alignment vertical="center"/>
    </xf>
    <xf numFmtId="4" fontId="4" fillId="8" borderId="4" xfId="0" applyNumberFormat="1" applyFont="1" applyFill="1" applyBorder="1" applyAlignment="1">
      <alignment vertical="center" wrapText="1"/>
    </xf>
    <xf numFmtId="0" fontId="7" fillId="8" borderId="6" xfId="0" applyFont="1" applyFill="1" applyBorder="1" applyAlignment="1">
      <alignment vertical="top" wrapText="1"/>
    </xf>
    <xf numFmtId="49" fontId="7" fillId="8" borderId="5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164" fontId="18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vertical="center"/>
    </xf>
    <xf numFmtId="4" fontId="15" fillId="0" borderId="5" xfId="0" applyNumberFormat="1" applyFont="1" applyFill="1" applyBorder="1" applyAlignment="1">
      <alignment vertical="center"/>
    </xf>
    <xf numFmtId="164" fontId="15" fillId="0" borderId="4" xfId="0" applyNumberFormat="1" applyFont="1" applyBorder="1" applyAlignment="1">
      <alignment horizontal="center" vertical="center"/>
    </xf>
    <xf numFmtId="4" fontId="19" fillId="0" borderId="4" xfId="0" applyNumberFormat="1" applyFont="1" applyFill="1" applyBorder="1" applyAlignment="1">
      <alignment vertical="center" wrapText="1"/>
    </xf>
    <xf numFmtId="164" fontId="18" fillId="0" borderId="7" xfId="0" applyNumberFormat="1" applyFont="1" applyBorder="1" applyAlignment="1">
      <alignment horizontal="center" vertical="center"/>
    </xf>
    <xf numFmtId="4" fontId="15" fillId="0" borderId="8" xfId="0" applyNumberFormat="1" applyFont="1" applyFill="1" applyBorder="1" applyAlignment="1">
      <alignment vertical="center"/>
    </xf>
    <xf numFmtId="164" fontId="15" fillId="0" borderId="7" xfId="0" applyNumberFormat="1" applyFont="1" applyBorder="1" applyAlignment="1">
      <alignment horizontal="center" vertical="center"/>
    </xf>
    <xf numFmtId="4" fontId="19" fillId="0" borderId="7" xfId="0" applyNumberFormat="1" applyFont="1" applyFill="1" applyBorder="1" applyAlignment="1">
      <alignment vertical="center" wrapText="1"/>
    </xf>
    <xf numFmtId="3" fontId="5" fillId="4" borderId="5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164" fontId="21" fillId="0" borderId="2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vertical="center"/>
    </xf>
    <xf numFmtId="3" fontId="21" fillId="0" borderId="2" xfId="0" applyNumberFormat="1" applyFont="1" applyBorder="1" applyAlignment="1">
      <alignment vertical="center"/>
    </xf>
    <xf numFmtId="4" fontId="21" fillId="0" borderId="3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164" fontId="21" fillId="0" borderId="4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7" fillId="4" borderId="2" xfId="2" applyFont="1" applyFill="1" applyBorder="1" applyAlignment="1">
      <alignment vertical="center"/>
    </xf>
    <xf numFmtId="0" fontId="7" fillId="4" borderId="3" xfId="2" applyFont="1" applyFill="1" applyBorder="1" applyAlignment="1">
      <alignment vertical="center"/>
    </xf>
    <xf numFmtId="0" fontId="7" fillId="4" borderId="9" xfId="2" applyFont="1" applyFill="1" applyBorder="1" applyAlignment="1">
      <alignment vertical="center"/>
    </xf>
    <xf numFmtId="0" fontId="7" fillId="4" borderId="2" xfId="2" applyFont="1" applyFill="1" applyBorder="1" applyAlignment="1">
      <alignment horizontal="center" vertical="center"/>
    </xf>
    <xf numFmtId="3" fontId="7" fillId="4" borderId="2" xfId="2" applyNumberFormat="1" applyFont="1" applyFill="1" applyBorder="1" applyAlignment="1">
      <alignment vertical="center"/>
    </xf>
    <xf numFmtId="164" fontId="7" fillId="4" borderId="4" xfId="2" applyNumberFormat="1" applyFont="1" applyFill="1" applyBorder="1" applyAlignment="1">
      <alignment horizontal="center" vertical="center"/>
    </xf>
    <xf numFmtId="4" fontId="7" fillId="4" borderId="2" xfId="2" applyNumberFormat="1" applyFont="1" applyFill="1" applyBorder="1" applyAlignment="1">
      <alignment vertical="center"/>
    </xf>
    <xf numFmtId="164" fontId="7" fillId="4" borderId="2" xfId="2" applyNumberFormat="1" applyFont="1" applyFill="1" applyBorder="1" applyAlignment="1">
      <alignment horizontal="center" vertical="center"/>
    </xf>
    <xf numFmtId="4" fontId="7" fillId="7" borderId="2" xfId="2" applyNumberFormat="1" applyFont="1" applyFill="1" applyBorder="1" applyAlignment="1">
      <alignment vertical="center"/>
    </xf>
    <xf numFmtId="0" fontId="5" fillId="4" borderId="4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vertical="center"/>
    </xf>
    <xf numFmtId="3" fontId="7" fillId="4" borderId="4" xfId="2" applyNumberFormat="1" applyFont="1" applyFill="1" applyBorder="1" applyAlignment="1">
      <alignment vertical="center"/>
    </xf>
    <xf numFmtId="4" fontId="7" fillId="4" borderId="4" xfId="2" applyNumberFormat="1" applyFont="1" applyFill="1" applyBorder="1" applyAlignment="1">
      <alignment vertical="center"/>
    </xf>
    <xf numFmtId="4" fontId="5" fillId="7" borderId="4" xfId="2" applyNumberFormat="1" applyFont="1" applyFill="1" applyBorder="1" applyAlignment="1">
      <alignment vertical="center"/>
    </xf>
    <xf numFmtId="49" fontId="7" fillId="4" borderId="5" xfId="2" applyNumberFormat="1" applyFont="1" applyFill="1" applyBorder="1" applyAlignment="1">
      <alignment vertical="center" wrapText="1"/>
    </xf>
    <xf numFmtId="49" fontId="7" fillId="4" borderId="5" xfId="2" applyNumberFormat="1" applyFont="1" applyFill="1" applyBorder="1" applyAlignment="1">
      <alignment vertical="center"/>
    </xf>
    <xf numFmtId="4" fontId="7" fillId="7" borderId="4" xfId="2" applyNumberFormat="1" applyFont="1" applyFill="1" applyBorder="1" applyAlignment="1">
      <alignment vertical="center"/>
    </xf>
    <xf numFmtId="0" fontId="7" fillId="4" borderId="7" xfId="2" applyFont="1" applyFill="1" applyBorder="1" applyAlignment="1">
      <alignment vertical="center"/>
    </xf>
    <xf numFmtId="0" fontId="7" fillId="4" borderId="8" xfId="2" applyFont="1" applyFill="1" applyBorder="1" applyAlignment="1">
      <alignment vertical="center"/>
    </xf>
    <xf numFmtId="0" fontId="7" fillId="4" borderId="10" xfId="2" applyFont="1" applyFill="1" applyBorder="1" applyAlignment="1">
      <alignment vertical="center"/>
    </xf>
    <xf numFmtId="0" fontId="7" fillId="4" borderId="7" xfId="2" applyFont="1" applyFill="1" applyBorder="1" applyAlignment="1">
      <alignment horizontal="center" vertical="center"/>
    </xf>
    <xf numFmtId="3" fontId="7" fillId="4" borderId="7" xfId="2" applyNumberFormat="1" applyFont="1" applyFill="1" applyBorder="1" applyAlignment="1">
      <alignment vertical="center"/>
    </xf>
    <xf numFmtId="164" fontId="7" fillId="4" borderId="7" xfId="2" applyNumberFormat="1" applyFont="1" applyFill="1" applyBorder="1" applyAlignment="1">
      <alignment horizontal="center" vertical="center"/>
    </xf>
    <xf numFmtId="4" fontId="7" fillId="4" borderId="7" xfId="2" applyNumberFormat="1" applyFont="1" applyFill="1" applyBorder="1" applyAlignment="1">
      <alignment vertical="center"/>
    </xf>
    <xf numFmtId="4" fontId="7" fillId="7" borderId="7" xfId="2" applyNumberFormat="1" applyFont="1" applyFill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9" xfId="2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/>
    </xf>
    <xf numFmtId="3" fontId="7" fillId="0" borderId="3" xfId="2" applyNumberFormat="1" applyFont="1" applyBorder="1" applyAlignment="1">
      <alignment vertical="center"/>
    </xf>
    <xf numFmtId="164" fontId="7" fillId="0" borderId="2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vertical="center"/>
    </xf>
    <xf numFmtId="4" fontId="7" fillId="0" borderId="3" xfId="2" applyNumberFormat="1" applyFont="1" applyBorder="1" applyAlignment="1">
      <alignment vertical="center"/>
    </xf>
    <xf numFmtId="4" fontId="7" fillId="0" borderId="2" xfId="2" applyNumberFormat="1" applyFont="1" applyFill="1" applyBorder="1" applyAlignment="1">
      <alignment vertical="center"/>
    </xf>
    <xf numFmtId="0" fontId="7" fillId="0" borderId="5" xfId="2" applyFont="1" applyBorder="1" applyAlignment="1">
      <alignment vertical="center" wrapText="1"/>
    </xf>
    <xf numFmtId="0" fontId="7" fillId="0" borderId="6" xfId="2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3" fontId="5" fillId="0" borderId="4" xfId="2" applyNumberFormat="1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4" fontId="5" fillId="0" borderId="4" xfId="2" applyNumberFormat="1" applyFont="1" applyBorder="1" applyAlignment="1">
      <alignment vertical="center"/>
    </xf>
    <xf numFmtId="0" fontId="7" fillId="0" borderId="5" xfId="2" applyFont="1" applyBorder="1" applyAlignment="1">
      <alignment vertical="center"/>
    </xf>
    <xf numFmtId="49" fontId="7" fillId="0" borderId="4" xfId="2" applyNumberFormat="1" applyFont="1" applyBorder="1" applyAlignment="1">
      <alignment vertical="center" wrapText="1"/>
    </xf>
    <xf numFmtId="3" fontId="7" fillId="0" borderId="4" xfId="2" applyNumberFormat="1" applyFont="1" applyBorder="1" applyAlignment="1">
      <alignment horizontal="right" vertical="center"/>
    </xf>
    <xf numFmtId="164" fontId="7" fillId="0" borderId="4" xfId="2" applyNumberFormat="1" applyFont="1" applyBorder="1" applyAlignment="1">
      <alignment horizontal="center" vertical="center"/>
    </xf>
    <xf numFmtId="3" fontId="7" fillId="0" borderId="4" xfId="2" applyNumberFormat="1" applyFont="1" applyBorder="1" applyAlignment="1">
      <alignment vertical="center"/>
    </xf>
    <xf numFmtId="4" fontId="7" fillId="0" borderId="4" xfId="2" applyNumberFormat="1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10" xfId="2" applyFont="1" applyBorder="1" applyAlignment="1">
      <alignment vertical="center" wrapText="1"/>
    </xf>
    <xf numFmtId="49" fontId="7" fillId="0" borderId="7" xfId="2" applyNumberFormat="1" applyFont="1" applyBorder="1" applyAlignment="1">
      <alignment vertical="center"/>
    </xf>
    <xf numFmtId="3" fontId="7" fillId="0" borderId="7" xfId="2" applyNumberFormat="1" applyFont="1" applyBorder="1" applyAlignment="1">
      <alignment vertical="center"/>
    </xf>
    <xf numFmtId="164" fontId="7" fillId="0" borderId="7" xfId="2" applyNumberFormat="1" applyFont="1" applyBorder="1" applyAlignment="1">
      <alignment horizontal="center" vertical="center"/>
    </xf>
    <xf numFmtId="4" fontId="7" fillId="0" borderId="7" xfId="2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4" fontId="7" fillId="0" borderId="1" xfId="0" applyNumberFormat="1" applyFont="1" applyFill="1" applyBorder="1" applyAlignment="1">
      <alignment horizontal="left" vertical="center"/>
    </xf>
    <xf numFmtId="3" fontId="7" fillId="0" borderId="8" xfId="0" applyNumberFormat="1" applyFont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left" vertical="center"/>
    </xf>
    <xf numFmtId="164" fontId="21" fillId="0" borderId="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3" fontId="7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165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7" fillId="3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49" fontId="7" fillId="2" borderId="5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1" fillId="0" borderId="7" xfId="0" applyNumberFormat="1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left" vertical="center" wrapText="1"/>
    </xf>
    <xf numFmtId="4" fontId="7" fillId="0" borderId="7" xfId="0" applyNumberFormat="1" applyFont="1" applyFill="1" applyBorder="1" applyAlignment="1">
      <alignment horizontal="left" vertical="center" wrapText="1"/>
    </xf>
    <xf numFmtId="4" fontId="10" fillId="0" borderId="29" xfId="2" applyNumberFormat="1" applyFont="1" applyFill="1" applyBorder="1" applyAlignment="1">
      <alignment horizontal="left" vertical="top" wrapText="1"/>
    </xf>
    <xf numFmtId="0" fontId="1" fillId="0" borderId="30" xfId="2" applyBorder="1"/>
    <xf numFmtId="0" fontId="1" fillId="0" borderId="31" xfId="2" applyBorder="1"/>
    <xf numFmtId="0" fontId="1" fillId="0" borderId="7" xfId="0" applyFont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left" vertical="top" wrapText="1"/>
    </xf>
    <xf numFmtId="0" fontId="0" fillId="0" borderId="30" xfId="0" applyBorder="1"/>
    <xf numFmtId="0" fontId="0" fillId="0" borderId="31" xfId="0" applyBorder="1"/>
    <xf numFmtId="0" fontId="7" fillId="0" borderId="6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left" wrapText="1"/>
    </xf>
    <xf numFmtId="4" fontId="7" fillId="0" borderId="4" xfId="0" applyNumberFormat="1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left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4" xfId="0" applyNumberFormat="1" applyFont="1" applyFill="1" applyBorder="1" applyAlignment="1">
      <alignment horizontal="left" vertical="top" wrapText="1"/>
    </xf>
    <xf numFmtId="4" fontId="7" fillId="0" borderId="7" xfId="0" applyNumberFormat="1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vertical="center"/>
    </xf>
    <xf numFmtId="0" fontId="5" fillId="7" borderId="9" xfId="0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left" vertical="top" wrapText="1"/>
    </xf>
    <xf numFmtId="4" fontId="10" fillId="0" borderId="4" xfId="0" applyNumberFormat="1" applyFont="1" applyFill="1" applyBorder="1" applyAlignment="1">
      <alignment horizontal="left" vertical="top" wrapText="1"/>
    </xf>
    <xf numFmtId="4" fontId="10" fillId="0" borderId="7" xfId="0" applyNumberFormat="1" applyFont="1" applyFill="1" applyBorder="1" applyAlignment="1">
      <alignment horizontal="left" vertical="top" wrapText="1"/>
    </xf>
    <xf numFmtId="0" fontId="5" fillId="4" borderId="5" xfId="2" applyFont="1" applyFill="1" applyBorder="1" applyAlignment="1">
      <alignment horizontal="left" vertical="top" wrapText="1"/>
    </xf>
    <xf numFmtId="0" fontId="5" fillId="4" borderId="6" xfId="2" applyFont="1" applyFill="1" applyBorder="1" applyAlignment="1">
      <alignment horizontal="left" vertical="top" wrapText="1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4" fontId="7" fillId="0" borderId="4" xfId="2" applyNumberFormat="1" applyFont="1" applyFill="1" applyBorder="1" applyAlignment="1">
      <alignment horizontal="left" vertical="top" wrapText="1"/>
    </xf>
    <xf numFmtId="4" fontId="7" fillId="0" borderId="7" xfId="2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" fontId="20" fillId="0" borderId="2" xfId="0" applyNumberFormat="1" applyFont="1" applyFill="1" applyBorder="1" applyAlignment="1">
      <alignment vertical="center" wrapText="1"/>
    </xf>
    <xf numFmtId="4" fontId="20" fillId="0" borderId="4" xfId="0" applyNumberFormat="1" applyFont="1" applyFill="1" applyBorder="1" applyAlignment="1">
      <alignment vertical="center" wrapText="1"/>
    </xf>
    <xf numFmtId="4" fontId="20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4" fontId="7" fillId="0" borderId="8" xfId="0" applyNumberFormat="1" applyFont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left" vertical="center" wrapText="1"/>
    </xf>
    <xf numFmtId="0" fontId="7" fillId="6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rotX val="30"/>
      <c:rotY val="16"/>
      <c:perspective val="30"/>
    </c:view3D>
    <c:plotArea>
      <c:layout/>
      <c:pie3DChart>
        <c:varyColors val="1"/>
        <c:ser>
          <c:idx val="0"/>
          <c:order val="0"/>
          <c:explosion val="12"/>
          <c:dLbls>
            <c:dLbl>
              <c:idx val="0"/>
              <c:layout>
                <c:manualLayout>
                  <c:x val="2.7586198907065242E-2"/>
                  <c:y val="-8.2304508969355296E-3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1034479562826103E-2"/>
                  <c:y val="2.4691352690806606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2.2068959125652172E-2"/>
                  <c:y val="0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2.2068959125652172E-2"/>
                  <c:y val="-3.0178319955430272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4.4138063060747419E-2"/>
                  <c:y val="-1.6460901793871083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3.6781598542753612E-2"/>
                  <c:y val="-1.3717418161559209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3.3103438688478252E-2"/>
                  <c:y val="-1.0973934529247368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1.8390799271376806E-2"/>
                  <c:y val="-1.6461117816204327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9.1953996356884497E-3"/>
                  <c:y val="-1.9204385426182958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5.5172397814130681E-3"/>
                  <c:y val="-1.9204385426182958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3.4942518615616001E-2"/>
                  <c:y val="-1.3717418161559219E-2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6.2528717522681174E-2"/>
                  <c:y val="2.7434836323118501E-3"/>
                </c:manualLayout>
              </c:layout>
              <c:dLblPos val="bestFit"/>
              <c:showPercent val="1"/>
            </c:dLbl>
            <c:txPr>
              <a:bodyPr/>
              <a:lstStyle/>
              <a:p>
                <a:pPr>
                  <a:defRPr sz="1100">
                    <a:latin typeface="Times New Roman" pitchFamily="18" charset="0"/>
                    <a:cs typeface="Times New Roman" pitchFamily="18" charset="0"/>
                  </a:defRPr>
                </a:pPr>
                <a:endParaRPr lang="pl-PL"/>
              </a:p>
            </c:txPr>
            <c:dLblPos val="outEnd"/>
            <c:showPercent val="1"/>
            <c:showLeaderLines val="1"/>
          </c:dLbls>
          <c:cat>
            <c:strRef>
              <c:f>Arkusz2!$A$3:$A$14</c:f>
              <c:strCache>
                <c:ptCount val="12"/>
                <c:pt idx="0">
                  <c:v>Miejski Zarząd Dróg</c:v>
                </c:pt>
                <c:pt idx="1">
                  <c:v>#ADR!</c:v>
                </c:pt>
                <c:pt idx="2">
                  <c:v>#ADR!</c:v>
                </c:pt>
                <c:pt idx="3">
                  <c:v>Geopark Kielce</c:v>
                </c:pt>
                <c:pt idx="4">
                  <c:v>#ADR!</c:v>
                </c:pt>
                <c:pt idx="5">
                  <c:v>Wydział Edukacji, Kultury i Sportu</c:v>
                </c:pt>
                <c:pt idx="6">
                  <c:v>Miejski Ośrodek Pomocy Rodzinie</c:v>
                </c:pt>
                <c:pt idx="7">
                  <c:v>Wydział Inwestycji</c:v>
                </c:pt>
                <c:pt idx="8">
                  <c:v>Wydział Zarządzania Kryzysowego </c:v>
                </c:pt>
                <c:pt idx="9">
                  <c:v>Zakład Obsługi i Informatyki Urzędu Miasta</c:v>
                </c:pt>
                <c:pt idx="10">
                  <c:v>Wydział Środowiska i Usług Komunalnych</c:v>
                </c:pt>
                <c:pt idx="11">
                  <c:v>#ADR!</c:v>
                </c:pt>
              </c:strCache>
            </c:strRef>
          </c:cat>
          <c:val>
            <c:numRef>
              <c:f>Arkusz2!$B$3:$B$14</c:f>
              <c:numCache>
                <c:formatCode>#,##0.00</c:formatCode>
                <c:ptCount val="12"/>
                <c:pt idx="0">
                  <c:v>17873916.530000001</c:v>
                </c:pt>
                <c:pt idx="1">
                  <c:v>0</c:v>
                </c:pt>
                <c:pt idx="2">
                  <c:v>0</c:v>
                </c:pt>
                <c:pt idx="3">
                  <c:v>2436097.59</c:v>
                </c:pt>
                <c:pt idx="4">
                  <c:v>0</c:v>
                </c:pt>
                <c:pt idx="5">
                  <c:v>6966861.6799999997</c:v>
                </c:pt>
                <c:pt idx="6">
                  <c:v>943237.81</c:v>
                </c:pt>
                <c:pt idx="7">
                  <c:v>6108423.8700000001</c:v>
                </c:pt>
                <c:pt idx="8">
                  <c:v>161180</c:v>
                </c:pt>
                <c:pt idx="9">
                  <c:v>49657.78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</c:pie3DChart>
    </c:plotArea>
    <c:legend>
      <c:legendPos val="b"/>
      <c:txPr>
        <a:bodyPr/>
        <a:lstStyle/>
        <a:p>
          <a:pPr rtl="0">
            <a:defRPr sz="1100">
              <a:latin typeface="Times New Roman" pitchFamily="18" charset="0"/>
              <a:cs typeface="Times New Roman" pitchFamily="18" charset="0"/>
            </a:defRPr>
          </a:pPr>
          <a:endParaRPr lang="pl-PL"/>
        </a:p>
      </c:txPr>
    </c:legend>
    <c:plotVisOnly val="1"/>
    <c:dispBlanksAs val="zero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295273</xdr:colOff>
      <xdr:row>11</xdr:row>
      <xdr:rowOff>114299</xdr:rowOff>
    </xdr:from>
    <xdr:to>
      <xdr:col>18</xdr:col>
      <xdr:colOff>409575</xdr:colOff>
      <xdr:row>44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ta\AppData\Local\Microsoft\Windows\Temporary%20Internet%20Files\Content.Outlook\IL5WC2HP\Unijn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siewziecia UE"/>
      <sheetName val="Arkusz1"/>
      <sheetName val="Arkusz2"/>
      <sheetName val="Arkusz3"/>
      <sheetName val="Arkusz4"/>
      <sheetName val="Arkusz5"/>
      <sheetName val="Arkusz6"/>
    </sheetNames>
    <sheetDataSet>
      <sheetData sheetId="0">
        <row r="569">
          <cell r="L569">
            <v>228429915</v>
          </cell>
          <cell r="M569">
            <v>209798265.34</v>
          </cell>
        </row>
        <row r="570">
          <cell r="L570">
            <v>7113675</v>
          </cell>
          <cell r="M570">
            <v>6244546.2600000007</v>
          </cell>
        </row>
        <row r="571">
          <cell r="L571">
            <v>149857742</v>
          </cell>
          <cell r="M571">
            <v>136722909.25999999</v>
          </cell>
        </row>
        <row r="572">
          <cell r="L572">
            <v>62984803</v>
          </cell>
          <cell r="M572">
            <v>58600803.039999992</v>
          </cell>
        </row>
        <row r="573">
          <cell r="L573">
            <v>4383654</v>
          </cell>
          <cell r="M573">
            <v>4265988.21</v>
          </cell>
        </row>
        <row r="574">
          <cell r="L574">
            <v>29735</v>
          </cell>
          <cell r="M574">
            <v>29119.02</v>
          </cell>
        </row>
        <row r="575">
          <cell r="L575">
            <v>4060306</v>
          </cell>
          <cell r="M575">
            <v>3934899.55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806"/>
  <sheetViews>
    <sheetView tabSelected="1" view="pageBreakPreview" topLeftCell="A266" zoomScale="85" zoomScaleNormal="100" zoomScaleSheetLayoutView="85" zoomScalePageLayoutView="93" workbookViewId="0">
      <selection activeCell="N295" sqref="N295:N297"/>
    </sheetView>
  </sheetViews>
  <sheetFormatPr defaultRowHeight="11.25" outlineLevelRow="1"/>
  <cols>
    <col min="1" max="1" width="3" style="15" customWidth="1"/>
    <col min="2" max="2" width="12.7109375" style="15" customWidth="1"/>
    <col min="3" max="3" width="46.85546875" style="168" customWidth="1"/>
    <col min="4" max="4" width="5" style="9" customWidth="1"/>
    <col min="5" max="5" width="6.85546875" style="9" customWidth="1"/>
    <col min="6" max="6" width="26.28515625" style="15" customWidth="1"/>
    <col min="7" max="7" width="10.7109375" style="15" customWidth="1"/>
    <col min="8" max="8" width="12.28515625" style="15" customWidth="1"/>
    <col min="9" max="9" width="9.28515625" style="15" customWidth="1"/>
    <col min="10" max="11" width="9.5703125" style="15" customWidth="1"/>
    <col min="12" max="12" width="11.7109375" style="15" customWidth="1"/>
    <col min="13" max="13" width="9.28515625" style="15" customWidth="1"/>
    <col min="14" max="14" width="36.140625" style="123" customWidth="1"/>
    <col min="15" max="16384" width="9.140625" style="81"/>
  </cols>
  <sheetData>
    <row r="1" spans="1:14" s="1" customFormat="1" ht="12.75">
      <c r="C1" s="167"/>
      <c r="D1" s="159"/>
      <c r="H1" s="15"/>
      <c r="L1" s="161" t="s">
        <v>554</v>
      </c>
      <c r="M1" s="160"/>
      <c r="N1" s="117"/>
    </row>
    <row r="2" spans="1:14" ht="13.5" customHeight="1">
      <c r="N2" s="117"/>
    </row>
    <row r="3" spans="1:14" ht="13.5" customHeight="1">
      <c r="A3" s="161" t="s">
        <v>22</v>
      </c>
      <c r="N3" s="117"/>
    </row>
    <row r="4" spans="1:14" ht="13.5" customHeight="1">
      <c r="A4" s="161"/>
      <c r="N4" s="117"/>
    </row>
    <row r="5" spans="1:14" s="86" customFormat="1" ht="15" customHeight="1">
      <c r="A5" s="599" t="s">
        <v>35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</row>
    <row r="6" spans="1:14" ht="15.95" customHeight="1">
      <c r="M6" s="39"/>
      <c r="N6" s="140" t="s">
        <v>8</v>
      </c>
    </row>
    <row r="7" spans="1:14" ht="15.95" customHeight="1">
      <c r="A7" s="600" t="s">
        <v>17</v>
      </c>
      <c r="B7" s="600" t="s">
        <v>23</v>
      </c>
      <c r="C7" s="600"/>
      <c r="D7" s="604" t="s">
        <v>29</v>
      </c>
      <c r="E7" s="604" t="s">
        <v>36</v>
      </c>
      <c r="F7" s="600" t="s">
        <v>28</v>
      </c>
      <c r="G7" s="600"/>
      <c r="H7" s="600"/>
      <c r="I7" s="600"/>
      <c r="J7" s="601" t="s">
        <v>214</v>
      </c>
      <c r="K7" s="602"/>
      <c r="L7" s="602"/>
      <c r="M7" s="602"/>
      <c r="N7" s="603"/>
    </row>
    <row r="8" spans="1:14" s="82" customFormat="1" ht="48" customHeight="1">
      <c r="A8" s="600"/>
      <c r="B8" s="600"/>
      <c r="C8" s="600"/>
      <c r="D8" s="604"/>
      <c r="E8" s="604"/>
      <c r="F8" s="2" t="s">
        <v>18</v>
      </c>
      <c r="G8" s="3" t="s">
        <v>27</v>
      </c>
      <c r="H8" s="3" t="s">
        <v>307</v>
      </c>
      <c r="I8" s="197" t="s">
        <v>37</v>
      </c>
      <c r="J8" s="3" t="s">
        <v>20</v>
      </c>
      <c r="K8" s="3" t="s">
        <v>308</v>
      </c>
      <c r="L8" s="3" t="s">
        <v>309</v>
      </c>
      <c r="M8" s="197" t="s">
        <v>211</v>
      </c>
      <c r="N8" s="85" t="s">
        <v>5</v>
      </c>
    </row>
    <row r="9" spans="1:14" s="84" customFormat="1" ht="12" customHeight="1">
      <c r="A9" s="4" t="s">
        <v>9</v>
      </c>
      <c r="B9" s="607" t="s">
        <v>10</v>
      </c>
      <c r="C9" s="608"/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2</v>
      </c>
      <c r="K9" s="5" t="s">
        <v>3</v>
      </c>
      <c r="L9" s="5" t="s">
        <v>4</v>
      </c>
      <c r="M9" s="4" t="s">
        <v>31</v>
      </c>
      <c r="N9" s="118" t="s">
        <v>34</v>
      </c>
    </row>
    <row r="10" spans="1:14" s="83" customFormat="1" ht="3.95" customHeight="1">
      <c r="A10" s="6"/>
      <c r="B10" s="7"/>
      <c r="C10" s="169"/>
      <c r="D10" s="6"/>
      <c r="E10" s="6"/>
      <c r="F10" s="6"/>
      <c r="G10" s="6"/>
      <c r="H10" s="6"/>
      <c r="I10" s="6"/>
      <c r="J10" s="6"/>
      <c r="K10" s="8"/>
      <c r="L10" s="8"/>
      <c r="M10" s="6"/>
      <c r="N10" s="119"/>
    </row>
    <row r="11" spans="1:14" ht="11.45" customHeight="1">
      <c r="A11" s="10" t="s">
        <v>7</v>
      </c>
      <c r="B11" s="609" t="s">
        <v>24</v>
      </c>
      <c r="C11" s="610"/>
      <c r="D11" s="11"/>
      <c r="E11" s="11"/>
      <c r="F11" s="12"/>
      <c r="G11" s="98">
        <f>SUM(G12:G14)</f>
        <v>1942235630</v>
      </c>
      <c r="H11" s="98">
        <f>SUM(H12:H14)</f>
        <v>431676646.02999997</v>
      </c>
      <c r="I11" s="14">
        <f>IF(G11&gt;0,H11/G11*100,"-")</f>
        <v>22.225760837782591</v>
      </c>
      <c r="J11" s="98">
        <f>SUM(J12:J14)</f>
        <v>266829163</v>
      </c>
      <c r="K11" s="98">
        <f>SUM(K12:K14)</f>
        <v>266186134</v>
      </c>
      <c r="L11" s="13">
        <f>SUM(L12:L14)</f>
        <v>232575834.59999999</v>
      </c>
      <c r="M11" s="14">
        <f>IF(K11&gt;0,L11/K11*100,"-")</f>
        <v>87.373384595607817</v>
      </c>
      <c r="N11" s="120"/>
    </row>
    <row r="12" spans="1:14" ht="11.45" customHeight="1">
      <c r="A12" s="12"/>
      <c r="B12" s="605" t="s">
        <v>21</v>
      </c>
      <c r="C12" s="606"/>
      <c r="D12" s="11"/>
      <c r="E12" s="11"/>
      <c r="F12" s="16"/>
      <c r="G12" s="99">
        <f>G301+G18</f>
        <v>1913739909</v>
      </c>
      <c r="H12" s="99">
        <f>H301+H18</f>
        <v>421544750.33999997</v>
      </c>
      <c r="I12" s="18">
        <f>IF(G12&gt;0,H12/G12*100,"-")</f>
        <v>22.027274885032455</v>
      </c>
      <c r="J12" s="99">
        <f>J301+J18</f>
        <v>252791118</v>
      </c>
      <c r="K12" s="99">
        <f t="shared" ref="K12:L12" si="0">K301+K18</f>
        <v>253982191</v>
      </c>
      <c r="L12" s="17">
        <f t="shared" si="0"/>
        <v>226655047.25999999</v>
      </c>
      <c r="M12" s="18">
        <f>IF(K12&gt;0,L12/K12*100,"-")</f>
        <v>89.240527600614328</v>
      </c>
      <c r="N12" s="120"/>
    </row>
    <row r="13" spans="1:14" ht="11.45" customHeight="1">
      <c r="A13" s="12"/>
      <c r="B13" s="605" t="s">
        <v>215</v>
      </c>
      <c r="C13" s="606"/>
      <c r="D13" s="11"/>
      <c r="E13" s="11"/>
      <c r="F13" s="206"/>
      <c r="G13" s="99">
        <f t="shared" ref="G13:H13" si="1">G302</f>
        <v>275250</v>
      </c>
      <c r="H13" s="99">
        <f t="shared" si="1"/>
        <v>1705094</v>
      </c>
      <c r="I13" s="18">
        <f t="shared" ref="I13:I14" si="2">IF(G13&gt;0,H13/G13*100,"-")</f>
        <v>619.47102633969121</v>
      </c>
      <c r="J13" s="99">
        <f t="shared" ref="J13:L13" si="3">J302</f>
        <v>0</v>
      </c>
      <c r="K13" s="99">
        <f t="shared" si="3"/>
        <v>1429844</v>
      </c>
      <c r="L13" s="17">
        <f t="shared" si="3"/>
        <v>1429844</v>
      </c>
      <c r="M13" s="18">
        <f t="shared" ref="M13:M14" si="4">IF(K13&gt;0,L13/K13*100,"-")</f>
        <v>100</v>
      </c>
      <c r="N13" s="120"/>
    </row>
    <row r="14" spans="1:14" ht="11.45" customHeight="1">
      <c r="A14" s="12"/>
      <c r="B14" s="605" t="s">
        <v>25</v>
      </c>
      <c r="C14" s="606"/>
      <c r="D14" s="11"/>
      <c r="E14" s="11"/>
      <c r="F14" s="206"/>
      <c r="G14" s="99">
        <f>G303+G19</f>
        <v>28220471</v>
      </c>
      <c r="H14" s="99">
        <f>H303+H19</f>
        <v>8426801.6899999995</v>
      </c>
      <c r="I14" s="18">
        <f t="shared" si="2"/>
        <v>29.860599031107594</v>
      </c>
      <c r="J14" s="99">
        <f>J303+J19</f>
        <v>14038045</v>
      </c>
      <c r="K14" s="99">
        <f t="shared" ref="K14:L14" si="5">K303+K19</f>
        <v>10774099</v>
      </c>
      <c r="L14" s="17">
        <f t="shared" si="5"/>
        <v>4490943.34</v>
      </c>
      <c r="M14" s="18">
        <f t="shared" si="4"/>
        <v>41.682774030570904</v>
      </c>
      <c r="N14" s="120"/>
    </row>
    <row r="15" spans="1:14" ht="4.5" customHeight="1">
      <c r="A15" s="40"/>
      <c r="B15" s="41"/>
      <c r="C15" s="170"/>
      <c r="D15" s="42"/>
      <c r="E15" s="42"/>
      <c r="F15" s="40"/>
      <c r="G15" s="100"/>
      <c r="H15" s="100"/>
      <c r="I15" s="40"/>
      <c r="J15" s="100"/>
      <c r="K15" s="100"/>
      <c r="L15" s="43"/>
      <c r="M15" s="44"/>
      <c r="N15" s="121"/>
    </row>
    <row r="16" spans="1:14" s="262" customFormat="1" ht="5.25" customHeight="1">
      <c r="A16" s="253"/>
      <c r="B16" s="254"/>
      <c r="C16" s="255"/>
      <c r="D16" s="256"/>
      <c r="E16" s="256"/>
      <c r="F16" s="253"/>
      <c r="G16" s="257"/>
      <c r="H16" s="257"/>
      <c r="I16" s="258"/>
      <c r="J16" s="257"/>
      <c r="K16" s="257"/>
      <c r="L16" s="259"/>
      <c r="M16" s="260"/>
      <c r="N16" s="261"/>
    </row>
    <row r="17" spans="1:14" s="262" customFormat="1" ht="18" customHeight="1">
      <c r="A17" s="19" t="s">
        <v>412</v>
      </c>
      <c r="B17" s="611" t="s">
        <v>413</v>
      </c>
      <c r="C17" s="612"/>
      <c r="D17" s="250"/>
      <c r="E17" s="250"/>
      <c r="F17" s="21"/>
      <c r="G17" s="101">
        <f>G18+G19</f>
        <v>1658470652</v>
      </c>
      <c r="H17" s="101">
        <f>H18+H19</f>
        <v>321443240.02999997</v>
      </c>
      <c r="I17" s="263">
        <f>IF(G17&gt;0,H17/G17*100,"-")</f>
        <v>19.38190703841288</v>
      </c>
      <c r="J17" s="101">
        <f>J18+J19</f>
        <v>195447469</v>
      </c>
      <c r="K17" s="101">
        <f>K18+K19</f>
        <v>203207461</v>
      </c>
      <c r="L17" s="22">
        <f>L18+L19</f>
        <v>195203578.30000001</v>
      </c>
      <c r="M17" s="263">
        <f>IF(K17&gt;0,L17/K17*100,"-")</f>
        <v>96.061225970438173</v>
      </c>
      <c r="N17" s="184"/>
    </row>
    <row r="18" spans="1:14" s="262" customFormat="1" ht="10.5" customHeight="1">
      <c r="A18" s="21"/>
      <c r="B18" s="249" t="s">
        <v>21</v>
      </c>
      <c r="C18" s="264"/>
      <c r="D18" s="250"/>
      <c r="E18" s="250"/>
      <c r="F18" s="249"/>
      <c r="G18" s="102">
        <f>SUM(G24,G50,G71,G102,G117,G166,G236,G245,G268,G277,G291)</f>
        <v>1657144489</v>
      </c>
      <c r="H18" s="102">
        <f>SUM(H24,H50,H71,H102,H117,H166,H236,H245,H268,H277,H291)</f>
        <v>320943820.33999997</v>
      </c>
      <c r="I18" s="265">
        <f>IF(G18&gt;0,H18/G18*100,"-")</f>
        <v>19.367280431513414</v>
      </c>
      <c r="J18" s="102">
        <f>SUM(J24,J50,J71,J102,J117,J166,J236,J245,J268,J277)</f>
        <v>195085894</v>
      </c>
      <c r="K18" s="102">
        <f>SUM(K24,K50,K71,K102,K117,K166,K236,K245,K268,K277,K291)</f>
        <v>202616027</v>
      </c>
      <c r="L18" s="25">
        <f>SUM(L24,L50,L71,L102,L117,L166,L236,L245,L268,L277,L291)</f>
        <v>194765174.56</v>
      </c>
      <c r="M18" s="265">
        <f>IF(K18&gt;0,L18/K18*100,"-")</f>
        <v>96.125255955196479</v>
      </c>
      <c r="N18" s="184"/>
    </row>
    <row r="19" spans="1:14" s="262" customFormat="1" ht="10.5" customHeight="1">
      <c r="A19" s="21"/>
      <c r="B19" s="249" t="s">
        <v>25</v>
      </c>
      <c r="C19" s="264"/>
      <c r="D19" s="250"/>
      <c r="E19" s="250"/>
      <c r="F19" s="249"/>
      <c r="G19" s="102">
        <f>SUM(G72,G167,)</f>
        <v>1326163</v>
      </c>
      <c r="H19" s="102">
        <f>SUM(H77,H82,H87)</f>
        <v>499419.69</v>
      </c>
      <c r="I19" s="265">
        <f>IF(G19&gt;0,H19/G19*100,"-")</f>
        <v>37.65899742339365</v>
      </c>
      <c r="J19" s="102">
        <f>SUM(J77,J82,J87)</f>
        <v>361575</v>
      </c>
      <c r="K19" s="102">
        <f>SUM(K77,K82,K87,K97,K211)</f>
        <v>591434</v>
      </c>
      <c r="L19" s="25">
        <f>SUM(L77,L82,L87,L97,L211)</f>
        <v>438403.74000000005</v>
      </c>
      <c r="M19" s="265">
        <f>IF(K19&gt;0,L19/K19*100,"-")</f>
        <v>74.125555852385901</v>
      </c>
      <c r="N19" s="184"/>
    </row>
    <row r="20" spans="1:14" s="262" customFormat="1" ht="14.25" customHeight="1">
      <c r="A20" s="45"/>
      <c r="B20" s="46"/>
      <c r="C20" s="266"/>
      <c r="D20" s="251"/>
      <c r="E20" s="251"/>
      <c r="F20" s="45"/>
      <c r="G20" s="103"/>
      <c r="H20" s="103"/>
      <c r="I20" s="250"/>
      <c r="J20" s="103"/>
      <c r="K20" s="103"/>
      <c r="L20" s="48"/>
      <c r="M20" s="49"/>
      <c r="N20" s="185"/>
    </row>
    <row r="21" spans="1:14" s="262" customFormat="1" ht="3.75" hidden="1" customHeight="1">
      <c r="A21" s="50"/>
      <c r="B21" s="51"/>
      <c r="C21" s="267"/>
      <c r="D21" s="52"/>
      <c r="E21" s="52"/>
      <c r="F21" s="50"/>
      <c r="G21" s="104"/>
      <c r="H21" s="268"/>
      <c r="I21" s="52"/>
      <c r="J21" s="269"/>
      <c r="K21" s="104"/>
      <c r="L21" s="270"/>
      <c r="M21" s="54"/>
      <c r="N21" s="271"/>
    </row>
    <row r="22" spans="1:14" s="262" customFormat="1" ht="3.75" hidden="1" customHeight="1">
      <c r="A22" s="29"/>
      <c r="B22" s="32"/>
      <c r="C22" s="272"/>
      <c r="D22" s="28"/>
      <c r="E22" s="28"/>
      <c r="F22" s="29"/>
      <c r="G22" s="106"/>
      <c r="H22" s="273"/>
      <c r="I22" s="28"/>
      <c r="J22" s="274"/>
      <c r="K22" s="106"/>
      <c r="L22" s="275"/>
      <c r="M22" s="276"/>
      <c r="N22" s="277"/>
    </row>
    <row r="23" spans="1:14" ht="10.5" customHeight="1">
      <c r="A23" s="27" t="s">
        <v>6</v>
      </c>
      <c r="B23" s="588" t="s">
        <v>414</v>
      </c>
      <c r="C23" s="589"/>
      <c r="D23" s="28"/>
      <c r="E23" s="278"/>
      <c r="F23" s="29"/>
      <c r="G23" s="105"/>
      <c r="H23" s="105"/>
      <c r="I23" s="279"/>
      <c r="J23" s="105"/>
      <c r="K23" s="105"/>
      <c r="L23" s="30"/>
      <c r="M23" s="280"/>
      <c r="N23" s="281"/>
    </row>
    <row r="24" spans="1:14" ht="10.5" customHeight="1">
      <c r="A24" s="29"/>
      <c r="B24" s="282"/>
      <c r="C24" s="282"/>
      <c r="D24" s="28"/>
      <c r="E24" s="278"/>
      <c r="F24" s="33" t="s">
        <v>21</v>
      </c>
      <c r="G24" s="106">
        <f>SUM(G27,G38,G43)</f>
        <v>6023680</v>
      </c>
      <c r="H24" s="283">
        <f>SUM(H27,H38,H43)</f>
        <v>144097.82</v>
      </c>
      <c r="I24" s="284">
        <f>IF(G24&gt;0,H24/G24*100,"-")</f>
        <v>2.3921891601147474</v>
      </c>
      <c r="J24" s="106">
        <f>SUM(J27,J38,J43)</f>
        <v>104000</v>
      </c>
      <c r="K24" s="106">
        <f>SUM(K27,K38,K43)</f>
        <v>104000</v>
      </c>
      <c r="L24" s="34">
        <f>SUM(L27,L38,L43)</f>
        <v>76273.539999999994</v>
      </c>
      <c r="M24" s="284">
        <f>IF(K24&gt;0,L24/K24*100,"-")</f>
        <v>73.339942307692297</v>
      </c>
      <c r="N24" s="281"/>
    </row>
    <row r="25" spans="1:14" ht="10.5" customHeight="1">
      <c r="A25" s="29"/>
      <c r="B25" s="32"/>
      <c r="C25" s="272"/>
      <c r="D25" s="28"/>
      <c r="E25" s="278"/>
      <c r="F25" s="33"/>
      <c r="G25" s="106"/>
      <c r="H25" s="273"/>
      <c r="I25" s="285"/>
      <c r="J25" s="274"/>
      <c r="K25" s="106"/>
      <c r="L25" s="275"/>
      <c r="M25" s="106"/>
      <c r="N25" s="281"/>
    </row>
    <row r="26" spans="1:14" ht="3.95" customHeight="1">
      <c r="A26" s="29"/>
      <c r="B26" s="32"/>
      <c r="C26" s="272"/>
      <c r="D26" s="28"/>
      <c r="E26" s="278"/>
      <c r="F26" s="29"/>
      <c r="G26" s="106"/>
      <c r="H26" s="273"/>
      <c r="I26" s="286"/>
      <c r="J26" s="274"/>
      <c r="K26" s="106"/>
      <c r="L26" s="275"/>
      <c r="M26" s="59"/>
      <c r="N26" s="281"/>
    </row>
    <row r="27" spans="1:14" s="80" customFormat="1" ht="24" customHeight="1">
      <c r="A27" s="619" t="s">
        <v>6</v>
      </c>
      <c r="B27" s="61" t="s">
        <v>32</v>
      </c>
      <c r="C27" s="287" t="s">
        <v>415</v>
      </c>
      <c r="D27" s="629"/>
      <c r="E27" s="621"/>
      <c r="F27" s="288" t="s">
        <v>33</v>
      </c>
      <c r="G27" s="289">
        <f>SUM(G29:G36)</f>
        <v>824680</v>
      </c>
      <c r="H27" s="290">
        <f>SUM(H29:H36)</f>
        <v>144097.82</v>
      </c>
      <c r="I27" s="291">
        <f>IF(G27&gt;0,H27/G27*100,"-")</f>
        <v>17.473179900082457</v>
      </c>
      <c r="J27" s="290">
        <f>SUM(J29:J36)</f>
        <v>104000</v>
      </c>
      <c r="K27" s="290">
        <f>SUM(K29:K36)</f>
        <v>104000</v>
      </c>
      <c r="L27" s="292">
        <f>SUM(L29:L36)</f>
        <v>76273.539999999994</v>
      </c>
      <c r="M27" s="291">
        <f>IF(K27&gt;0,L27/K27*100,"-")</f>
        <v>73.339942307692297</v>
      </c>
      <c r="N27" s="622" t="s">
        <v>416</v>
      </c>
    </row>
    <row r="28" spans="1:14" s="80" customFormat="1" ht="23.25" customHeight="1">
      <c r="A28" s="582"/>
      <c r="B28" s="65" t="s">
        <v>26</v>
      </c>
      <c r="C28" s="293" t="s">
        <v>417</v>
      </c>
      <c r="D28" s="630"/>
      <c r="E28" s="583"/>
      <c r="F28" s="87" t="s">
        <v>21</v>
      </c>
      <c r="G28" s="89">
        <f>SUM(G30:G36)</f>
        <v>824680</v>
      </c>
      <c r="H28" s="294">
        <f>SUM(H30:H36)</f>
        <v>144097.82</v>
      </c>
      <c r="I28" s="295">
        <f t="shared" ref="I28:I36" si="6">IF(G28&gt;0,H28/G28*100,"-")</f>
        <v>17.473179900082457</v>
      </c>
      <c r="J28" s="294">
        <f>SUM(J30:J36)</f>
        <v>104000</v>
      </c>
      <c r="K28" s="294">
        <f>SUM(K30:K36)</f>
        <v>104000</v>
      </c>
      <c r="L28" s="296">
        <f>SUM(L30:L36)</f>
        <v>76273.539999999994</v>
      </c>
      <c r="M28" s="295">
        <f t="shared" ref="M28:M36" si="7">IF(K28&gt;0,L28/K28*100,"-")</f>
        <v>73.339942307692297</v>
      </c>
      <c r="N28" s="623"/>
    </row>
    <row r="29" spans="1:14" s="80" customFormat="1" ht="10.5" customHeight="1">
      <c r="A29" s="582"/>
      <c r="B29" s="65"/>
      <c r="C29" s="69"/>
      <c r="E29" s="247">
        <v>700</v>
      </c>
      <c r="F29" s="87"/>
      <c r="G29" s="89"/>
      <c r="H29" s="294"/>
      <c r="I29" s="295"/>
      <c r="J29" s="294"/>
      <c r="K29" s="294"/>
      <c r="L29" s="296"/>
      <c r="M29" s="291"/>
      <c r="N29" s="623"/>
    </row>
    <row r="30" spans="1:14" s="299" customFormat="1" ht="10.5" customHeight="1">
      <c r="A30" s="582"/>
      <c r="B30" s="297"/>
      <c r="C30" s="298"/>
      <c r="E30" s="247">
        <v>70095</v>
      </c>
      <c r="F30" s="87" t="s">
        <v>21</v>
      </c>
      <c r="G30" s="89">
        <v>231790</v>
      </c>
      <c r="H30" s="294">
        <v>20604.3</v>
      </c>
      <c r="I30" s="295">
        <f t="shared" si="6"/>
        <v>8.8892100608309246</v>
      </c>
      <c r="J30" s="294">
        <v>32000</v>
      </c>
      <c r="K30" s="294">
        <v>32000</v>
      </c>
      <c r="L30" s="300">
        <v>10814.49</v>
      </c>
      <c r="M30" s="295">
        <f t="shared" si="7"/>
        <v>33.795281249999995</v>
      </c>
      <c r="N30" s="623"/>
    </row>
    <row r="31" spans="1:14" s="299" customFormat="1" ht="10.5" customHeight="1">
      <c r="A31" s="582"/>
      <c r="B31" s="297"/>
      <c r="C31" s="298"/>
      <c r="E31" s="70"/>
      <c r="F31" s="87"/>
      <c r="G31" s="89"/>
      <c r="H31" s="294"/>
      <c r="I31" s="295"/>
      <c r="J31" s="294"/>
      <c r="K31" s="294"/>
      <c r="L31" s="300"/>
      <c r="M31" s="295"/>
      <c r="N31" s="623"/>
    </row>
    <row r="32" spans="1:14" s="299" customFormat="1" ht="14.25" customHeight="1">
      <c r="A32" s="582"/>
      <c r="B32" s="297"/>
      <c r="C32" s="298"/>
      <c r="D32" s="631" t="s">
        <v>418</v>
      </c>
      <c r="E32" s="247">
        <v>710</v>
      </c>
      <c r="F32" s="87"/>
      <c r="G32" s="89"/>
      <c r="H32" s="294"/>
      <c r="I32" s="295"/>
      <c r="J32" s="294"/>
      <c r="K32" s="294"/>
      <c r="L32" s="300"/>
      <c r="M32" s="295"/>
      <c r="N32" s="623"/>
    </row>
    <row r="33" spans="1:14" s="299" customFormat="1" ht="12" customHeight="1">
      <c r="A33" s="582"/>
      <c r="B33" s="297"/>
      <c r="C33" s="298"/>
      <c r="D33" s="631"/>
      <c r="E33" s="247">
        <v>71015</v>
      </c>
      <c r="F33" s="87" t="s">
        <v>21</v>
      </c>
      <c r="G33" s="89">
        <v>354966</v>
      </c>
      <c r="H33" s="294">
        <v>81649.570000000007</v>
      </c>
      <c r="I33" s="295">
        <f t="shared" si="6"/>
        <v>23.002081889533084</v>
      </c>
      <c r="J33" s="294">
        <v>42000</v>
      </c>
      <c r="K33" s="294">
        <v>42000</v>
      </c>
      <c r="L33" s="300">
        <v>41684.04</v>
      </c>
      <c r="M33" s="295">
        <f t="shared" si="7"/>
        <v>99.247714285714281</v>
      </c>
      <c r="N33" s="623"/>
    </row>
    <row r="34" spans="1:14" s="299" customFormat="1" ht="14.25" customHeight="1">
      <c r="A34" s="582"/>
      <c r="B34" s="297"/>
      <c r="C34" s="298"/>
      <c r="E34" s="70"/>
      <c r="F34" s="87"/>
      <c r="G34" s="89"/>
      <c r="H34" s="294"/>
      <c r="I34" s="295"/>
      <c r="J34" s="294"/>
      <c r="K34" s="294"/>
      <c r="L34" s="300"/>
      <c r="M34" s="295"/>
      <c r="N34" s="623"/>
    </row>
    <row r="35" spans="1:14" s="299" customFormat="1" ht="12.75" customHeight="1">
      <c r="A35" s="582"/>
      <c r="B35" s="297"/>
      <c r="C35" s="298"/>
      <c r="E35" s="301">
        <v>750</v>
      </c>
      <c r="F35" s="87"/>
      <c r="G35" s="89"/>
      <c r="H35" s="294"/>
      <c r="I35" s="295"/>
      <c r="J35" s="294"/>
      <c r="K35" s="294"/>
      <c r="L35" s="300"/>
      <c r="M35" s="295"/>
      <c r="N35" s="623"/>
    </row>
    <row r="36" spans="1:14" s="80" customFormat="1" ht="12" customHeight="1">
      <c r="A36" s="582"/>
      <c r="B36" s="65"/>
      <c r="C36" s="69"/>
      <c r="E36" s="247">
        <v>75075</v>
      </c>
      <c r="F36" s="87" t="s">
        <v>21</v>
      </c>
      <c r="G36" s="89">
        <v>237924</v>
      </c>
      <c r="H36" s="294">
        <v>41843.949999999997</v>
      </c>
      <c r="I36" s="295">
        <f t="shared" si="6"/>
        <v>17.587107647820311</v>
      </c>
      <c r="J36" s="294">
        <v>30000</v>
      </c>
      <c r="K36" s="294">
        <v>30000</v>
      </c>
      <c r="L36" s="300">
        <v>23775.01</v>
      </c>
      <c r="M36" s="295">
        <f t="shared" si="7"/>
        <v>79.25003333333332</v>
      </c>
      <c r="N36" s="623"/>
    </row>
    <row r="37" spans="1:14" s="80" customFormat="1" ht="35.25" customHeight="1">
      <c r="A37" s="620"/>
      <c r="B37" s="72"/>
      <c r="C37" s="73"/>
      <c r="D37" s="302"/>
      <c r="E37" s="303"/>
      <c r="F37" s="304"/>
      <c r="G37" s="114"/>
      <c r="H37" s="305"/>
      <c r="I37" s="75"/>
      <c r="J37" s="305"/>
      <c r="K37" s="305"/>
      <c r="L37" s="306"/>
      <c r="M37" s="75"/>
      <c r="N37" s="624"/>
    </row>
    <row r="38" spans="1:14" ht="33.75">
      <c r="A38" s="619" t="s">
        <v>39</v>
      </c>
      <c r="B38" s="61" t="s">
        <v>32</v>
      </c>
      <c r="C38" s="62" t="s">
        <v>419</v>
      </c>
      <c r="D38" s="92"/>
      <c r="E38" s="621"/>
      <c r="F38" s="288" t="s">
        <v>33</v>
      </c>
      <c r="G38" s="289">
        <f>SUM(G40:G42)</f>
        <v>4949000</v>
      </c>
      <c r="H38" s="290">
        <f>SUM(H40:H42)</f>
        <v>0</v>
      </c>
      <c r="I38" s="307">
        <f>IF(G38&gt;0,H38/G38*100,"-")</f>
        <v>0</v>
      </c>
      <c r="J38" s="290">
        <f>SUM(J40:J42)</f>
        <v>0</v>
      </c>
      <c r="K38" s="290">
        <f>SUM(K40:K42)</f>
        <v>0</v>
      </c>
      <c r="L38" s="292">
        <f>SUM(L40:L42)</f>
        <v>0</v>
      </c>
      <c r="M38" s="307" t="str">
        <f>IF(K38&gt;0,L38/K38*100,"-")</f>
        <v>-</v>
      </c>
      <c r="N38" s="622"/>
    </row>
    <row r="39" spans="1:14" ht="33" customHeight="1">
      <c r="A39" s="582"/>
      <c r="B39" s="65" t="s">
        <v>26</v>
      </c>
      <c r="C39" s="308" t="s">
        <v>420</v>
      </c>
      <c r="D39" s="625" t="s">
        <v>421</v>
      </c>
      <c r="E39" s="583"/>
      <c r="F39" s="87" t="s">
        <v>21</v>
      </c>
      <c r="G39" s="89">
        <f>SUM(G41:G42)</f>
        <v>4949000</v>
      </c>
      <c r="H39" s="294">
        <f>SUM(H41:H42)</f>
        <v>0</v>
      </c>
      <c r="I39" s="295">
        <f>IF(G39&gt;0,H39/G39*100,"-")</f>
        <v>0</v>
      </c>
      <c r="J39" s="294">
        <f>SUM(J41:J42)</f>
        <v>0</v>
      </c>
      <c r="K39" s="294">
        <f>SUM(K41:K42)</f>
        <v>0</v>
      </c>
      <c r="L39" s="296">
        <f>SUM(L41:L42)</f>
        <v>0</v>
      </c>
      <c r="M39" s="291" t="str">
        <f>IF(K39&gt;0,L39/K39*100,"-")</f>
        <v>-</v>
      </c>
      <c r="N39" s="623"/>
    </row>
    <row r="40" spans="1:14" ht="11.25" customHeight="1">
      <c r="A40" s="582"/>
      <c r="B40" s="65"/>
      <c r="C40" s="69"/>
      <c r="D40" s="625"/>
      <c r="E40" s="247">
        <v>750</v>
      </c>
      <c r="F40" s="87"/>
      <c r="G40" s="89"/>
      <c r="H40" s="294"/>
      <c r="I40" s="295"/>
      <c r="J40" s="294"/>
      <c r="K40" s="294"/>
      <c r="L40" s="296"/>
      <c r="M40" s="291"/>
      <c r="N40" s="623"/>
    </row>
    <row r="41" spans="1:14" ht="11.25" customHeight="1">
      <c r="A41" s="582"/>
      <c r="B41" s="297"/>
      <c r="C41" s="298"/>
      <c r="D41" s="625"/>
      <c r="E41" s="247">
        <v>75023</v>
      </c>
      <c r="F41" s="87" t="s">
        <v>21</v>
      </c>
      <c r="G41" s="89">
        <v>4949000</v>
      </c>
      <c r="H41" s="294">
        <v>0</v>
      </c>
      <c r="I41" s="295">
        <f>IF(G41&gt;0,H41/G41*100,"-")</f>
        <v>0</v>
      </c>
      <c r="J41" s="294">
        <v>0</v>
      </c>
      <c r="K41" s="294">
        <v>0</v>
      </c>
      <c r="L41" s="300">
        <v>0</v>
      </c>
      <c r="M41" s="291" t="str">
        <f>IF(K41&gt;0,L41/K41*100,"-")</f>
        <v>-</v>
      </c>
      <c r="N41" s="623"/>
    </row>
    <row r="42" spans="1:14" ht="18.75" customHeight="1">
      <c r="A42" s="620"/>
      <c r="B42" s="309"/>
      <c r="C42" s="310"/>
      <c r="D42" s="306"/>
      <c r="E42" s="311"/>
      <c r="F42" s="304"/>
      <c r="G42" s="114"/>
      <c r="H42" s="305"/>
      <c r="I42" s="312"/>
      <c r="J42" s="305"/>
      <c r="K42" s="305"/>
      <c r="L42" s="306"/>
      <c r="M42" s="313"/>
      <c r="N42" s="624"/>
    </row>
    <row r="43" spans="1:14" ht="33.75" customHeight="1">
      <c r="A43" s="619" t="s">
        <v>41</v>
      </c>
      <c r="B43" s="61" t="s">
        <v>32</v>
      </c>
      <c r="C43" s="62" t="s">
        <v>422</v>
      </c>
      <c r="D43" s="165"/>
      <c r="E43" s="621"/>
      <c r="F43" s="288" t="s">
        <v>33</v>
      </c>
      <c r="G43" s="289">
        <f>SUM(G45:G47)</f>
        <v>250000</v>
      </c>
      <c r="H43" s="290">
        <f>SUM(H45:H47)</f>
        <v>0</v>
      </c>
      <c r="I43" s="307">
        <f>IF(G43&gt;0,H43/G43*100,"-")</f>
        <v>0</v>
      </c>
      <c r="J43" s="290">
        <f>SUM(J45:J47)</f>
        <v>0</v>
      </c>
      <c r="K43" s="290">
        <f>SUM(K45:K47)</f>
        <v>0</v>
      </c>
      <c r="L43" s="292">
        <f>SUM(L45:L47)</f>
        <v>0</v>
      </c>
      <c r="M43" s="307" t="str">
        <f>IF(K43&gt;0,L43/K43*100,"-")</f>
        <v>-</v>
      </c>
      <c r="N43" s="622"/>
    </row>
    <row r="44" spans="1:14" ht="31.5" customHeight="1">
      <c r="A44" s="582"/>
      <c r="B44" s="65" t="s">
        <v>26</v>
      </c>
      <c r="C44" s="580" t="s">
        <v>423</v>
      </c>
      <c r="D44" s="625" t="s">
        <v>421</v>
      </c>
      <c r="E44" s="583"/>
      <c r="F44" s="87" t="s">
        <v>21</v>
      </c>
      <c r="G44" s="89">
        <f>SUM(G46:G47)</f>
        <v>250000</v>
      </c>
      <c r="H44" s="294">
        <f>SUM(H46:H47)</f>
        <v>0</v>
      </c>
      <c r="I44" s="295">
        <f>IF(G44&gt;0,H44/G44*100,"-")</f>
        <v>0</v>
      </c>
      <c r="J44" s="294">
        <f>SUM(J46:J47)</f>
        <v>0</v>
      </c>
      <c r="K44" s="294">
        <f>SUM(K46:K47)</f>
        <v>0</v>
      </c>
      <c r="L44" s="296">
        <f>SUM(L46:L47)</f>
        <v>0</v>
      </c>
      <c r="M44" s="291" t="str">
        <f>IF(K44&gt;0,L44/K44*100,"-")</f>
        <v>-</v>
      </c>
      <c r="N44" s="623"/>
    </row>
    <row r="45" spans="1:14">
      <c r="A45" s="582"/>
      <c r="B45" s="65"/>
      <c r="C45" s="69"/>
      <c r="D45" s="625"/>
      <c r="E45" s="574">
        <v>720</v>
      </c>
      <c r="F45" s="87"/>
      <c r="G45" s="89"/>
      <c r="H45" s="294"/>
      <c r="I45" s="295"/>
      <c r="J45" s="294"/>
      <c r="K45" s="294"/>
      <c r="L45" s="296"/>
      <c r="M45" s="291"/>
      <c r="N45" s="623"/>
    </row>
    <row r="46" spans="1:14">
      <c r="A46" s="582"/>
      <c r="B46" s="297"/>
      <c r="C46" s="298"/>
      <c r="D46" s="625"/>
      <c r="E46" s="574">
        <v>72095</v>
      </c>
      <c r="F46" s="87" t="s">
        <v>21</v>
      </c>
      <c r="G46" s="89">
        <v>250000</v>
      </c>
      <c r="H46" s="294">
        <v>0</v>
      </c>
      <c r="I46" s="295">
        <f>IF(G46&gt;0,H46/G46*100,"-")</f>
        <v>0</v>
      </c>
      <c r="J46" s="294">
        <v>0</v>
      </c>
      <c r="K46" s="294">
        <v>0</v>
      </c>
      <c r="L46" s="300">
        <v>0</v>
      </c>
      <c r="M46" s="291" t="str">
        <f>IF(K46&gt;0,L46/K46*100,"-")</f>
        <v>-</v>
      </c>
      <c r="N46" s="623"/>
    </row>
    <row r="47" spans="1:14">
      <c r="A47" s="620"/>
      <c r="B47" s="309"/>
      <c r="C47" s="310"/>
      <c r="D47" s="306"/>
      <c r="E47" s="311"/>
      <c r="F47" s="304"/>
      <c r="G47" s="114"/>
      <c r="H47" s="305"/>
      <c r="I47" s="312"/>
      <c r="J47" s="305"/>
      <c r="K47" s="305"/>
      <c r="L47" s="306"/>
      <c r="M47" s="313"/>
      <c r="N47" s="624"/>
    </row>
    <row r="48" spans="1:14">
      <c r="A48" s="50"/>
      <c r="B48" s="51"/>
      <c r="C48" s="267"/>
      <c r="D48" s="52"/>
      <c r="E48" s="52"/>
      <c r="F48" s="50"/>
      <c r="G48" s="104"/>
      <c r="H48" s="53"/>
      <c r="I48" s="50"/>
      <c r="J48" s="104"/>
      <c r="K48" s="104"/>
      <c r="L48" s="53"/>
      <c r="M48" s="54"/>
      <c r="N48" s="314"/>
    </row>
    <row r="49" spans="1:14">
      <c r="A49" s="27" t="s">
        <v>39</v>
      </c>
      <c r="B49" s="588" t="s">
        <v>45</v>
      </c>
      <c r="C49" s="589"/>
      <c r="D49" s="28"/>
      <c r="E49" s="28"/>
      <c r="F49" s="29"/>
      <c r="G49" s="105"/>
      <c r="H49" s="105"/>
      <c r="I49" s="31"/>
      <c r="J49" s="105"/>
      <c r="K49" s="105"/>
      <c r="L49" s="30"/>
      <c r="M49" s="31"/>
      <c r="N49" s="153"/>
    </row>
    <row r="50" spans="1:14">
      <c r="A50" s="29"/>
      <c r="B50" s="32"/>
      <c r="C50" s="272"/>
      <c r="D50" s="28"/>
      <c r="E50" s="28"/>
      <c r="F50" s="33" t="s">
        <v>21</v>
      </c>
      <c r="G50" s="106">
        <f>SUM(G66,G60,G55)</f>
        <v>4981503</v>
      </c>
      <c r="H50" s="106">
        <f>SUM(H55,H60,H66)</f>
        <v>794636.11</v>
      </c>
      <c r="I50" s="35">
        <f>IF(G50&gt;0,H50/G50*100,"-")</f>
        <v>15.951734044925796</v>
      </c>
      <c r="J50" s="106">
        <f>SUM(J55,J60,J66)</f>
        <v>741000</v>
      </c>
      <c r="K50" s="106">
        <f>SUM(K55,K60,K66)</f>
        <v>741000</v>
      </c>
      <c r="L50" s="34">
        <f>SUM(L55,L60,L66)</f>
        <v>555134.04</v>
      </c>
      <c r="M50" s="35">
        <f>IF(K50&gt;0,L50/K50*100,"-")</f>
        <v>74.916874493927139</v>
      </c>
      <c r="N50" s="153"/>
    </row>
    <row r="51" spans="1:14">
      <c r="A51" s="29"/>
      <c r="B51" s="32"/>
      <c r="C51" s="272"/>
      <c r="D51" s="28"/>
      <c r="E51" s="28"/>
      <c r="F51" s="33"/>
      <c r="G51" s="106"/>
      <c r="H51" s="106"/>
      <c r="I51" s="35"/>
      <c r="J51" s="106"/>
      <c r="K51" s="106"/>
      <c r="L51" s="34"/>
      <c r="M51" s="35"/>
      <c r="N51" s="153"/>
    </row>
    <row r="52" spans="1:14">
      <c r="A52" s="55"/>
      <c r="B52" s="56"/>
      <c r="C52" s="315"/>
      <c r="D52" s="57"/>
      <c r="E52" s="57"/>
      <c r="F52" s="55"/>
      <c r="G52" s="107"/>
      <c r="H52" s="107"/>
      <c r="I52" s="59"/>
      <c r="J52" s="107"/>
      <c r="K52" s="107"/>
      <c r="L52" s="58"/>
      <c r="M52" s="59"/>
      <c r="N52" s="316"/>
    </row>
    <row r="53" spans="1:14" ht="2.25" customHeight="1">
      <c r="A53" s="619" t="s">
        <v>6</v>
      </c>
      <c r="B53" s="61"/>
      <c r="C53" s="62"/>
      <c r="D53" s="60"/>
      <c r="E53" s="60"/>
      <c r="F53" s="61"/>
      <c r="G53" s="108"/>
      <c r="H53" s="108"/>
      <c r="I53" s="64"/>
      <c r="J53" s="108"/>
      <c r="K53" s="113"/>
      <c r="L53" s="63"/>
      <c r="M53" s="64"/>
      <c r="N53" s="626" t="s">
        <v>424</v>
      </c>
    </row>
    <row r="54" spans="1:14" ht="51" customHeight="1">
      <c r="A54" s="582"/>
      <c r="B54" s="65" t="s">
        <v>32</v>
      </c>
      <c r="C54" s="69" t="s">
        <v>425</v>
      </c>
      <c r="D54" s="383" t="s">
        <v>418</v>
      </c>
      <c r="E54" s="383">
        <v>710</v>
      </c>
      <c r="F54" s="66" t="s">
        <v>33</v>
      </c>
      <c r="G54" s="109">
        <f>SUM(G55:G56)</f>
        <v>3799939</v>
      </c>
      <c r="H54" s="109">
        <f>SUM(H55:H56)</f>
        <v>506387.38</v>
      </c>
      <c r="I54" s="37">
        <f>IF(G54&gt;0,H54/G54*100,"-")</f>
        <v>13.326197604751025</v>
      </c>
      <c r="J54" s="109">
        <f>SUM(J55:J56)</f>
        <v>521000</v>
      </c>
      <c r="K54" s="109">
        <f>SUM(K55:K56)</f>
        <v>521000</v>
      </c>
      <c r="L54" s="36">
        <f>SUM(L55:L56)</f>
        <v>353449.27</v>
      </c>
      <c r="M54" s="37">
        <f>IF(K54&gt;0,L54/K54*100,"-")</f>
        <v>67.840550863723621</v>
      </c>
      <c r="N54" s="627"/>
    </row>
    <row r="55" spans="1:14">
      <c r="A55" s="582"/>
      <c r="B55" s="65" t="s">
        <v>26</v>
      </c>
      <c r="C55" s="317" t="s">
        <v>426</v>
      </c>
      <c r="D55" s="383"/>
      <c r="E55" s="383"/>
      <c r="F55" s="67" t="s">
        <v>21</v>
      </c>
      <c r="G55" s="89">
        <v>3799939</v>
      </c>
      <c r="H55" s="89">
        <v>506387.38</v>
      </c>
      <c r="I55" s="68">
        <f>IF(G55&gt;0,H55/G55*100,"-")</f>
        <v>13.326197604751025</v>
      </c>
      <c r="J55" s="89">
        <v>521000</v>
      </c>
      <c r="K55" s="89">
        <v>521000</v>
      </c>
      <c r="L55" s="318">
        <v>353449.27</v>
      </c>
      <c r="M55" s="68">
        <f>IF(K55&gt;0,L55/K55*100,"-")</f>
        <v>67.840550863723621</v>
      </c>
      <c r="N55" s="627"/>
    </row>
    <row r="56" spans="1:14">
      <c r="A56" s="582"/>
      <c r="B56" s="65"/>
      <c r="C56" s="69"/>
      <c r="D56" s="383"/>
      <c r="E56" s="383"/>
      <c r="F56" s="67"/>
      <c r="G56" s="89"/>
      <c r="H56" s="89"/>
      <c r="I56" s="68"/>
      <c r="J56" s="89"/>
      <c r="K56" s="89"/>
      <c r="L56" s="70"/>
      <c r="M56" s="68"/>
      <c r="N56" s="627"/>
    </row>
    <row r="57" spans="1:14" ht="72.75" customHeight="1">
      <c r="A57" s="620"/>
      <c r="B57" s="72"/>
      <c r="C57" s="567"/>
      <c r="D57" s="568"/>
      <c r="E57" s="565">
        <v>71095</v>
      </c>
      <c r="F57" s="72"/>
      <c r="G57" s="110"/>
      <c r="H57" s="110"/>
      <c r="I57" s="75"/>
      <c r="J57" s="110"/>
      <c r="K57" s="114"/>
      <c r="L57" s="74"/>
      <c r="M57" s="75"/>
      <c r="N57" s="628"/>
    </row>
    <row r="58" spans="1:14">
      <c r="A58" s="619" t="s">
        <v>39</v>
      </c>
      <c r="B58" s="61"/>
      <c r="C58" s="62"/>
      <c r="D58" s="60"/>
      <c r="E58" s="60"/>
      <c r="F58" s="61"/>
      <c r="G58" s="108"/>
      <c r="H58" s="108"/>
      <c r="I58" s="64"/>
      <c r="J58" s="108"/>
      <c r="K58" s="113"/>
      <c r="L58" s="63"/>
      <c r="M58" s="64"/>
      <c r="N58" s="319"/>
    </row>
    <row r="59" spans="1:14" ht="22.5">
      <c r="A59" s="582"/>
      <c r="B59" s="65" t="s">
        <v>32</v>
      </c>
      <c r="C59" s="69" t="s">
        <v>427</v>
      </c>
      <c r="D59" s="583" t="s">
        <v>428</v>
      </c>
      <c r="E59" s="583">
        <v>710</v>
      </c>
      <c r="F59" s="66" t="s">
        <v>33</v>
      </c>
      <c r="G59" s="109">
        <f>SUM(G60:G61)</f>
        <v>401564</v>
      </c>
      <c r="H59" s="109">
        <f>SUM(H60:H61)</f>
        <v>159448.73000000001</v>
      </c>
      <c r="I59" s="37">
        <f>IF(G59&gt;0,H59/G59*100,"-")</f>
        <v>39.706928409917225</v>
      </c>
      <c r="J59" s="109">
        <f>SUM(J60:J61)</f>
        <v>90000</v>
      </c>
      <c r="K59" s="109">
        <f>SUM(K60:K61)</f>
        <v>90000</v>
      </c>
      <c r="L59" s="36">
        <f>SUM(L60:L61)</f>
        <v>72884.77</v>
      </c>
      <c r="M59" s="37">
        <f>IF(K59&gt;0,L59/K59*100,"-")</f>
        <v>80.98307777777778</v>
      </c>
      <c r="N59" s="632" t="s">
        <v>429</v>
      </c>
    </row>
    <row r="60" spans="1:14" ht="22.5">
      <c r="A60" s="582"/>
      <c r="B60" s="65" t="s">
        <v>26</v>
      </c>
      <c r="C60" s="69" t="s">
        <v>430</v>
      </c>
      <c r="D60" s="583"/>
      <c r="E60" s="583"/>
      <c r="F60" s="67" t="s">
        <v>21</v>
      </c>
      <c r="G60" s="89">
        <v>401564</v>
      </c>
      <c r="H60" s="89">
        <v>159448.73000000001</v>
      </c>
      <c r="I60" s="68">
        <f>IF(G60&gt;0,H60/G60*100,"-")</f>
        <v>39.706928409917225</v>
      </c>
      <c r="J60" s="89">
        <v>90000</v>
      </c>
      <c r="K60" s="89">
        <v>90000</v>
      </c>
      <c r="L60" s="320">
        <v>72884.77</v>
      </c>
      <c r="M60" s="321">
        <f>IF(K60&gt;0,L60/K60*100,"-")</f>
        <v>80.98307777777778</v>
      </c>
      <c r="N60" s="632"/>
    </row>
    <row r="61" spans="1:14">
      <c r="A61" s="582"/>
      <c r="B61" s="65"/>
      <c r="C61" s="69"/>
      <c r="D61" s="583"/>
      <c r="E61" s="583"/>
      <c r="F61" s="67"/>
      <c r="G61" s="89"/>
      <c r="H61" s="89"/>
      <c r="I61" s="68"/>
      <c r="J61" s="89"/>
      <c r="K61" s="89"/>
      <c r="L61" s="70"/>
      <c r="M61" s="68"/>
      <c r="N61" s="632"/>
    </row>
    <row r="62" spans="1:14">
      <c r="A62" s="582"/>
      <c r="B62" s="65"/>
      <c r="C62" s="69"/>
      <c r="D62" s="246"/>
      <c r="E62" s="246">
        <v>71095</v>
      </c>
      <c r="F62" s="67"/>
      <c r="G62" s="112"/>
      <c r="H62" s="112"/>
      <c r="I62" s="68"/>
      <c r="J62" s="112"/>
      <c r="K62" s="89"/>
      <c r="L62" s="322"/>
      <c r="M62" s="68"/>
      <c r="N62" s="323"/>
    </row>
    <row r="63" spans="1:14" ht="12.75" customHeight="1">
      <c r="A63" s="619" t="s">
        <v>41</v>
      </c>
      <c r="B63" s="61"/>
      <c r="C63" s="62"/>
      <c r="D63" s="324"/>
      <c r="E63" s="60"/>
      <c r="F63" s="287"/>
      <c r="G63" s="325"/>
      <c r="H63" s="113"/>
      <c r="I63" s="326"/>
      <c r="J63" s="108"/>
      <c r="K63" s="113"/>
      <c r="L63" s="327"/>
      <c r="M63" s="328"/>
      <c r="N63" s="633" t="s">
        <v>431</v>
      </c>
    </row>
    <row r="64" spans="1:14" ht="11.25" customHeight="1">
      <c r="A64" s="582"/>
      <c r="B64" s="65" t="s">
        <v>32</v>
      </c>
      <c r="C64" s="69" t="s">
        <v>432</v>
      </c>
      <c r="D64" s="630" t="s">
        <v>428</v>
      </c>
      <c r="E64" s="583">
        <v>710</v>
      </c>
      <c r="F64" s="329" t="s">
        <v>33</v>
      </c>
      <c r="G64" s="330">
        <f>SUM(G65:G66)</f>
        <v>780000</v>
      </c>
      <c r="H64" s="109">
        <f>SUM(H65:H66)</f>
        <v>128800</v>
      </c>
      <c r="I64" s="37">
        <f>IF(G64&gt;0,H64/G64*100,"-")</f>
        <v>16.512820512820515</v>
      </c>
      <c r="J64" s="331">
        <f>SUM(J65:J66)</f>
        <v>130000</v>
      </c>
      <c r="K64" s="109">
        <f>SUM(K65:K66)</f>
        <v>130000</v>
      </c>
      <c r="L64" s="36">
        <f>SUM(L65:L66)</f>
        <v>128800</v>
      </c>
      <c r="M64" s="332">
        <f>IF(K64&gt;0,L64/K64*100,"-")</f>
        <v>99.07692307692308</v>
      </c>
      <c r="N64" s="634"/>
    </row>
    <row r="65" spans="1:14">
      <c r="A65" s="582"/>
      <c r="B65" s="65" t="s">
        <v>26</v>
      </c>
      <c r="C65" s="69" t="s">
        <v>433</v>
      </c>
      <c r="D65" s="630"/>
      <c r="E65" s="583"/>
      <c r="F65" s="333"/>
      <c r="G65" s="334"/>
      <c r="H65" s="89"/>
      <c r="I65" s="335"/>
      <c r="J65" s="112"/>
      <c r="K65" s="89"/>
      <c r="L65" s="336"/>
      <c r="M65" s="337"/>
      <c r="N65" s="634"/>
    </row>
    <row r="66" spans="1:14">
      <c r="A66" s="582"/>
      <c r="B66" s="65"/>
      <c r="C66" s="69"/>
      <c r="D66" s="630"/>
      <c r="E66" s="583"/>
      <c r="F66" s="333" t="s">
        <v>21</v>
      </c>
      <c r="G66" s="334">
        <v>780000</v>
      </c>
      <c r="H66" s="89">
        <v>128800</v>
      </c>
      <c r="I66" s="335">
        <f>IF(G66&gt;0,H66/G66*100,"-")</f>
        <v>16.512820512820515</v>
      </c>
      <c r="J66" s="112">
        <v>130000</v>
      </c>
      <c r="K66" s="89">
        <v>130000</v>
      </c>
      <c r="L66" s="318">
        <v>128800</v>
      </c>
      <c r="M66" s="338">
        <f>IF(K66&gt;0,L66/K66*100,"-")</f>
        <v>99.07692307692308</v>
      </c>
      <c r="N66" s="634"/>
    </row>
    <row r="67" spans="1:14">
      <c r="A67" s="582"/>
      <c r="B67" s="65"/>
      <c r="C67" s="69"/>
      <c r="D67" s="339"/>
      <c r="E67" s="246">
        <v>71095</v>
      </c>
      <c r="F67" s="333"/>
      <c r="G67" s="334"/>
      <c r="H67" s="89"/>
      <c r="I67" s="335"/>
      <c r="J67" s="112"/>
      <c r="K67" s="89"/>
      <c r="L67" s="70"/>
      <c r="M67" s="338"/>
      <c r="N67" s="634"/>
    </row>
    <row r="68" spans="1:14">
      <c r="A68" s="620"/>
      <c r="B68" s="72"/>
      <c r="C68" s="73"/>
      <c r="D68" s="340"/>
      <c r="E68" s="220"/>
      <c r="F68" s="341"/>
      <c r="G68" s="342"/>
      <c r="H68" s="114"/>
      <c r="I68" s="343"/>
      <c r="J68" s="110"/>
      <c r="K68" s="114"/>
      <c r="L68" s="344"/>
      <c r="M68" s="345"/>
      <c r="N68" s="635"/>
    </row>
    <row r="69" spans="1:14">
      <c r="A69" s="50"/>
      <c r="B69" s="51"/>
      <c r="C69" s="267"/>
      <c r="D69" s="52"/>
      <c r="E69" s="52"/>
      <c r="F69" s="50"/>
      <c r="G69" s="104"/>
      <c r="H69" s="104"/>
      <c r="I69" s="50"/>
      <c r="J69" s="104"/>
      <c r="K69" s="104"/>
      <c r="L69" s="53"/>
      <c r="M69" s="54"/>
      <c r="N69" s="314"/>
    </row>
    <row r="70" spans="1:14">
      <c r="A70" s="27" t="s">
        <v>41</v>
      </c>
      <c r="B70" s="588" t="s">
        <v>434</v>
      </c>
      <c r="C70" s="589"/>
      <c r="D70" s="28"/>
      <c r="E70" s="28"/>
      <c r="F70" s="29"/>
      <c r="G70" s="105">
        <f>SUM(G71:G72)</f>
        <v>9046238</v>
      </c>
      <c r="H70" s="105">
        <f>SUM(H71:H72)</f>
        <v>874345.87</v>
      </c>
      <c r="I70" s="31">
        <f>IF(G70&gt;0,H70/G70*100,"-")</f>
        <v>9.6652981051349744</v>
      </c>
      <c r="J70" s="105">
        <f>SUM(J71:J72)</f>
        <v>1046519</v>
      </c>
      <c r="K70" s="105">
        <f>SUM(K71:K72)</f>
        <v>1420641</v>
      </c>
      <c r="L70" s="30">
        <f>L71+L72</f>
        <v>1303292.9700000002</v>
      </c>
      <c r="M70" s="31">
        <f>IF(K70&gt;0,L70/K70*100,"-")</f>
        <v>91.739782957129933</v>
      </c>
      <c r="N70" s="153"/>
    </row>
    <row r="71" spans="1:14">
      <c r="A71" s="29"/>
      <c r="B71" s="32"/>
      <c r="C71" s="272"/>
      <c r="D71" s="28"/>
      <c r="E71" s="28"/>
      <c r="F71" s="33" t="s">
        <v>21</v>
      </c>
      <c r="G71" s="106">
        <f>SUM(G76,G81,G86,G92,G96)</f>
        <v>7723675</v>
      </c>
      <c r="H71" s="106">
        <f>SUM(H76,H81,H86,H92)</f>
        <v>374926.18</v>
      </c>
      <c r="I71" s="35">
        <f>IF(G71&gt;0,H71/G71*100,"-")</f>
        <v>4.8542459386237766</v>
      </c>
      <c r="J71" s="106">
        <f>SUM(J76,J81,J86,J92)</f>
        <v>684944</v>
      </c>
      <c r="K71" s="106">
        <f>SUM(K76,K81,K86,K92,K96)</f>
        <v>832087</v>
      </c>
      <c r="L71" s="34">
        <f>SUM(L76,L81,L86,L92,L96)</f>
        <v>866648.67</v>
      </c>
      <c r="M71" s="35">
        <f>IF(K71&gt;0,L71/K71*100,"-")</f>
        <v>104.15361254291919</v>
      </c>
      <c r="N71" s="153"/>
    </row>
    <row r="72" spans="1:14">
      <c r="A72" s="29"/>
      <c r="B72" s="32"/>
      <c r="C72" s="272"/>
      <c r="D72" s="28"/>
      <c r="E72" s="28"/>
      <c r="F72" s="33" t="s">
        <v>435</v>
      </c>
      <c r="G72" s="106">
        <f>SUM(G77,G82,G87,G97)</f>
        <v>1322563</v>
      </c>
      <c r="H72" s="106">
        <f>SUM(H77,H82,H87,)</f>
        <v>499419.69</v>
      </c>
      <c r="I72" s="35">
        <f>IF(G72&gt;0,H72/G72*100,"-")</f>
        <v>37.761504744953548</v>
      </c>
      <c r="J72" s="106">
        <f>SUM(J77,J82,J87,)</f>
        <v>361575</v>
      </c>
      <c r="K72" s="106">
        <f>SUM(K77,K82,K87,K97)</f>
        <v>588554</v>
      </c>
      <c r="L72" s="34">
        <f>SUM(L77,L82,L87,L97)</f>
        <v>436644.30000000005</v>
      </c>
      <c r="M72" s="35">
        <f>IF(K72&gt;0,L72/K72*100,"-")</f>
        <v>74.189335218178798</v>
      </c>
      <c r="N72" s="153"/>
    </row>
    <row r="73" spans="1:14">
      <c r="A73" s="55"/>
      <c r="B73" s="56"/>
      <c r="C73" s="315"/>
      <c r="D73" s="57"/>
      <c r="E73" s="57"/>
      <c r="F73" s="55"/>
      <c r="G73" s="106"/>
      <c r="H73" s="106"/>
      <c r="I73" s="35"/>
      <c r="J73" s="106"/>
      <c r="K73" s="106"/>
      <c r="L73" s="34"/>
      <c r="M73" s="59"/>
      <c r="N73" s="316"/>
    </row>
    <row r="74" spans="1:14" ht="11.25" customHeight="1">
      <c r="A74" s="619" t="s">
        <v>6</v>
      </c>
      <c r="B74" s="61"/>
      <c r="C74" s="62"/>
      <c r="D74" s="60"/>
      <c r="E74" s="60"/>
      <c r="F74" s="61"/>
      <c r="G74" s="108"/>
      <c r="H74" s="113"/>
      <c r="I74" s="326"/>
      <c r="J74" s="113"/>
      <c r="K74" s="325"/>
      <c r="L74" s="327"/>
      <c r="M74" s="328"/>
      <c r="N74" s="636" t="s">
        <v>436</v>
      </c>
    </row>
    <row r="75" spans="1:14">
      <c r="A75" s="582"/>
      <c r="B75" s="65" t="s">
        <v>32</v>
      </c>
      <c r="C75" s="69" t="s">
        <v>437</v>
      </c>
      <c r="D75" s="583" t="s">
        <v>418</v>
      </c>
      <c r="E75" s="583">
        <v>730</v>
      </c>
      <c r="F75" s="346" t="s">
        <v>33</v>
      </c>
      <c r="G75" s="331">
        <f>SUM(G76:G77)</f>
        <v>293849</v>
      </c>
      <c r="H75" s="109">
        <f>SUM(H76:H77)</f>
        <v>273020.89</v>
      </c>
      <c r="I75" s="347">
        <f>IF(G75&gt;0,H75/G75*100,"-")</f>
        <v>92.911968391929193</v>
      </c>
      <c r="J75" s="109">
        <f>SUM(J76:J77)</f>
        <v>167850</v>
      </c>
      <c r="K75" s="330">
        <f>SUM(K76:K77)</f>
        <v>182716</v>
      </c>
      <c r="L75" s="36">
        <f>SUM(L76:L77)</f>
        <v>162338.77000000002</v>
      </c>
      <c r="M75" s="332">
        <f>IF(K75&gt;0,L75/K75*100,"-")</f>
        <v>88.847594080430852</v>
      </c>
      <c r="N75" s="637"/>
    </row>
    <row r="76" spans="1:14" ht="22.5">
      <c r="A76" s="582"/>
      <c r="B76" s="65" t="s">
        <v>26</v>
      </c>
      <c r="C76" s="69" t="s">
        <v>438</v>
      </c>
      <c r="D76" s="583"/>
      <c r="E76" s="583"/>
      <c r="F76" s="87" t="s">
        <v>21</v>
      </c>
      <c r="G76" s="348">
        <v>29385</v>
      </c>
      <c r="H76" s="349">
        <v>27301</v>
      </c>
      <c r="I76" s="335">
        <f>IF(G76&gt;0,H76/G76*100,"-")</f>
        <v>92.90794623107027</v>
      </c>
      <c r="J76" s="350">
        <v>16785</v>
      </c>
      <c r="K76" s="351">
        <v>18272</v>
      </c>
      <c r="L76" s="352">
        <v>16233.88</v>
      </c>
      <c r="M76" s="338">
        <f>IF(K76&gt;0,L76/K76*100,"-")</f>
        <v>88.845665499124337</v>
      </c>
      <c r="N76" s="637"/>
    </row>
    <row r="77" spans="1:14" ht="11.25" customHeight="1">
      <c r="A77" s="582"/>
      <c r="B77" s="65"/>
      <c r="C77" s="69"/>
      <c r="D77" s="583"/>
      <c r="E77" s="583"/>
      <c r="F77" s="87" t="s">
        <v>25</v>
      </c>
      <c r="G77" s="348">
        <v>264464</v>
      </c>
      <c r="H77" s="349">
        <v>245719.89</v>
      </c>
      <c r="I77" s="335">
        <f>IF(G77&gt;0,H77/G77*100,"-")</f>
        <v>92.912415300381156</v>
      </c>
      <c r="J77" s="350">
        <v>151065</v>
      </c>
      <c r="K77" s="351">
        <v>164444</v>
      </c>
      <c r="L77" s="353">
        <v>146104.89000000001</v>
      </c>
      <c r="M77" s="338">
        <f>IF(K77&gt;0,L77/K77*100,"-")</f>
        <v>88.847808372455077</v>
      </c>
      <c r="N77" s="637"/>
    </row>
    <row r="78" spans="1:14" ht="21.75" customHeight="1">
      <c r="A78" s="620"/>
      <c r="B78" s="72"/>
      <c r="C78" s="73"/>
      <c r="D78" s="639"/>
      <c r="E78" s="71">
        <v>73006</v>
      </c>
      <c r="F78" s="72"/>
      <c r="G78" s="112"/>
      <c r="H78" s="89"/>
      <c r="I78" s="335"/>
      <c r="J78" s="89"/>
      <c r="K78" s="354"/>
      <c r="L78" s="318"/>
      <c r="M78" s="345"/>
      <c r="N78" s="638"/>
    </row>
    <row r="79" spans="1:14" ht="12" customHeight="1">
      <c r="A79" s="619" t="s">
        <v>39</v>
      </c>
      <c r="B79" s="61"/>
      <c r="C79" s="62"/>
      <c r="D79" s="571"/>
      <c r="E79" s="571"/>
      <c r="F79" s="61"/>
      <c r="G79" s="108"/>
      <c r="H79" s="113"/>
      <c r="I79" s="326"/>
      <c r="J79" s="113"/>
      <c r="K79" s="355"/>
      <c r="L79" s="327"/>
      <c r="M79" s="326"/>
      <c r="N79" s="640" t="s">
        <v>439</v>
      </c>
    </row>
    <row r="80" spans="1:14" ht="26.25" customHeight="1">
      <c r="A80" s="582"/>
      <c r="B80" s="65" t="s">
        <v>32</v>
      </c>
      <c r="C80" s="69" t="s">
        <v>440</v>
      </c>
      <c r="D80" s="583" t="s">
        <v>428</v>
      </c>
      <c r="E80" s="583">
        <v>730</v>
      </c>
      <c r="F80" s="346" t="s">
        <v>33</v>
      </c>
      <c r="G80" s="331">
        <f>SUM(G81:G82)</f>
        <v>388300</v>
      </c>
      <c r="H80" s="109">
        <f>SUM(H81:H82)</f>
        <v>281888.21999999997</v>
      </c>
      <c r="I80" s="347">
        <f>IF(G80&gt;0,H80/G80*100,"-")</f>
        <v>72.59547257275301</v>
      </c>
      <c r="J80" s="109">
        <f>SUM(J81:J82)</f>
        <v>233900</v>
      </c>
      <c r="K80" s="356">
        <f>SUM(K81:K82)</f>
        <v>241524</v>
      </c>
      <c r="L80" s="36">
        <f>SUM(L81:L82)</f>
        <v>233692</v>
      </c>
      <c r="M80" s="347">
        <f>IF(K80&gt;0,L80/K80*100,"-")</f>
        <v>96.75725807787218</v>
      </c>
      <c r="N80" s="641"/>
    </row>
    <row r="81" spans="1:14" ht="15.75" customHeight="1">
      <c r="A81" s="582"/>
      <c r="B81" s="65" t="s">
        <v>26</v>
      </c>
      <c r="C81" s="643" t="s">
        <v>441</v>
      </c>
      <c r="D81" s="583"/>
      <c r="E81" s="583"/>
      <c r="F81" s="87" t="s">
        <v>21</v>
      </c>
      <c r="G81" s="348">
        <v>38450</v>
      </c>
      <c r="H81" s="349">
        <f>7997+20191.42</f>
        <v>28188.42</v>
      </c>
      <c r="I81" s="335">
        <f>IF(G81&gt;0,H81/G81*100,"-")</f>
        <v>73.311885565669698</v>
      </c>
      <c r="J81" s="350">
        <v>23390</v>
      </c>
      <c r="K81" s="351">
        <v>24152</v>
      </c>
      <c r="L81" s="336">
        <v>22682.799999999999</v>
      </c>
      <c r="M81" s="357">
        <f>IF(K81&gt;0,L81/K81*100,"-")</f>
        <v>93.916859887379928</v>
      </c>
      <c r="N81" s="641"/>
    </row>
    <row r="82" spans="1:14" ht="50.25" customHeight="1">
      <c r="A82" s="582"/>
      <c r="B82" s="65"/>
      <c r="C82" s="643"/>
      <c r="D82" s="583"/>
      <c r="E82" s="583"/>
      <c r="F82" s="87" t="s">
        <v>435</v>
      </c>
      <c r="G82" s="348">
        <v>349850</v>
      </c>
      <c r="H82" s="349">
        <v>253699.8</v>
      </c>
      <c r="I82" s="335">
        <f>IF(G82&gt;0,H82/G82*100,"-")</f>
        <v>72.516735743890237</v>
      </c>
      <c r="J82" s="350">
        <v>210510</v>
      </c>
      <c r="K82" s="351">
        <v>217372</v>
      </c>
      <c r="L82" s="336">
        <v>211009.2</v>
      </c>
      <c r="M82" s="357">
        <f>IF(K82&gt;0,L82/K82*100,"-")</f>
        <v>97.07285206926376</v>
      </c>
      <c r="N82" s="641"/>
    </row>
    <row r="83" spans="1:14" ht="10.5" customHeight="1">
      <c r="A83" s="620"/>
      <c r="B83" s="72"/>
      <c r="C83" s="73"/>
      <c r="D83" s="573"/>
      <c r="E83" s="573">
        <v>73006</v>
      </c>
      <c r="F83" s="304"/>
      <c r="G83" s="110"/>
      <c r="H83" s="114"/>
      <c r="I83" s="343"/>
      <c r="J83" s="114"/>
      <c r="K83" s="358"/>
      <c r="L83" s="344"/>
      <c r="M83" s="343"/>
      <c r="N83" s="642"/>
    </row>
    <row r="84" spans="1:14" ht="12.75" customHeight="1">
      <c r="A84" s="619" t="s">
        <v>41</v>
      </c>
      <c r="B84" s="61"/>
      <c r="C84" s="62"/>
      <c r="D84" s="60"/>
      <c r="E84" s="60"/>
      <c r="F84" s="61"/>
      <c r="G84" s="112"/>
      <c r="H84" s="115"/>
      <c r="I84" s="335"/>
      <c r="J84" s="89"/>
      <c r="K84" s="354"/>
      <c r="L84" s="318"/>
      <c r="M84" s="328"/>
      <c r="N84" s="644" t="s">
        <v>442</v>
      </c>
    </row>
    <row r="85" spans="1:14">
      <c r="A85" s="582"/>
      <c r="B85" s="65" t="s">
        <v>32</v>
      </c>
      <c r="C85" s="69" t="s">
        <v>443</v>
      </c>
      <c r="D85" s="583" t="s">
        <v>428</v>
      </c>
      <c r="E85" s="647">
        <v>730</v>
      </c>
      <c r="F85" s="346" t="s">
        <v>33</v>
      </c>
      <c r="G85" s="331">
        <f>SUM(G86:G87)</f>
        <v>466000</v>
      </c>
      <c r="H85" s="217">
        <f>SUM(H86:H87)</f>
        <v>0</v>
      </c>
      <c r="I85" s="347">
        <f>IF(G85&gt;0,H85/G85*100,"-")</f>
        <v>0</v>
      </c>
      <c r="J85" s="109">
        <f>SUM(J86:J87)</f>
        <v>0</v>
      </c>
      <c r="K85" s="356">
        <f>SUM(K86:K87)</f>
        <v>125600</v>
      </c>
      <c r="L85" s="36">
        <f>SUM(L86:L87)</f>
        <v>52179.26</v>
      </c>
      <c r="M85" s="332">
        <f>IF(K85&gt;0,L85/K85*100,"-")</f>
        <v>41.543996815286626</v>
      </c>
      <c r="N85" s="645"/>
    </row>
    <row r="86" spans="1:14" ht="22.5">
      <c r="A86" s="582"/>
      <c r="B86" s="65" t="s">
        <v>26</v>
      </c>
      <c r="C86" s="69" t="s">
        <v>441</v>
      </c>
      <c r="D86" s="583"/>
      <c r="E86" s="647"/>
      <c r="F86" s="87" t="s">
        <v>21</v>
      </c>
      <c r="G86" s="348">
        <v>47100</v>
      </c>
      <c r="H86" s="359">
        <v>0</v>
      </c>
      <c r="I86" s="335">
        <f>IF(G86&gt;0,H86/G86*100,"-")</f>
        <v>0</v>
      </c>
      <c r="J86" s="89">
        <v>0</v>
      </c>
      <c r="K86" s="354">
        <v>0</v>
      </c>
      <c r="L86" s="336">
        <v>0</v>
      </c>
      <c r="M86" s="337" t="str">
        <f>IF(K86&gt;0,L86/K86*100,"-")</f>
        <v>-</v>
      </c>
      <c r="N86" s="645"/>
    </row>
    <row r="87" spans="1:14">
      <c r="A87" s="582"/>
      <c r="B87" s="65"/>
      <c r="C87" s="69"/>
      <c r="D87" s="583"/>
      <c r="E87" s="647"/>
      <c r="F87" s="87" t="s">
        <v>435</v>
      </c>
      <c r="G87" s="348">
        <v>418900</v>
      </c>
      <c r="H87" s="359">
        <v>0</v>
      </c>
      <c r="I87" s="335">
        <v>0</v>
      </c>
      <c r="J87" s="89">
        <v>0</v>
      </c>
      <c r="K87" s="354">
        <v>125600</v>
      </c>
      <c r="L87" s="70">
        <v>52179.26</v>
      </c>
      <c r="M87" s="338"/>
      <c r="N87" s="645"/>
    </row>
    <row r="88" spans="1:14" ht="43.5" customHeight="1">
      <c r="A88" s="582"/>
      <c r="B88" s="65"/>
      <c r="C88" s="69"/>
      <c r="D88" s="246"/>
      <c r="E88" s="246">
        <v>73006</v>
      </c>
      <c r="F88" s="87"/>
      <c r="G88" s="112"/>
      <c r="H88" s="115"/>
      <c r="I88" s="335"/>
      <c r="J88" s="89"/>
      <c r="K88" s="354"/>
      <c r="L88" s="318"/>
      <c r="M88" s="338"/>
      <c r="N88" s="646"/>
    </row>
    <row r="89" spans="1:14" ht="3" customHeight="1">
      <c r="A89" s="619" t="s">
        <v>42</v>
      </c>
      <c r="B89" s="61"/>
      <c r="C89" s="62"/>
      <c r="D89" s="324"/>
      <c r="E89" s="60"/>
      <c r="F89" s="360"/>
      <c r="G89" s="108"/>
      <c r="H89" s="108"/>
      <c r="I89" s="64"/>
      <c r="J89" s="325"/>
      <c r="K89" s="361"/>
      <c r="L89" s="362"/>
      <c r="M89" s="64"/>
      <c r="N89" s="319"/>
    </row>
    <row r="90" spans="1:14" ht="78" customHeight="1">
      <c r="A90" s="582"/>
      <c r="B90" s="65" t="s">
        <v>32</v>
      </c>
      <c r="C90" s="69" t="s">
        <v>444</v>
      </c>
      <c r="D90" s="630" t="s">
        <v>428</v>
      </c>
      <c r="E90" s="583">
        <v>710</v>
      </c>
      <c r="F90" s="363" t="s">
        <v>33</v>
      </c>
      <c r="G90" s="331">
        <f>SUM(G91:G92)</f>
        <v>7576591</v>
      </c>
      <c r="H90" s="331">
        <f>SUM(H91:H92)</f>
        <v>319436.76</v>
      </c>
      <c r="I90" s="37">
        <f>IF(G90&gt;0,H90/G90*100,"-")</f>
        <v>4.2161014102516559</v>
      </c>
      <c r="J90" s="330">
        <f>SUM(J91:J92)</f>
        <v>644769</v>
      </c>
      <c r="K90" s="364">
        <f>SUM(K91:K92)</f>
        <v>761001</v>
      </c>
      <c r="L90" s="365">
        <f>SUM(L91:L92)</f>
        <v>758468.45</v>
      </c>
      <c r="M90" s="37">
        <f>IF(K90&gt;0,L90/K90*100,"-")</f>
        <v>99.667208058859316</v>
      </c>
      <c r="N90" s="632" t="s">
        <v>445</v>
      </c>
    </row>
    <row r="91" spans="1:14" ht="45">
      <c r="A91" s="582"/>
      <c r="B91" s="65" t="s">
        <v>26</v>
      </c>
      <c r="C91" s="69" t="s">
        <v>446</v>
      </c>
      <c r="D91" s="630"/>
      <c r="E91" s="583"/>
      <c r="F91" s="241"/>
      <c r="G91" s="112"/>
      <c r="H91" s="112"/>
      <c r="I91" s="68"/>
      <c r="J91" s="334"/>
      <c r="K91" s="366"/>
      <c r="L91" s="320"/>
      <c r="M91" s="321"/>
      <c r="N91" s="632"/>
    </row>
    <row r="92" spans="1:14">
      <c r="A92" s="582"/>
      <c r="B92" s="65"/>
      <c r="C92" s="69"/>
      <c r="D92" s="630"/>
      <c r="E92" s="583"/>
      <c r="F92" s="241" t="s">
        <v>21</v>
      </c>
      <c r="G92" s="348">
        <v>7576591</v>
      </c>
      <c r="H92" s="348">
        <v>319436.76</v>
      </c>
      <c r="I92" s="68">
        <f>IF(G92&gt;0,H92/G92*100,"-")</f>
        <v>4.2161014102516559</v>
      </c>
      <c r="J92" s="367">
        <v>644769</v>
      </c>
      <c r="K92" s="368">
        <v>761001</v>
      </c>
      <c r="L92" s="369">
        <v>758468.45</v>
      </c>
      <c r="M92" s="68">
        <f>IF(K92&gt;0,L92/K92*100,"-")</f>
        <v>99.667208058859316</v>
      </c>
      <c r="N92" s="632"/>
    </row>
    <row r="93" spans="1:14">
      <c r="A93" s="620"/>
      <c r="B93" s="72"/>
      <c r="C93" s="73"/>
      <c r="D93" s="302"/>
      <c r="E93" s="71">
        <v>71095</v>
      </c>
      <c r="F93" s="370"/>
      <c r="G93" s="110"/>
      <c r="H93" s="110"/>
      <c r="I93" s="75"/>
      <c r="J93" s="342"/>
      <c r="K93" s="371"/>
      <c r="L93" s="372"/>
      <c r="M93" s="75"/>
      <c r="N93" s="373"/>
    </row>
    <row r="94" spans="1:14" ht="12.75">
      <c r="A94" s="582">
        <v>5</v>
      </c>
      <c r="B94" s="374" t="s">
        <v>447</v>
      </c>
      <c r="C94" s="69"/>
      <c r="D94" s="339"/>
      <c r="E94" s="246"/>
      <c r="F94" s="241"/>
      <c r="G94" s="112"/>
      <c r="H94" s="112"/>
      <c r="I94" s="68"/>
      <c r="J94" s="334"/>
      <c r="K94" s="366"/>
      <c r="L94" s="375"/>
      <c r="M94" s="68"/>
      <c r="N94" s="648" t="s">
        <v>448</v>
      </c>
    </row>
    <row r="95" spans="1:14">
      <c r="A95" s="582"/>
      <c r="B95" s="65"/>
      <c r="C95" s="69"/>
      <c r="D95" s="339"/>
      <c r="E95" s="246"/>
      <c r="F95" s="346" t="s">
        <v>33</v>
      </c>
      <c r="G95" s="376">
        <f>G96+G97</f>
        <v>321498</v>
      </c>
      <c r="H95" s="331">
        <f>H96+H97</f>
        <v>109800</v>
      </c>
      <c r="I95" s="68">
        <f>IF(G95&gt;0,H95/G95*100,"-")</f>
        <v>34.152623033424781</v>
      </c>
      <c r="J95" s="334"/>
      <c r="K95" s="364">
        <f>K96+K97</f>
        <v>109800</v>
      </c>
      <c r="L95" s="377">
        <f>L96+L97</f>
        <v>96614.489999999991</v>
      </c>
      <c r="M95" s="68">
        <f>IF(K95&gt;0,L95/K95*100,"-")</f>
        <v>87.991338797814194</v>
      </c>
      <c r="N95" s="649"/>
    </row>
    <row r="96" spans="1:14" ht="22.5">
      <c r="A96" s="582"/>
      <c r="B96" s="65"/>
      <c r="C96" s="69"/>
      <c r="D96" s="339" t="s">
        <v>449</v>
      </c>
      <c r="E96" s="246">
        <v>730</v>
      </c>
      <c r="F96" s="87" t="s">
        <v>21</v>
      </c>
      <c r="G96" s="112">
        <v>32149</v>
      </c>
      <c r="H96" s="112">
        <v>81138</v>
      </c>
      <c r="I96" s="68">
        <f>IF(G96&gt;0,H96/G96*100,"-")</f>
        <v>252.38110050079317</v>
      </c>
      <c r="J96" s="334">
        <v>0</v>
      </c>
      <c r="K96" s="366">
        <v>28662</v>
      </c>
      <c r="L96" s="375">
        <v>69263.539999999994</v>
      </c>
      <c r="M96" s="68">
        <f>IF(K96&gt;0,L96/K96*100,"-")</f>
        <v>241.65633940408901</v>
      </c>
      <c r="N96" s="649"/>
    </row>
    <row r="97" spans="1:14" ht="12.75" customHeight="1">
      <c r="A97" s="582"/>
      <c r="B97" s="378" t="s">
        <v>450</v>
      </c>
      <c r="C97" s="379"/>
      <c r="D97" s="339"/>
      <c r="E97" s="246"/>
      <c r="F97" s="87" t="s">
        <v>435</v>
      </c>
      <c r="G97" s="112">
        <v>289349</v>
      </c>
      <c r="H97" s="112">
        <v>28662</v>
      </c>
      <c r="I97" s="68">
        <f>IF(G97&gt;0,H97/G97*100,"-")</f>
        <v>9.9056848304296885</v>
      </c>
      <c r="J97" s="334">
        <v>0</v>
      </c>
      <c r="K97" s="366">
        <v>81138</v>
      </c>
      <c r="L97" s="375">
        <v>27350.95</v>
      </c>
      <c r="M97" s="68">
        <f>IF(K97&gt;0,L97/K97*100,"-")</f>
        <v>33.70917449283936</v>
      </c>
      <c r="N97" s="649"/>
    </row>
    <row r="98" spans="1:14">
      <c r="A98" s="582"/>
      <c r="B98" s="65"/>
      <c r="C98" s="69"/>
      <c r="D98" s="339"/>
      <c r="E98" s="246"/>
      <c r="F98" s="241"/>
      <c r="G98" s="112"/>
      <c r="H98" s="112"/>
      <c r="I98" s="68"/>
      <c r="J98" s="334"/>
      <c r="K98" s="366"/>
      <c r="L98" s="375"/>
      <c r="M98" s="68"/>
      <c r="N98" s="649"/>
    </row>
    <row r="99" spans="1:14">
      <c r="A99" s="582"/>
      <c r="B99" s="65"/>
      <c r="C99" s="69"/>
      <c r="D99" s="339"/>
      <c r="E99" s="246"/>
      <c r="F99" s="241"/>
      <c r="G99" s="112"/>
      <c r="H99" s="112"/>
      <c r="I99" s="68"/>
      <c r="J99" s="334"/>
      <c r="K99" s="366"/>
      <c r="L99" s="375"/>
      <c r="M99" s="68"/>
      <c r="N99" s="649"/>
    </row>
    <row r="100" spans="1:14">
      <c r="A100" s="620"/>
      <c r="B100" s="72"/>
      <c r="C100" s="73"/>
      <c r="D100" s="340"/>
      <c r="E100" s="220"/>
      <c r="F100" s="370"/>
      <c r="G100" s="110"/>
      <c r="H100" s="110"/>
      <c r="I100" s="75"/>
      <c r="J100" s="342"/>
      <c r="K100" s="371"/>
      <c r="L100" s="380"/>
      <c r="M100" s="75"/>
      <c r="N100" s="650"/>
    </row>
    <row r="101" spans="1:14">
      <c r="A101" s="27" t="s">
        <v>42</v>
      </c>
      <c r="B101" s="651" t="s">
        <v>451</v>
      </c>
      <c r="C101" s="652"/>
      <c r="D101" s="28"/>
      <c r="E101" s="28"/>
      <c r="F101" s="29"/>
      <c r="G101" s="105"/>
      <c r="H101" s="105"/>
      <c r="I101" s="31"/>
      <c r="J101" s="105"/>
      <c r="K101" s="218"/>
      <c r="L101" s="30"/>
      <c r="M101" s="31"/>
      <c r="N101" s="153"/>
    </row>
    <row r="102" spans="1:14">
      <c r="A102" s="29"/>
      <c r="B102" s="32"/>
      <c r="C102" s="272"/>
      <c r="D102" s="28"/>
      <c r="E102" s="28"/>
      <c r="F102" s="33" t="s">
        <v>21</v>
      </c>
      <c r="G102" s="106">
        <f>G107</f>
        <v>224806703</v>
      </c>
      <c r="H102" s="106">
        <f>H107</f>
        <v>46431234.299999997</v>
      </c>
      <c r="I102" s="35">
        <f>IF(G102&gt;0,H102/G102*100,"-")</f>
        <v>20.653847808087821</v>
      </c>
      <c r="J102" s="106">
        <f>J107</f>
        <v>25771665</v>
      </c>
      <c r="K102" s="106">
        <f>K107</f>
        <v>25060980</v>
      </c>
      <c r="L102" s="34">
        <f>L107</f>
        <v>21725341.27</v>
      </c>
      <c r="M102" s="35">
        <f>IF(K102&gt;0,L102/K102*100,"-")</f>
        <v>86.68991104896935</v>
      </c>
      <c r="N102" s="153"/>
    </row>
    <row r="103" spans="1:14">
      <c r="A103" s="29"/>
      <c r="B103" s="32"/>
      <c r="C103" s="272"/>
      <c r="D103" s="28"/>
      <c r="E103" s="28"/>
      <c r="F103" s="33"/>
      <c r="G103" s="106"/>
      <c r="H103" s="106"/>
      <c r="I103" s="35"/>
      <c r="J103" s="106"/>
      <c r="K103" s="106"/>
      <c r="L103" s="34"/>
      <c r="M103" s="35"/>
      <c r="N103" s="153"/>
    </row>
    <row r="104" spans="1:14">
      <c r="A104" s="55"/>
      <c r="B104" s="56"/>
      <c r="C104" s="315"/>
      <c r="D104" s="57"/>
      <c r="E104" s="57"/>
      <c r="F104" s="55"/>
      <c r="G104" s="107"/>
      <c r="H104" s="107"/>
      <c r="I104" s="59"/>
      <c r="J104" s="107"/>
      <c r="K104" s="107"/>
      <c r="L104" s="58"/>
      <c r="M104" s="59"/>
      <c r="N104" s="316"/>
    </row>
    <row r="105" spans="1:14">
      <c r="A105" s="619" t="s">
        <v>6</v>
      </c>
      <c r="B105" s="61"/>
      <c r="C105" s="62"/>
      <c r="D105" s="571"/>
      <c r="E105" s="571"/>
      <c r="F105" s="61"/>
      <c r="G105" s="108"/>
      <c r="H105" s="108"/>
      <c r="I105" s="569"/>
      <c r="J105" s="108"/>
      <c r="K105" s="113"/>
      <c r="L105" s="63"/>
      <c r="M105" s="569"/>
      <c r="N105" s="319"/>
    </row>
    <row r="106" spans="1:14" ht="22.5">
      <c r="A106" s="582"/>
      <c r="B106" s="381" t="s">
        <v>32</v>
      </c>
      <c r="C106" s="382" t="s">
        <v>452</v>
      </c>
      <c r="D106" s="583">
        <v>2012</v>
      </c>
      <c r="E106" s="383"/>
      <c r="F106" s="66" t="s">
        <v>33</v>
      </c>
      <c r="G106" s="109">
        <f>G107+G108</f>
        <v>224806703</v>
      </c>
      <c r="H106" s="109">
        <f>H107+H108</f>
        <v>46431234.299999997</v>
      </c>
      <c r="I106" s="37">
        <f>IF(G106&gt;0,H106/G106*100,"-")</f>
        <v>20.653847808087821</v>
      </c>
      <c r="J106" s="109">
        <f>J107</f>
        <v>25771665</v>
      </c>
      <c r="K106" s="109">
        <f>K107+K108</f>
        <v>25060980</v>
      </c>
      <c r="L106" s="36">
        <f>L107+L108</f>
        <v>21725341.27</v>
      </c>
      <c r="M106" s="37">
        <f>IF(K106&gt;0,L106/K106*100,"-")</f>
        <v>86.68991104896935</v>
      </c>
      <c r="N106" s="634" t="s">
        <v>453</v>
      </c>
    </row>
    <row r="107" spans="1:14">
      <c r="A107" s="582"/>
      <c r="B107" s="65" t="s">
        <v>26</v>
      </c>
      <c r="C107" s="317" t="s">
        <v>454</v>
      </c>
      <c r="D107" s="583"/>
      <c r="E107" s="383"/>
      <c r="F107" s="67" t="s">
        <v>21</v>
      </c>
      <c r="G107" s="294">
        <f>G110+G113</f>
        <v>224806703</v>
      </c>
      <c r="H107" s="89">
        <f>H110+H113</f>
        <v>46431234.299999997</v>
      </c>
      <c r="I107" s="570">
        <f>IF(G107&gt;0,H107/G107*100,"-")</f>
        <v>20.653847808087821</v>
      </c>
      <c r="J107" s="89">
        <f>J110+J113</f>
        <v>25771665</v>
      </c>
      <c r="K107" s="89">
        <f>K110+K113</f>
        <v>25060980</v>
      </c>
      <c r="L107" s="318">
        <f>L110+L113</f>
        <v>21725341.27</v>
      </c>
      <c r="M107" s="570">
        <f>IF(K107&gt;0,L107/K107*100,"-")</f>
        <v>86.68991104896935</v>
      </c>
      <c r="N107" s="634"/>
    </row>
    <row r="108" spans="1:14">
      <c r="A108" s="582"/>
      <c r="B108" s="65"/>
      <c r="C108" s="317"/>
      <c r="D108" s="583"/>
      <c r="E108" s="383"/>
      <c r="F108" s="67"/>
      <c r="G108" s="294"/>
      <c r="H108" s="89"/>
      <c r="I108" s="570"/>
      <c r="J108" s="89"/>
      <c r="K108" s="89"/>
      <c r="L108" s="318"/>
      <c r="M108" s="570"/>
      <c r="N108" s="634"/>
    </row>
    <row r="109" spans="1:14">
      <c r="A109" s="582"/>
      <c r="B109" s="65"/>
      <c r="C109" s="317"/>
      <c r="D109" s="583"/>
      <c r="E109" s="574">
        <v>700</v>
      </c>
      <c r="F109" s="67"/>
      <c r="G109" s="89"/>
      <c r="H109" s="89"/>
      <c r="I109" s="570"/>
      <c r="J109" s="89"/>
      <c r="K109" s="89"/>
      <c r="L109" s="318"/>
      <c r="M109" s="570"/>
      <c r="N109" s="634"/>
    </row>
    <row r="110" spans="1:14">
      <c r="A110" s="582"/>
      <c r="B110" s="65"/>
      <c r="C110" s="317"/>
      <c r="D110" s="583"/>
      <c r="E110" s="574">
        <v>70004</v>
      </c>
      <c r="F110" s="67" t="s">
        <v>21</v>
      </c>
      <c r="G110" s="89">
        <v>222422526</v>
      </c>
      <c r="H110" s="89">
        <v>45985909.07</v>
      </c>
      <c r="I110" s="570">
        <f>IF(G110&gt;0,H110/G110*100,"-")</f>
        <v>20.675023297775155</v>
      </c>
      <c r="J110" s="89">
        <v>25514665</v>
      </c>
      <c r="K110" s="89">
        <v>24565561</v>
      </c>
      <c r="L110" s="318">
        <v>21486924.149999999</v>
      </c>
      <c r="M110" s="570">
        <f>IF(K110&gt;0,L110/K110*100,"-")</f>
        <v>87.467671306183476</v>
      </c>
      <c r="N110" s="634"/>
    </row>
    <row r="111" spans="1:14">
      <c r="A111" s="582"/>
      <c r="B111" s="65"/>
      <c r="C111" s="317"/>
      <c r="D111" s="583"/>
      <c r="E111" s="706"/>
      <c r="F111" s="67"/>
      <c r="G111" s="89"/>
      <c r="H111" s="89"/>
      <c r="I111" s="570"/>
      <c r="J111" s="89"/>
      <c r="K111" s="89"/>
      <c r="L111" s="318"/>
      <c r="M111" s="570"/>
      <c r="N111" s="634"/>
    </row>
    <row r="112" spans="1:14">
      <c r="A112" s="582"/>
      <c r="B112" s="65"/>
      <c r="C112" s="317"/>
      <c r="D112" s="583"/>
      <c r="E112" s="574">
        <v>700</v>
      </c>
      <c r="F112" s="300"/>
      <c r="G112" s="89"/>
      <c r="H112" s="89"/>
      <c r="I112" s="570"/>
      <c r="J112" s="89"/>
      <c r="K112" s="89"/>
      <c r="L112" s="318"/>
      <c r="M112" s="570"/>
      <c r="N112" s="634"/>
    </row>
    <row r="113" spans="1:14">
      <c r="A113" s="582"/>
      <c r="B113" s="65"/>
      <c r="C113" s="69"/>
      <c r="D113" s="583"/>
      <c r="E113" s="574">
        <v>70005</v>
      </c>
      <c r="F113" s="67" t="s">
        <v>21</v>
      </c>
      <c r="G113" s="294">
        <v>2384177</v>
      </c>
      <c r="H113" s="89">
        <v>445325.23</v>
      </c>
      <c r="I113" s="570">
        <f>IF(G113&gt;0,H113/G113*100,"-")</f>
        <v>18.678362806117164</v>
      </c>
      <c r="J113" s="89">
        <v>257000</v>
      </c>
      <c r="K113" s="89">
        <v>495419</v>
      </c>
      <c r="L113" s="70">
        <v>238417.12</v>
      </c>
      <c r="M113" s="570">
        <f>IF(K113&gt;0,L113/K113*100,"-")</f>
        <v>48.124339195711102</v>
      </c>
      <c r="N113" s="634"/>
    </row>
    <row r="114" spans="1:14">
      <c r="A114" s="620"/>
      <c r="B114" s="72"/>
      <c r="C114" s="73"/>
      <c r="D114" s="573"/>
      <c r="E114" s="573"/>
      <c r="F114" s="384"/>
      <c r="G114" s="110"/>
      <c r="H114" s="110"/>
      <c r="I114" s="75"/>
      <c r="J114" s="110"/>
      <c r="K114" s="114"/>
      <c r="L114" s="74"/>
      <c r="M114" s="75"/>
      <c r="N114" s="385"/>
    </row>
    <row r="115" spans="1:14">
      <c r="A115" s="50"/>
      <c r="B115" s="51"/>
      <c r="C115" s="267"/>
      <c r="D115" s="52"/>
      <c r="E115" s="52"/>
      <c r="F115" s="50"/>
      <c r="G115" s="104"/>
      <c r="H115" s="104"/>
      <c r="I115" s="50"/>
      <c r="J115" s="104"/>
      <c r="K115" s="104"/>
      <c r="L115" s="53"/>
      <c r="M115" s="54"/>
      <c r="N115" s="314"/>
    </row>
    <row r="116" spans="1:14">
      <c r="A116" s="27" t="s">
        <v>43</v>
      </c>
      <c r="B116" s="588" t="s">
        <v>54</v>
      </c>
      <c r="C116" s="589"/>
      <c r="D116" s="28"/>
      <c r="E116" s="28"/>
      <c r="F116" s="29"/>
      <c r="G116" s="105"/>
      <c r="H116" s="105"/>
      <c r="I116" s="31"/>
      <c r="J116" s="105"/>
      <c r="K116" s="105"/>
      <c r="L116" s="30"/>
      <c r="M116" s="31"/>
      <c r="N116" s="153"/>
    </row>
    <row r="117" spans="1:14">
      <c r="A117" s="29"/>
      <c r="B117" s="32"/>
      <c r="C117" s="272"/>
      <c r="D117" s="28"/>
      <c r="E117" s="28"/>
      <c r="F117" s="33" t="s">
        <v>21</v>
      </c>
      <c r="G117" s="106">
        <f>G121+G130+G139+G144+G149+G154+G159</f>
        <v>304748910</v>
      </c>
      <c r="H117" s="106">
        <f>H121+H130+H139+H144+H149+H154+H159</f>
        <v>65940776.159999996</v>
      </c>
      <c r="I117" s="35">
        <f>IF(G117&gt;0,H117/G117*100,"-")</f>
        <v>21.63773979043928</v>
      </c>
      <c r="J117" s="106">
        <f>J121+J130+J139+J144+J149+J154+J159</f>
        <v>28945500</v>
      </c>
      <c r="K117" s="106">
        <f>K121+K130+K139+K144+K149+K154+K159</f>
        <v>29145500</v>
      </c>
      <c r="L117" s="34">
        <f>L121+L130+L139+L144+L149+L154+L159</f>
        <v>26629372.75</v>
      </c>
      <c r="M117" s="35">
        <f>IF(K117&gt;0,L117/K117*100,"-")</f>
        <v>91.36701291794617</v>
      </c>
      <c r="N117" s="153"/>
    </row>
    <row r="118" spans="1:14">
      <c r="A118" s="29"/>
      <c r="B118" s="32"/>
      <c r="C118" s="272"/>
      <c r="D118" s="28"/>
      <c r="E118" s="28"/>
      <c r="F118" s="33"/>
      <c r="G118" s="106"/>
      <c r="H118" s="106"/>
      <c r="I118" s="35"/>
      <c r="J118" s="106"/>
      <c r="K118" s="106"/>
      <c r="L118" s="34"/>
      <c r="M118" s="35"/>
      <c r="N118" s="153"/>
    </row>
    <row r="119" spans="1:14">
      <c r="A119" s="55"/>
      <c r="B119" s="56"/>
      <c r="C119" s="315"/>
      <c r="D119" s="57"/>
      <c r="E119" s="57"/>
      <c r="F119" s="55"/>
      <c r="G119" s="107"/>
      <c r="H119" s="107"/>
      <c r="I119" s="59"/>
      <c r="J119" s="107"/>
      <c r="K119" s="107"/>
      <c r="L119" s="58"/>
      <c r="M119" s="59"/>
      <c r="N119" s="316"/>
    </row>
    <row r="120" spans="1:14">
      <c r="A120" s="619" t="s">
        <v>6</v>
      </c>
      <c r="B120" s="61"/>
      <c r="C120" s="62"/>
      <c r="D120" s="60"/>
      <c r="E120" s="60"/>
      <c r="F120" s="61"/>
      <c r="G120" s="108"/>
      <c r="H120" s="108"/>
      <c r="I120" s="64"/>
      <c r="J120" s="108"/>
      <c r="K120" s="113"/>
      <c r="L120" s="63"/>
      <c r="M120" s="64"/>
      <c r="N120" s="653" t="s">
        <v>455</v>
      </c>
    </row>
    <row r="121" spans="1:14">
      <c r="A121" s="582"/>
      <c r="B121" s="65" t="s">
        <v>32</v>
      </c>
      <c r="C121" s="386" t="s">
        <v>456</v>
      </c>
      <c r="D121" s="583" t="s">
        <v>457</v>
      </c>
      <c r="E121" s="590">
        <v>600</v>
      </c>
      <c r="F121" s="66" t="s">
        <v>33</v>
      </c>
      <c r="G121" s="109">
        <f>SUM(G125:G127)</f>
        <v>10557360</v>
      </c>
      <c r="H121" s="109">
        <f>H125+H127</f>
        <v>5743614.2400000002</v>
      </c>
      <c r="I121" s="37">
        <f>IF(G121&gt;0,H121/G121*100,"-")</f>
        <v>54.403887335470237</v>
      </c>
      <c r="J121" s="109">
        <f>SUM(J125:J127)</f>
        <v>2850000</v>
      </c>
      <c r="K121" s="109">
        <f>SUM(K125:K127)</f>
        <v>2850000</v>
      </c>
      <c r="L121" s="36">
        <f>SUM(L125:L127)</f>
        <v>2846255.3600000003</v>
      </c>
      <c r="M121" s="37">
        <f t="shared" ref="M121:M127" si="8">IF(K121&gt;0,L121/K121*100,"-")</f>
        <v>99.86860912280703</v>
      </c>
      <c r="N121" s="654"/>
    </row>
    <row r="122" spans="1:14">
      <c r="A122" s="582"/>
      <c r="B122" s="656" t="s">
        <v>26</v>
      </c>
      <c r="C122" s="657" t="s">
        <v>458</v>
      </c>
      <c r="D122" s="583"/>
      <c r="E122" s="583"/>
      <c r="F122" s="67" t="s">
        <v>21</v>
      </c>
      <c r="G122" s="89"/>
      <c r="H122" s="89"/>
      <c r="I122" s="37"/>
      <c r="J122" s="89"/>
      <c r="K122" s="89"/>
      <c r="L122" s="318"/>
      <c r="M122" s="68" t="str">
        <f t="shared" si="8"/>
        <v>-</v>
      </c>
      <c r="N122" s="654"/>
    </row>
    <row r="123" spans="1:14">
      <c r="A123" s="582"/>
      <c r="B123" s="656"/>
      <c r="C123" s="657"/>
      <c r="D123" s="583"/>
      <c r="E123" s="583"/>
      <c r="F123" s="67"/>
      <c r="G123" s="89"/>
      <c r="H123" s="89"/>
      <c r="I123" s="37"/>
      <c r="J123" s="89"/>
      <c r="K123" s="89"/>
      <c r="L123" s="70"/>
      <c r="M123" s="68"/>
      <c r="N123" s="654"/>
    </row>
    <row r="124" spans="1:14">
      <c r="A124" s="582"/>
      <c r="B124" s="387"/>
      <c r="C124" s="388"/>
      <c r="D124" s="247"/>
      <c r="E124" s="247"/>
      <c r="F124" s="87"/>
      <c r="G124" s="112"/>
      <c r="H124" s="112"/>
      <c r="I124" s="37"/>
      <c r="J124" s="112"/>
      <c r="K124" s="89"/>
      <c r="L124" s="76"/>
      <c r="M124" s="68"/>
      <c r="N124" s="654"/>
    </row>
    <row r="125" spans="1:14">
      <c r="A125" s="582"/>
      <c r="B125" s="387"/>
      <c r="C125" s="388"/>
      <c r="D125" s="247"/>
      <c r="E125" s="247">
        <v>60015</v>
      </c>
      <c r="F125" s="67" t="s">
        <v>21</v>
      </c>
      <c r="G125" s="112">
        <v>1262803</v>
      </c>
      <c r="H125" s="112">
        <v>1262802.5</v>
      </c>
      <c r="I125" s="37">
        <f>IF(G125&gt;0,H125/G125*100,"-")</f>
        <v>99.999960405542282</v>
      </c>
      <c r="J125" s="112">
        <v>750000</v>
      </c>
      <c r="K125" s="89">
        <v>750000</v>
      </c>
      <c r="L125" s="76">
        <v>750000</v>
      </c>
      <c r="M125" s="68">
        <f t="shared" si="8"/>
        <v>100</v>
      </c>
      <c r="N125" s="654"/>
    </row>
    <row r="126" spans="1:14">
      <c r="A126" s="582"/>
      <c r="B126" s="387"/>
      <c r="C126" s="388"/>
      <c r="D126" s="247"/>
      <c r="E126" s="247"/>
      <c r="F126" s="87"/>
      <c r="G126" s="112"/>
      <c r="H126" s="112"/>
      <c r="I126" s="37"/>
      <c r="J126" s="112"/>
      <c r="K126" s="89"/>
      <c r="L126" s="76"/>
      <c r="M126" s="68"/>
      <c r="N126" s="654"/>
    </row>
    <row r="127" spans="1:14">
      <c r="A127" s="582"/>
      <c r="B127" s="387"/>
      <c r="C127" s="388"/>
      <c r="D127" s="247"/>
      <c r="E127" s="247">
        <v>60016</v>
      </c>
      <c r="F127" s="67" t="s">
        <v>21</v>
      </c>
      <c r="G127" s="112">
        <v>9294557</v>
      </c>
      <c r="H127" s="112">
        <v>4480811.74</v>
      </c>
      <c r="I127" s="37">
        <f>IF(G127&gt;0,H127/G127*100,"-")</f>
        <v>48.208986614423907</v>
      </c>
      <c r="J127" s="112">
        <v>2100000</v>
      </c>
      <c r="K127" s="89">
        <v>2100000</v>
      </c>
      <c r="L127" s="76">
        <v>2096255.36</v>
      </c>
      <c r="M127" s="68">
        <f t="shared" si="8"/>
        <v>99.821683809523805</v>
      </c>
      <c r="N127" s="654"/>
    </row>
    <row r="128" spans="1:14" ht="5.25" customHeight="1">
      <c r="A128" s="620"/>
      <c r="B128" s="72"/>
      <c r="C128" s="73"/>
      <c r="D128" s="71"/>
      <c r="E128" s="71"/>
      <c r="F128" s="67"/>
      <c r="G128" s="110"/>
      <c r="H128" s="110"/>
      <c r="I128" s="37"/>
      <c r="J128" s="110"/>
      <c r="K128" s="114"/>
      <c r="L128" s="74"/>
      <c r="M128" s="68"/>
      <c r="N128" s="655"/>
    </row>
    <row r="129" spans="1:14" ht="6.75" customHeight="1">
      <c r="A129" s="619" t="s">
        <v>39</v>
      </c>
      <c r="B129" s="61"/>
      <c r="C129" s="62"/>
      <c r="D129" s="60"/>
      <c r="E129" s="60"/>
      <c r="F129" s="61"/>
      <c r="G129" s="108"/>
      <c r="H129" s="108"/>
      <c r="I129" s="64"/>
      <c r="J129" s="108"/>
      <c r="K129" s="113"/>
      <c r="L129" s="63"/>
      <c r="M129" s="64"/>
      <c r="N129" s="633" t="s">
        <v>459</v>
      </c>
    </row>
    <row r="130" spans="1:14">
      <c r="A130" s="582"/>
      <c r="B130" s="65" t="s">
        <v>32</v>
      </c>
      <c r="C130" s="329" t="s">
        <v>460</v>
      </c>
      <c r="D130" s="583" t="s">
        <v>457</v>
      </c>
      <c r="E130" s="583">
        <v>600</v>
      </c>
      <c r="F130" s="66" t="s">
        <v>33</v>
      </c>
      <c r="G130" s="109">
        <f>G134+G136</f>
        <v>100742476</v>
      </c>
      <c r="H130" s="109">
        <f>H134+H136</f>
        <v>19327224.579999998</v>
      </c>
      <c r="I130" s="37">
        <f>IF(G130&gt;0,H130/G130*100,"-")</f>
        <v>19.184782176685829</v>
      </c>
      <c r="J130" s="109">
        <f>J134+J136</f>
        <v>7195500</v>
      </c>
      <c r="K130" s="109">
        <f>K134+K136</f>
        <v>7035500</v>
      </c>
      <c r="L130" s="36">
        <f>L134+L136</f>
        <v>5582249.5499999998</v>
      </c>
      <c r="M130" s="37">
        <f>IF(K130&gt;0,L130/K130*100,"-")</f>
        <v>79.344034539123015</v>
      </c>
      <c r="N130" s="634"/>
    </row>
    <row r="131" spans="1:14">
      <c r="A131" s="582"/>
      <c r="B131" s="658" t="s">
        <v>26</v>
      </c>
      <c r="C131" s="659" t="s">
        <v>461</v>
      </c>
      <c r="D131" s="583"/>
      <c r="E131" s="583"/>
      <c r="F131" s="67" t="s">
        <v>21</v>
      </c>
      <c r="G131" s="89"/>
      <c r="H131" s="318"/>
      <c r="I131" s="37" t="str">
        <f>IF(G131&gt;0,H131/G131*100,"-")</f>
        <v>-</v>
      </c>
      <c r="J131" s="89"/>
      <c r="K131" s="89"/>
      <c r="L131" s="318"/>
      <c r="M131" s="37"/>
      <c r="N131" s="634"/>
    </row>
    <row r="132" spans="1:14">
      <c r="A132" s="582"/>
      <c r="B132" s="658"/>
      <c r="C132" s="659"/>
      <c r="D132" s="583"/>
      <c r="E132" s="583"/>
      <c r="F132" s="67"/>
      <c r="G132" s="89"/>
      <c r="H132" s="318"/>
      <c r="I132" s="37"/>
      <c r="J132" s="89"/>
      <c r="K132" s="89"/>
      <c r="L132" s="70"/>
      <c r="M132" s="37"/>
      <c r="N132" s="634"/>
    </row>
    <row r="133" spans="1:14">
      <c r="A133" s="582"/>
      <c r="B133" s="658"/>
      <c r="C133" s="659"/>
      <c r="D133" s="247"/>
      <c r="E133" s="247"/>
      <c r="F133" s="87"/>
      <c r="G133" s="112"/>
      <c r="H133" s="322"/>
      <c r="I133" s="37"/>
      <c r="J133" s="112"/>
      <c r="K133" s="89"/>
      <c r="L133" s="76"/>
      <c r="M133" s="37"/>
      <c r="N133" s="634"/>
    </row>
    <row r="134" spans="1:14">
      <c r="A134" s="582"/>
      <c r="B134" s="658"/>
      <c r="C134" s="659"/>
      <c r="D134" s="247"/>
      <c r="E134" s="247">
        <v>60015</v>
      </c>
      <c r="F134" s="67" t="s">
        <v>21</v>
      </c>
      <c r="G134" s="112">
        <v>53340000</v>
      </c>
      <c r="H134" s="112">
        <v>10584531.07</v>
      </c>
      <c r="I134" s="37">
        <f>IF(G134&gt;0,H134/G134*100,"-")</f>
        <v>19.843515316835397</v>
      </c>
      <c r="J134" s="112">
        <v>4500000</v>
      </c>
      <c r="K134" s="89">
        <v>4340000</v>
      </c>
      <c r="L134" s="76">
        <v>3584531.07</v>
      </c>
      <c r="M134" s="37">
        <f>IF(K134&gt;0,L134/K134*100,"-")</f>
        <v>82.592881797235023</v>
      </c>
      <c r="N134" s="634"/>
    </row>
    <row r="135" spans="1:14">
      <c r="A135" s="582"/>
      <c r="B135" s="658"/>
      <c r="C135" s="69"/>
      <c r="D135" s="247"/>
      <c r="E135" s="247"/>
      <c r="F135" s="87"/>
      <c r="G135" s="112"/>
      <c r="H135" s="112"/>
      <c r="I135" s="37"/>
      <c r="J135" s="112"/>
      <c r="K135" s="89"/>
      <c r="L135" s="76"/>
      <c r="M135" s="37"/>
      <c r="N135" s="634"/>
    </row>
    <row r="136" spans="1:14">
      <c r="A136" s="582"/>
      <c r="B136" s="658"/>
      <c r="C136" s="69"/>
      <c r="D136" s="247"/>
      <c r="E136" s="247">
        <v>60016</v>
      </c>
      <c r="F136" s="67" t="s">
        <v>21</v>
      </c>
      <c r="G136" s="112">
        <v>47402476</v>
      </c>
      <c r="H136" s="112">
        <v>8742693.5099999998</v>
      </c>
      <c r="I136" s="37">
        <f>IF(G136&gt;0,H136/G136*100,"-")</f>
        <v>18.443537654024656</v>
      </c>
      <c r="J136" s="112">
        <v>2695500</v>
      </c>
      <c r="K136" s="89">
        <v>2695500</v>
      </c>
      <c r="L136" s="76">
        <v>1997718.48</v>
      </c>
      <c r="M136" s="37">
        <f>IF(K136&gt;0,L136/K136*100,"-")</f>
        <v>74.113095158597659</v>
      </c>
      <c r="N136" s="634"/>
    </row>
    <row r="137" spans="1:14" ht="4.5" customHeight="1">
      <c r="A137" s="582"/>
      <c r="B137" s="658"/>
      <c r="C137" s="69"/>
      <c r="D137" s="247"/>
      <c r="E137" s="247"/>
      <c r="F137" s="87"/>
      <c r="G137" s="112"/>
      <c r="H137" s="112"/>
      <c r="I137" s="37"/>
      <c r="J137" s="112"/>
      <c r="K137" s="89"/>
      <c r="L137" s="76"/>
      <c r="M137" s="37"/>
      <c r="N137" s="635"/>
    </row>
    <row r="138" spans="1:14">
      <c r="A138" s="619" t="s">
        <v>41</v>
      </c>
      <c r="B138" s="61"/>
      <c r="C138" s="62"/>
      <c r="D138" s="60"/>
      <c r="E138" s="60">
        <v>900</v>
      </c>
      <c r="F138" s="61"/>
      <c r="G138" s="108"/>
      <c r="H138" s="108"/>
      <c r="I138" s="64"/>
      <c r="J138" s="108"/>
      <c r="K138" s="113"/>
      <c r="L138" s="63"/>
      <c r="M138" s="64"/>
      <c r="N138" s="633" t="s">
        <v>462</v>
      </c>
    </row>
    <row r="139" spans="1:14">
      <c r="A139" s="582"/>
      <c r="B139" s="65" t="s">
        <v>32</v>
      </c>
      <c r="C139" s="329" t="s">
        <v>463</v>
      </c>
      <c r="D139" s="583" t="s">
        <v>457</v>
      </c>
      <c r="E139" s="583">
        <v>90003</v>
      </c>
      <c r="F139" s="66" t="s">
        <v>33</v>
      </c>
      <c r="G139" s="109">
        <f>SUM(G140:G141)</f>
        <v>102716166</v>
      </c>
      <c r="H139" s="109">
        <f>SUM(H140:H141)</f>
        <v>19816164.75</v>
      </c>
      <c r="I139" s="37">
        <f>IF(G139&gt;0,H139/G139*100,"-")</f>
        <v>19.292157721307472</v>
      </c>
      <c r="J139" s="109">
        <f>SUM(J140:J141)</f>
        <v>8100000</v>
      </c>
      <c r="K139" s="109">
        <f>SUM(K140:K141)</f>
        <v>8100000</v>
      </c>
      <c r="L139" s="36">
        <f>SUM(L140:L141)</f>
        <v>8000000</v>
      </c>
      <c r="M139" s="37">
        <f>IF(K139&gt;0,L139/K139*100,"-")</f>
        <v>98.76543209876543</v>
      </c>
      <c r="N139" s="634"/>
    </row>
    <row r="140" spans="1:14">
      <c r="A140" s="582"/>
      <c r="B140" s="65" t="s">
        <v>26</v>
      </c>
      <c r="C140" s="659" t="s">
        <v>464</v>
      </c>
      <c r="D140" s="583"/>
      <c r="E140" s="583"/>
      <c r="F140" s="67"/>
      <c r="G140" s="89"/>
      <c r="H140" s="89"/>
      <c r="I140" s="68" t="str">
        <f>IF(G140&gt;0,H140/G140*100,"-")</f>
        <v>-</v>
      </c>
      <c r="J140" s="89"/>
      <c r="K140" s="89"/>
      <c r="L140" s="318"/>
      <c r="M140" s="68" t="str">
        <f>IF(K140&gt;0,L140/K140*100,"-")</f>
        <v>-</v>
      </c>
      <c r="N140" s="634"/>
    </row>
    <row r="141" spans="1:14">
      <c r="A141" s="582"/>
      <c r="B141" s="65"/>
      <c r="C141" s="659"/>
      <c r="D141" s="583"/>
      <c r="E141" s="583"/>
      <c r="F141" s="67" t="s">
        <v>21</v>
      </c>
      <c r="G141" s="89">
        <v>102716166</v>
      </c>
      <c r="H141" s="89">
        <v>19816164.75</v>
      </c>
      <c r="I141" s="68">
        <f>IF(G141&gt;0,H141/G141*100,"-")</f>
        <v>19.292157721307472</v>
      </c>
      <c r="J141" s="89">
        <v>8100000</v>
      </c>
      <c r="K141" s="89">
        <v>8100000</v>
      </c>
      <c r="L141" s="70">
        <v>8000000</v>
      </c>
      <c r="M141" s="68">
        <f>IF(K141&gt;0,L141/K141*100,"-")</f>
        <v>98.76543209876543</v>
      </c>
      <c r="N141" s="634"/>
    </row>
    <row r="142" spans="1:14">
      <c r="A142" s="620"/>
      <c r="B142" s="72"/>
      <c r="C142" s="660"/>
      <c r="D142" s="71"/>
      <c r="E142" s="71"/>
      <c r="F142" s="72"/>
      <c r="G142" s="110"/>
      <c r="H142" s="110"/>
      <c r="I142" s="75"/>
      <c r="J142" s="110"/>
      <c r="K142" s="114"/>
      <c r="L142" s="74"/>
      <c r="M142" s="75"/>
      <c r="N142" s="635"/>
    </row>
    <row r="143" spans="1:14">
      <c r="A143" s="619" t="s">
        <v>42</v>
      </c>
      <c r="B143" s="61"/>
      <c r="C143" s="62"/>
      <c r="D143" s="60"/>
      <c r="E143" s="60">
        <v>900</v>
      </c>
      <c r="F143" s="61"/>
      <c r="G143" s="108"/>
      <c r="H143" s="108"/>
      <c r="I143" s="64"/>
      <c r="J143" s="108"/>
      <c r="K143" s="113"/>
      <c r="L143" s="63"/>
      <c r="M143" s="64"/>
      <c r="N143" s="633" t="s">
        <v>465</v>
      </c>
    </row>
    <row r="144" spans="1:14">
      <c r="A144" s="582"/>
      <c r="B144" s="65" t="s">
        <v>32</v>
      </c>
      <c r="C144" s="329" t="s">
        <v>466</v>
      </c>
      <c r="D144" s="583" t="s">
        <v>457</v>
      </c>
      <c r="E144" s="583">
        <v>90001</v>
      </c>
      <c r="F144" s="66" t="s">
        <v>33</v>
      </c>
      <c r="G144" s="109">
        <f>SUM(G145:G146)</f>
        <v>23345916</v>
      </c>
      <c r="H144" s="109">
        <f>SUM(H145:H146)</f>
        <v>4977985.43</v>
      </c>
      <c r="I144" s="37">
        <f>IF(G144&gt;0,H144/G144*100,"-")</f>
        <v>21.322724839753558</v>
      </c>
      <c r="J144" s="109">
        <f>SUM(J145:J146)</f>
        <v>2900000</v>
      </c>
      <c r="K144" s="109">
        <f>SUM(K145:K146)</f>
        <v>2900000</v>
      </c>
      <c r="L144" s="36">
        <f>SUM(L145:L146)</f>
        <v>2196070.0299999998</v>
      </c>
      <c r="M144" s="37">
        <f>IF(K144&gt;0,L144/K144*100,"-")</f>
        <v>75.726552758620684</v>
      </c>
      <c r="N144" s="634"/>
    </row>
    <row r="145" spans="1:14">
      <c r="A145" s="582"/>
      <c r="B145" s="65" t="s">
        <v>26</v>
      </c>
      <c r="C145" s="659" t="s">
        <v>467</v>
      </c>
      <c r="D145" s="583"/>
      <c r="E145" s="583"/>
      <c r="F145" s="67"/>
      <c r="G145" s="89"/>
      <c r="H145" s="89"/>
      <c r="I145" s="68" t="str">
        <f>IF(G145&gt;0,H145/G145*100,"-")</f>
        <v>-</v>
      </c>
      <c r="J145" s="89"/>
      <c r="K145" s="89"/>
      <c r="L145" s="318"/>
      <c r="M145" s="68" t="str">
        <f>IF(K145&gt;0,L145/K145*100,"-")</f>
        <v>-</v>
      </c>
      <c r="N145" s="634"/>
    </row>
    <row r="146" spans="1:14">
      <c r="A146" s="582"/>
      <c r="B146" s="65"/>
      <c r="C146" s="659"/>
      <c r="D146" s="583"/>
      <c r="E146" s="583"/>
      <c r="F146" s="67" t="s">
        <v>21</v>
      </c>
      <c r="G146" s="89">
        <v>23345916</v>
      </c>
      <c r="H146" s="89">
        <v>4977985.43</v>
      </c>
      <c r="I146" s="68">
        <f>IF(G146&gt;0,H146/G146*100,"-")</f>
        <v>21.322724839753558</v>
      </c>
      <c r="J146" s="89">
        <v>2900000</v>
      </c>
      <c r="K146" s="89">
        <v>2900000</v>
      </c>
      <c r="L146" s="70">
        <v>2196070.0299999998</v>
      </c>
      <c r="M146" s="68">
        <f>IF(K146&gt;0,L146/K146*100,"-")</f>
        <v>75.726552758620684</v>
      </c>
      <c r="N146" s="634"/>
    </row>
    <row r="147" spans="1:14" ht="21.75" customHeight="1">
      <c r="A147" s="620"/>
      <c r="B147" s="72"/>
      <c r="C147" s="660"/>
      <c r="D147" s="71"/>
      <c r="E147" s="71"/>
      <c r="F147" s="72"/>
      <c r="G147" s="110"/>
      <c r="H147" s="110"/>
      <c r="I147" s="75"/>
      <c r="J147" s="110"/>
      <c r="K147" s="114"/>
      <c r="L147" s="74"/>
      <c r="M147" s="75"/>
      <c r="N147" s="635"/>
    </row>
    <row r="148" spans="1:14">
      <c r="A148" s="619" t="s">
        <v>43</v>
      </c>
      <c r="B148" s="61"/>
      <c r="C148" s="62"/>
      <c r="D148" s="60"/>
      <c r="E148" s="60">
        <v>900</v>
      </c>
      <c r="F148" s="61"/>
      <c r="G148" s="108"/>
      <c r="H148" s="108"/>
      <c r="I148" s="64"/>
      <c r="J148" s="108"/>
      <c r="K148" s="113"/>
      <c r="L148" s="63"/>
      <c r="M148" s="64"/>
      <c r="N148" s="633" t="s">
        <v>468</v>
      </c>
    </row>
    <row r="149" spans="1:14">
      <c r="A149" s="582"/>
      <c r="B149" s="65" t="s">
        <v>32</v>
      </c>
      <c r="C149" s="329" t="s">
        <v>469</v>
      </c>
      <c r="D149" s="583" t="s">
        <v>457</v>
      </c>
      <c r="E149" s="583">
        <v>90015</v>
      </c>
      <c r="F149" s="66" t="s">
        <v>33</v>
      </c>
      <c r="G149" s="109">
        <f>SUM(G150:G151)</f>
        <v>50789547</v>
      </c>
      <c r="H149" s="109">
        <f>SUM(H150:H151)</f>
        <v>12498908.039999999</v>
      </c>
      <c r="I149" s="37">
        <f>IF(G149&gt;0,H149/G149*100,"-")</f>
        <v>24.609213466700144</v>
      </c>
      <c r="J149" s="109">
        <f>SUM(J150:J151)</f>
        <v>6150000</v>
      </c>
      <c r="K149" s="109">
        <f>SUM(K150:K151)</f>
        <v>6510000</v>
      </c>
      <c r="L149" s="36">
        <f>SUM(L150:L151)</f>
        <v>6503364.4500000002</v>
      </c>
      <c r="M149" s="37">
        <f>IF(K149&gt;0,L149/K149*100,"-")</f>
        <v>99.898071428571427</v>
      </c>
      <c r="N149" s="634"/>
    </row>
    <row r="150" spans="1:14">
      <c r="A150" s="582"/>
      <c r="B150" s="65" t="s">
        <v>26</v>
      </c>
      <c r="C150" s="659" t="s">
        <v>470</v>
      </c>
      <c r="D150" s="583"/>
      <c r="E150" s="583"/>
      <c r="F150" s="67"/>
      <c r="G150" s="89"/>
      <c r="H150" s="89"/>
      <c r="I150" s="68" t="str">
        <f>IF(G150&gt;0,H150/G150*100,"-")</f>
        <v>-</v>
      </c>
      <c r="J150" s="89"/>
      <c r="K150" s="89"/>
      <c r="L150" s="318"/>
      <c r="M150" s="68" t="str">
        <f>IF(K150&gt;0,L150/K150*100,"-")</f>
        <v>-</v>
      </c>
      <c r="N150" s="634"/>
    </row>
    <row r="151" spans="1:14">
      <c r="A151" s="582"/>
      <c r="B151" s="65"/>
      <c r="C151" s="659"/>
      <c r="D151" s="583"/>
      <c r="E151" s="583"/>
      <c r="F151" s="67" t="s">
        <v>21</v>
      </c>
      <c r="G151" s="89">
        <v>50789547</v>
      </c>
      <c r="H151" s="89">
        <v>12498908.039999999</v>
      </c>
      <c r="I151" s="68">
        <f>IF(G151&gt;0,H151/G151*100,"-")</f>
        <v>24.609213466700144</v>
      </c>
      <c r="J151" s="89">
        <v>6150000</v>
      </c>
      <c r="K151" s="89">
        <v>6510000</v>
      </c>
      <c r="L151" s="70">
        <v>6503364.4500000002</v>
      </c>
      <c r="M151" s="68">
        <f>IF(K151&gt;0,L151/K151*100,"-")</f>
        <v>99.898071428571427</v>
      </c>
      <c r="N151" s="634"/>
    </row>
    <row r="152" spans="1:14">
      <c r="A152" s="620"/>
      <c r="B152" s="72"/>
      <c r="C152" s="660"/>
      <c r="D152" s="71"/>
      <c r="E152" s="71"/>
      <c r="F152" s="72"/>
      <c r="G152" s="110"/>
      <c r="H152" s="110"/>
      <c r="I152" s="75"/>
      <c r="J152" s="110"/>
      <c r="K152" s="114"/>
      <c r="L152" s="74"/>
      <c r="M152" s="75"/>
      <c r="N152" s="635"/>
    </row>
    <row r="153" spans="1:14">
      <c r="A153" s="619" t="s">
        <v>51</v>
      </c>
      <c r="B153" s="61"/>
      <c r="C153" s="62"/>
      <c r="D153" s="571"/>
      <c r="E153" s="571">
        <v>600</v>
      </c>
      <c r="F153" s="61"/>
      <c r="G153" s="108"/>
      <c r="H153" s="108"/>
      <c r="I153" s="569"/>
      <c r="J153" s="108"/>
      <c r="K153" s="113"/>
      <c r="L153" s="63"/>
      <c r="M153" s="569"/>
      <c r="N153" s="633" t="s">
        <v>471</v>
      </c>
    </row>
    <row r="154" spans="1:14" ht="33.75">
      <c r="A154" s="582"/>
      <c r="B154" s="65" t="s">
        <v>32</v>
      </c>
      <c r="C154" s="389" t="s">
        <v>472</v>
      </c>
      <c r="D154" s="583" t="s">
        <v>428</v>
      </c>
      <c r="E154" s="583">
        <v>60016</v>
      </c>
      <c r="F154" s="66" t="s">
        <v>33</v>
      </c>
      <c r="G154" s="109">
        <f>SUM(G155:G156)</f>
        <v>250000</v>
      </c>
      <c r="H154" s="109">
        <f>SUM(H155:H156)</f>
        <v>2829</v>
      </c>
      <c r="I154" s="37">
        <f>IF(G154&gt;0,H154/G154*100,"-")</f>
        <v>1.1315999999999999</v>
      </c>
      <c r="J154" s="109">
        <f>SUM(J155:J156)</f>
        <v>50000</v>
      </c>
      <c r="K154" s="109">
        <f>SUM(K155:K156)</f>
        <v>50000</v>
      </c>
      <c r="L154" s="36">
        <f>SUM(L155:L156)</f>
        <v>2829</v>
      </c>
      <c r="M154" s="37">
        <f>IF(K154&gt;0,L154/K154*100,"-")</f>
        <v>5.6579999999999995</v>
      </c>
      <c r="N154" s="634"/>
    </row>
    <row r="155" spans="1:14">
      <c r="A155" s="582"/>
      <c r="B155" s="65" t="s">
        <v>26</v>
      </c>
      <c r="C155" s="659" t="s">
        <v>473</v>
      </c>
      <c r="D155" s="583"/>
      <c r="E155" s="583"/>
      <c r="F155" s="67"/>
      <c r="G155" s="89"/>
      <c r="H155" s="89"/>
      <c r="I155" s="570" t="str">
        <f>IF(G155&gt;0,H155/G155*100,"-")</f>
        <v>-</v>
      </c>
      <c r="J155" s="89"/>
      <c r="K155" s="89"/>
      <c r="L155" s="318"/>
      <c r="M155" s="570" t="str">
        <f>IF(K155&gt;0,L155/K155*100,"-")</f>
        <v>-</v>
      </c>
      <c r="N155" s="634"/>
    </row>
    <row r="156" spans="1:14">
      <c r="A156" s="582"/>
      <c r="B156" s="65"/>
      <c r="C156" s="659"/>
      <c r="D156" s="583"/>
      <c r="E156" s="583"/>
      <c r="F156" s="67" t="s">
        <v>21</v>
      </c>
      <c r="G156" s="89">
        <v>250000</v>
      </c>
      <c r="H156" s="89">
        <f>L156</f>
        <v>2829</v>
      </c>
      <c r="I156" s="570">
        <f>IF(G156&gt;0,H156/G156*100,"-")</f>
        <v>1.1315999999999999</v>
      </c>
      <c r="J156" s="89">
        <v>50000</v>
      </c>
      <c r="K156" s="89">
        <v>50000</v>
      </c>
      <c r="L156" s="70">
        <v>2829</v>
      </c>
      <c r="M156" s="570">
        <f>IF(K156&gt;0,L156/K156*100,"-")</f>
        <v>5.6579999999999995</v>
      </c>
      <c r="N156" s="634"/>
    </row>
    <row r="157" spans="1:14">
      <c r="A157" s="620"/>
      <c r="B157" s="72"/>
      <c r="C157" s="660"/>
      <c r="D157" s="573"/>
      <c r="E157" s="573"/>
      <c r="F157" s="72"/>
      <c r="G157" s="110"/>
      <c r="H157" s="110"/>
      <c r="I157" s="75"/>
      <c r="J157" s="110"/>
      <c r="K157" s="114"/>
      <c r="L157" s="74"/>
      <c r="M157" s="75"/>
      <c r="N157" s="635"/>
    </row>
    <row r="158" spans="1:14">
      <c r="A158" s="619" t="s">
        <v>52</v>
      </c>
      <c r="B158" s="61"/>
      <c r="C158" s="62"/>
      <c r="D158" s="60"/>
      <c r="E158" s="60">
        <v>600</v>
      </c>
      <c r="F158" s="61"/>
      <c r="G158" s="108"/>
      <c r="H158" s="108"/>
      <c r="I158" s="64"/>
      <c r="J158" s="108"/>
      <c r="K158" s="113"/>
      <c r="L158" s="63"/>
      <c r="M158" s="64"/>
      <c r="N158" s="661" t="s">
        <v>474</v>
      </c>
    </row>
    <row r="159" spans="1:14">
      <c r="A159" s="582"/>
      <c r="B159" s="65" t="s">
        <v>32</v>
      </c>
      <c r="C159" s="329" t="s">
        <v>475</v>
      </c>
      <c r="D159" s="583" t="s">
        <v>457</v>
      </c>
      <c r="E159" s="383"/>
      <c r="F159" s="66" t="s">
        <v>33</v>
      </c>
      <c r="G159" s="109">
        <f>SUM(G161:G163)</f>
        <v>16347445</v>
      </c>
      <c r="H159" s="109">
        <f>SUM(H161:H163)</f>
        <v>3574050.12</v>
      </c>
      <c r="I159" s="37">
        <f>IF(G159&gt;0,H159/G159*100,"-")</f>
        <v>21.863050280946045</v>
      </c>
      <c r="J159" s="109">
        <f>SUM(J161:J163)</f>
        <v>1700000</v>
      </c>
      <c r="K159" s="109">
        <f>SUM(K161:K163)</f>
        <v>1700000</v>
      </c>
      <c r="L159" s="36">
        <f>SUM(L161:L163)</f>
        <v>1498604.36</v>
      </c>
      <c r="M159" s="37">
        <f>IF(K159&gt;0,L159/K159*100,"-")</f>
        <v>88.153197647058832</v>
      </c>
      <c r="N159" s="662"/>
    </row>
    <row r="160" spans="1:14">
      <c r="A160" s="582"/>
      <c r="B160" s="65"/>
      <c r="C160" s="329"/>
      <c r="D160" s="583"/>
      <c r="E160" s="383"/>
      <c r="F160" s="66"/>
      <c r="G160" s="109"/>
      <c r="H160" s="109"/>
      <c r="I160" s="37"/>
      <c r="J160" s="109"/>
      <c r="K160" s="109"/>
      <c r="L160" s="36"/>
      <c r="M160" s="37"/>
      <c r="N160" s="662"/>
    </row>
    <row r="161" spans="1:14">
      <c r="A161" s="582"/>
      <c r="B161" s="65" t="s">
        <v>26</v>
      </c>
      <c r="C161" s="317" t="s">
        <v>476</v>
      </c>
      <c r="D161" s="583"/>
      <c r="E161" s="247">
        <v>60015</v>
      </c>
      <c r="F161" s="67" t="s">
        <v>21</v>
      </c>
      <c r="G161" s="112">
        <v>2499556</v>
      </c>
      <c r="H161" s="112">
        <v>636556.80000000005</v>
      </c>
      <c r="I161" s="37">
        <f>IF(G161&gt;0,H161/G161*100,"-")</f>
        <v>25.466794902774737</v>
      </c>
      <c r="J161" s="112">
        <v>200000</v>
      </c>
      <c r="K161" s="89">
        <v>200000</v>
      </c>
      <c r="L161" s="76">
        <v>200000</v>
      </c>
      <c r="M161" s="37">
        <f>IF(K161&gt;0,L161/K161*100,"-")</f>
        <v>100</v>
      </c>
      <c r="N161" s="662"/>
    </row>
    <row r="162" spans="1:14">
      <c r="A162" s="582"/>
      <c r="B162" s="65"/>
      <c r="C162" s="317"/>
      <c r="D162" s="583"/>
      <c r="E162" s="247"/>
      <c r="F162" s="67"/>
      <c r="G162" s="89"/>
      <c r="H162" s="89"/>
      <c r="I162" s="68"/>
      <c r="J162" s="89"/>
      <c r="K162" s="89"/>
      <c r="L162" s="318"/>
      <c r="M162" s="68"/>
      <c r="N162" s="662"/>
    </row>
    <row r="163" spans="1:14">
      <c r="A163" s="582"/>
      <c r="B163" s="65"/>
      <c r="C163" s="69"/>
      <c r="D163" s="583"/>
      <c r="E163" s="247">
        <v>60016</v>
      </c>
      <c r="F163" s="67" t="s">
        <v>21</v>
      </c>
      <c r="G163" s="89">
        <v>13847889</v>
      </c>
      <c r="H163" s="89">
        <v>2937493.32</v>
      </c>
      <c r="I163" s="68">
        <f>IF(G163&gt;0,H163/G163*100,"-")</f>
        <v>21.212571244613528</v>
      </c>
      <c r="J163" s="89">
        <v>1500000</v>
      </c>
      <c r="K163" s="89">
        <v>1500000</v>
      </c>
      <c r="L163" s="70">
        <v>1298604.3600000001</v>
      </c>
      <c r="M163" s="68">
        <f>IF(K163&gt;0,L163/K163*100,"-")</f>
        <v>86.573624000000009</v>
      </c>
      <c r="N163" s="662"/>
    </row>
    <row r="164" spans="1:14">
      <c r="A164" s="620"/>
      <c r="B164" s="72"/>
      <c r="C164" s="73"/>
      <c r="D164" s="71"/>
      <c r="E164" s="71"/>
      <c r="F164" s="72"/>
      <c r="G164" s="110"/>
      <c r="H164" s="74"/>
      <c r="I164" s="75"/>
      <c r="J164" s="110"/>
      <c r="K164" s="114"/>
      <c r="L164" s="74"/>
      <c r="M164" s="75"/>
      <c r="N164" s="663"/>
    </row>
    <row r="165" spans="1:14" ht="16.5" customHeight="1">
      <c r="A165" s="390" t="s">
        <v>51</v>
      </c>
      <c r="B165" s="664" t="s">
        <v>477</v>
      </c>
      <c r="C165" s="665"/>
      <c r="D165" s="391"/>
      <c r="E165" s="392"/>
      <c r="F165" s="252" t="s">
        <v>33</v>
      </c>
      <c r="G165" s="393">
        <f>G166+G167</f>
        <v>565694011</v>
      </c>
      <c r="H165" s="393">
        <f t="shared" ref="H165:M165" si="9">H166+H167</f>
        <v>136739075.16</v>
      </c>
      <c r="I165" s="394">
        <f t="shared" si="9"/>
        <v>24.171914940071726</v>
      </c>
      <c r="J165" s="393">
        <f t="shared" si="9"/>
        <v>74734331</v>
      </c>
      <c r="K165" s="393">
        <f t="shared" si="9"/>
        <v>77043455</v>
      </c>
      <c r="L165" s="395">
        <f>L166+L167</f>
        <v>75965479.069999993</v>
      </c>
      <c r="M165" s="394">
        <f t="shared" si="9"/>
        <v>13.583960666666666</v>
      </c>
      <c r="N165" s="396"/>
    </row>
    <row r="166" spans="1:14">
      <c r="A166" s="397"/>
      <c r="B166" s="282"/>
      <c r="C166" s="282"/>
      <c r="D166" s="391"/>
      <c r="E166" s="392"/>
      <c r="F166" s="398" t="s">
        <v>21</v>
      </c>
      <c r="G166" s="283">
        <f>G171+G176+G188+G199+G217+G222+G227+G232</f>
        <v>565690411</v>
      </c>
      <c r="H166" s="283">
        <f>H171+H176+H188+H199+H217+H222+H227+H232</f>
        <v>136739075.16</v>
      </c>
      <c r="I166" s="399">
        <f>IF(G165&gt;0,H166/G165*100,"-")</f>
        <v>24.171914940071726</v>
      </c>
      <c r="J166" s="283">
        <f>J171+J176+J188+J199+J217+J222+J227+J232</f>
        <v>74734331</v>
      </c>
      <c r="K166" s="283">
        <f>K171+K176+K188+K199+K217+K222+K227+K232</f>
        <v>77040575</v>
      </c>
      <c r="L166" s="153">
        <f>L171+L176+L188+L199+L217+L222+L227+L232</f>
        <v>75963719.629999995</v>
      </c>
      <c r="M166" s="399">
        <v>13.583960666666666</v>
      </c>
      <c r="N166" s="396"/>
    </row>
    <row r="167" spans="1:14">
      <c r="A167" s="397"/>
      <c r="B167" s="400"/>
      <c r="C167" s="401"/>
      <c r="D167" s="391"/>
      <c r="E167" s="392"/>
      <c r="F167" s="398" t="s">
        <v>435</v>
      </c>
      <c r="G167" s="283">
        <f>G211</f>
        <v>3600</v>
      </c>
      <c r="H167" s="283"/>
      <c r="I167" s="283"/>
      <c r="J167" s="283"/>
      <c r="K167" s="283">
        <f>K211</f>
        <v>2880</v>
      </c>
      <c r="L167" s="153">
        <f>L211</f>
        <v>1759.44</v>
      </c>
      <c r="M167" s="283"/>
      <c r="N167" s="396"/>
    </row>
    <row r="168" spans="1:14">
      <c r="A168" s="402"/>
      <c r="B168" s="403"/>
      <c r="C168" s="404"/>
      <c r="D168" s="405"/>
      <c r="E168" s="406"/>
      <c r="F168" s="403"/>
      <c r="G168" s="407"/>
      <c r="H168" s="408"/>
      <c r="I168" s="409"/>
      <c r="J168" s="410"/>
      <c r="K168" s="407"/>
      <c r="L168" s="316"/>
      <c r="M168" s="409"/>
      <c r="N168" s="411"/>
    </row>
    <row r="169" spans="1:14" ht="17.25" customHeight="1">
      <c r="A169" s="619" t="s">
        <v>6</v>
      </c>
      <c r="B169" s="61"/>
      <c r="C169" s="62"/>
      <c r="D169" s="60"/>
      <c r="E169" s="412"/>
      <c r="F169" s="61"/>
      <c r="G169" s="108"/>
      <c r="H169" s="108"/>
      <c r="I169" s="68"/>
      <c r="J169" s="108"/>
      <c r="K169" s="113"/>
      <c r="L169" s="63"/>
      <c r="M169" s="64"/>
      <c r="N169" s="666" t="s">
        <v>478</v>
      </c>
    </row>
    <row r="170" spans="1:14">
      <c r="A170" s="582"/>
      <c r="B170" s="65" t="s">
        <v>32</v>
      </c>
      <c r="C170" s="69" t="s">
        <v>479</v>
      </c>
      <c r="D170" s="583" t="s">
        <v>457</v>
      </c>
      <c r="E170" s="583" t="s">
        <v>480</v>
      </c>
      <c r="F170" s="66" t="s">
        <v>33</v>
      </c>
      <c r="G170" s="109">
        <f>G171+G172</f>
        <v>65415700</v>
      </c>
      <c r="H170" s="109">
        <f>H171+H172</f>
        <v>8142000</v>
      </c>
      <c r="I170" s="37">
        <f>IF(G170&gt;0,H170/G170*100,"-")</f>
        <v>12.446553350342501</v>
      </c>
      <c r="J170" s="109">
        <f>J171+J172</f>
        <v>8142000</v>
      </c>
      <c r="K170" s="109">
        <f>K171+K172</f>
        <v>8142000</v>
      </c>
      <c r="L170" s="36">
        <f>L171+L172</f>
        <v>8142000</v>
      </c>
      <c r="M170" s="68">
        <f>IF(K170&gt;0,L170/K170*100,"-")</f>
        <v>100</v>
      </c>
      <c r="N170" s="667"/>
    </row>
    <row r="171" spans="1:14" ht="33.75">
      <c r="A171" s="582"/>
      <c r="B171" s="65" t="s">
        <v>26</v>
      </c>
      <c r="C171" s="69" t="s">
        <v>481</v>
      </c>
      <c r="D171" s="583"/>
      <c r="E171" s="583"/>
      <c r="F171" s="67" t="s">
        <v>21</v>
      </c>
      <c r="G171" s="89">
        <v>65415700</v>
      </c>
      <c r="H171" s="89">
        <v>8142000</v>
      </c>
      <c r="I171" s="37">
        <f t="shared" ref="I171:I232" si="10">IF(G171&gt;0,H171/G171*100,"-")</f>
        <v>12.446553350342501</v>
      </c>
      <c r="J171" s="89">
        <v>8142000</v>
      </c>
      <c r="K171" s="89">
        <v>8142000</v>
      </c>
      <c r="L171" s="318">
        <v>8142000</v>
      </c>
      <c r="M171" s="68">
        <f t="shared" ref="M171:M232" si="11">IF(K171&gt;0,L171/K171*100,"-")</f>
        <v>100</v>
      </c>
      <c r="N171" s="667"/>
    </row>
    <row r="172" spans="1:14">
      <c r="A172" s="582"/>
      <c r="B172" s="65"/>
      <c r="C172" s="69"/>
      <c r="D172" s="583"/>
      <c r="E172" s="583"/>
      <c r="F172" s="67"/>
      <c r="G172" s="89"/>
      <c r="H172" s="89"/>
      <c r="I172" s="37"/>
      <c r="J172" s="89"/>
      <c r="K172" s="89"/>
      <c r="L172" s="318"/>
      <c r="M172" s="68"/>
      <c r="N172" s="667"/>
    </row>
    <row r="173" spans="1:14" ht="81.75" customHeight="1">
      <c r="A173" s="620"/>
      <c r="B173" s="72"/>
      <c r="C173" s="73"/>
      <c r="D173" s="303"/>
      <c r="E173" s="303"/>
      <c r="F173" s="304"/>
      <c r="G173" s="110"/>
      <c r="H173" s="110"/>
      <c r="I173" s="37"/>
      <c r="J173" s="110"/>
      <c r="K173" s="114"/>
      <c r="L173" s="413"/>
      <c r="M173" s="68"/>
      <c r="N173" s="668"/>
    </row>
    <row r="174" spans="1:14">
      <c r="A174" s="619" t="s">
        <v>39</v>
      </c>
      <c r="B174" s="61"/>
      <c r="C174" s="62"/>
      <c r="D174" s="571"/>
      <c r="E174" s="577"/>
      <c r="F174" s="61"/>
      <c r="G174" s="108"/>
      <c r="H174" s="108"/>
      <c r="I174" s="414"/>
      <c r="J174" s="108"/>
      <c r="K174" s="113"/>
      <c r="L174" s="63"/>
      <c r="M174" s="569" t="str">
        <f t="shared" si="11"/>
        <v>-</v>
      </c>
      <c r="N174" s="415"/>
    </row>
    <row r="175" spans="1:14">
      <c r="A175" s="582"/>
      <c r="B175" s="65" t="s">
        <v>32</v>
      </c>
      <c r="C175" s="69" t="s">
        <v>482</v>
      </c>
      <c r="D175" s="583" t="s">
        <v>418</v>
      </c>
      <c r="E175" s="575"/>
      <c r="F175" s="66" t="s">
        <v>33</v>
      </c>
      <c r="G175" s="109">
        <f>G176+G184</f>
        <v>162042756</v>
      </c>
      <c r="H175" s="109">
        <f>H176+H184</f>
        <v>40919102</v>
      </c>
      <c r="I175" s="37">
        <f t="shared" si="10"/>
        <v>25.252040270161785</v>
      </c>
      <c r="J175" s="109">
        <f>J176+J184</f>
        <v>20141859</v>
      </c>
      <c r="K175" s="109">
        <f>K176+K184</f>
        <v>20556835</v>
      </c>
      <c r="L175" s="36">
        <f>L176+L184</f>
        <v>20284335</v>
      </c>
      <c r="M175" s="570">
        <f t="shared" si="11"/>
        <v>98.674406833542221</v>
      </c>
      <c r="N175" s="667" t="s">
        <v>483</v>
      </c>
    </row>
    <row r="176" spans="1:14" ht="22.5">
      <c r="A176" s="582"/>
      <c r="B176" s="65" t="s">
        <v>26</v>
      </c>
      <c r="C176" s="69" t="s">
        <v>484</v>
      </c>
      <c r="D176" s="583"/>
      <c r="E176" s="434">
        <v>921</v>
      </c>
      <c r="F176" s="67" t="s">
        <v>21</v>
      </c>
      <c r="G176" s="89">
        <v>162042756</v>
      </c>
      <c r="H176" s="89">
        <v>40919102</v>
      </c>
      <c r="I176" s="570">
        <f t="shared" si="10"/>
        <v>25.252040270161785</v>
      </c>
      <c r="J176" s="89">
        <f>SUM(J177:J183)</f>
        <v>20141859</v>
      </c>
      <c r="K176" s="89">
        <f>SUM(K177:K183)</f>
        <v>20556835</v>
      </c>
      <c r="L176" s="318">
        <v>20284335</v>
      </c>
      <c r="M176" s="570">
        <f t="shared" si="11"/>
        <v>98.674406833542221</v>
      </c>
      <c r="N176" s="667"/>
    </row>
    <row r="177" spans="1:14" ht="14.25" customHeight="1">
      <c r="A177" s="582"/>
      <c r="B177" s="65"/>
      <c r="C177" s="69"/>
      <c r="D177" s="583"/>
      <c r="E177" s="575">
        <v>92106</v>
      </c>
      <c r="F177" s="67" t="s">
        <v>21</v>
      </c>
      <c r="G177" s="89">
        <v>18035800</v>
      </c>
      <c r="H177" s="89">
        <v>4598200</v>
      </c>
      <c r="I177" s="570">
        <f t="shared" si="10"/>
        <v>25.494849133390257</v>
      </c>
      <c r="J177" s="89">
        <v>2239600</v>
      </c>
      <c r="K177" s="334">
        <v>2297200</v>
      </c>
      <c r="L177" s="70">
        <v>2297200</v>
      </c>
      <c r="M177" s="570">
        <f t="shared" si="11"/>
        <v>100</v>
      </c>
      <c r="N177" s="667"/>
    </row>
    <row r="178" spans="1:14" ht="15.75" customHeight="1">
      <c r="A178" s="582"/>
      <c r="B178" s="65"/>
      <c r="C178" s="69"/>
      <c r="D178" s="583"/>
      <c r="E178" s="574">
        <v>92109</v>
      </c>
      <c r="F178" s="67" t="s">
        <v>21</v>
      </c>
      <c r="G178" s="89">
        <v>31115864</v>
      </c>
      <c r="H178" s="89">
        <v>8222466</v>
      </c>
      <c r="I178" s="570">
        <f t="shared" si="10"/>
        <v>26.425317966423815</v>
      </c>
      <c r="J178" s="89">
        <f>2061000+1753983</f>
        <v>3814983</v>
      </c>
      <c r="K178" s="334">
        <v>4086483</v>
      </c>
      <c r="L178" s="318">
        <v>4082983</v>
      </c>
      <c r="M178" s="570">
        <f t="shared" si="11"/>
        <v>99.914351778778965</v>
      </c>
      <c r="N178" s="667"/>
    </row>
    <row r="179" spans="1:14" ht="14.25" customHeight="1">
      <c r="A179" s="582"/>
      <c r="B179" s="65"/>
      <c r="C179" s="69"/>
      <c r="D179" s="583"/>
      <c r="E179" s="574">
        <v>92110</v>
      </c>
      <c r="F179" s="67" t="s">
        <v>21</v>
      </c>
      <c r="G179" s="89">
        <v>7895400</v>
      </c>
      <c r="H179" s="89">
        <v>2028600</v>
      </c>
      <c r="I179" s="570">
        <f t="shared" si="10"/>
        <v>25.693441750892926</v>
      </c>
      <c r="J179" s="89">
        <v>977800</v>
      </c>
      <c r="K179" s="334">
        <v>1013800</v>
      </c>
      <c r="L179" s="70">
        <v>1013800</v>
      </c>
      <c r="M179" s="570">
        <f t="shared" si="11"/>
        <v>100</v>
      </c>
      <c r="N179" s="667"/>
    </row>
    <row r="180" spans="1:14" ht="17.25" customHeight="1">
      <c r="A180" s="582"/>
      <c r="B180" s="65"/>
      <c r="C180" s="69"/>
      <c r="D180" s="583"/>
      <c r="E180" s="574">
        <v>92113</v>
      </c>
      <c r="F180" s="67" t="s">
        <v>21</v>
      </c>
      <c r="G180" s="89">
        <v>33316112</v>
      </c>
      <c r="H180" s="89">
        <v>8177712</v>
      </c>
      <c r="I180" s="570">
        <f t="shared" si="10"/>
        <v>24.545817351076259</v>
      </c>
      <c r="J180" s="89">
        <v>4146400</v>
      </c>
      <c r="K180" s="334">
        <v>4136812</v>
      </c>
      <c r="L180" s="70">
        <v>3876812</v>
      </c>
      <c r="M180" s="570">
        <f t="shared" si="11"/>
        <v>93.714966984238103</v>
      </c>
      <c r="N180" s="667"/>
    </row>
    <row r="181" spans="1:14" ht="16.5" customHeight="1">
      <c r="A181" s="582"/>
      <c r="B181" s="65"/>
      <c r="C181" s="69"/>
      <c r="D181" s="583"/>
      <c r="E181" s="574">
        <v>92114</v>
      </c>
      <c r="F181" s="67" t="s">
        <v>21</v>
      </c>
      <c r="G181" s="89">
        <v>14456876</v>
      </c>
      <c r="H181" s="89">
        <v>3647876</v>
      </c>
      <c r="I181" s="570">
        <f t="shared" si="10"/>
        <v>25.232809633284536</v>
      </c>
      <c r="J181" s="89">
        <v>1800000</v>
      </c>
      <c r="K181" s="334">
        <v>1829876</v>
      </c>
      <c r="L181" s="70">
        <v>1820876</v>
      </c>
      <c r="M181" s="570">
        <f t="shared" si="11"/>
        <v>99.508163394678107</v>
      </c>
      <c r="N181" s="667"/>
    </row>
    <row r="182" spans="1:14" ht="16.5" customHeight="1">
      <c r="A182" s="582"/>
      <c r="B182" s="65"/>
      <c r="C182" s="69"/>
      <c r="D182" s="583"/>
      <c r="E182" s="574">
        <v>92116</v>
      </c>
      <c r="F182" s="67" t="s">
        <v>21</v>
      </c>
      <c r="G182" s="89">
        <v>34886016</v>
      </c>
      <c r="H182" s="89">
        <v>8594294</v>
      </c>
      <c r="I182" s="570">
        <f t="shared" si="10"/>
        <v>24.635355324035853</v>
      </c>
      <c r="J182" s="89">
        <v>4290399</v>
      </c>
      <c r="K182" s="334">
        <v>4290399</v>
      </c>
      <c r="L182" s="70">
        <v>4290399</v>
      </c>
      <c r="M182" s="570">
        <f t="shared" si="11"/>
        <v>100</v>
      </c>
      <c r="N182" s="667"/>
    </row>
    <row r="183" spans="1:14" ht="15.75" customHeight="1">
      <c r="A183" s="582"/>
      <c r="B183" s="65"/>
      <c r="C183" s="69"/>
      <c r="D183" s="583"/>
      <c r="E183" s="574">
        <v>92118</v>
      </c>
      <c r="F183" s="67" t="s">
        <v>21</v>
      </c>
      <c r="G183" s="89">
        <v>22886016</v>
      </c>
      <c r="H183" s="89">
        <v>5649954</v>
      </c>
      <c r="I183" s="570">
        <f t="shared" si="10"/>
        <v>24.687363672209266</v>
      </c>
      <c r="J183" s="89">
        <f>1381677+1491000</f>
        <v>2872677</v>
      </c>
      <c r="K183" s="334">
        <v>2902265</v>
      </c>
      <c r="L183" s="70">
        <v>2902265</v>
      </c>
      <c r="M183" s="570">
        <f t="shared" si="11"/>
        <v>100</v>
      </c>
      <c r="N183" s="667"/>
    </row>
    <row r="184" spans="1:14">
      <c r="A184" s="582"/>
      <c r="B184" s="65"/>
      <c r="C184" s="69"/>
      <c r="D184" s="583"/>
      <c r="E184" s="383"/>
      <c r="F184" s="67"/>
      <c r="G184" s="89"/>
      <c r="H184" s="318"/>
      <c r="I184" s="37"/>
      <c r="J184" s="89"/>
      <c r="K184" s="89"/>
      <c r="L184" s="318"/>
      <c r="M184" s="570"/>
      <c r="N184" s="667"/>
    </row>
    <row r="185" spans="1:14">
      <c r="A185" s="620"/>
      <c r="B185" s="72"/>
      <c r="C185" s="73"/>
      <c r="D185" s="579"/>
      <c r="E185" s="579"/>
      <c r="F185" s="304"/>
      <c r="G185" s="110"/>
      <c r="H185" s="74"/>
      <c r="I185" s="417" t="str">
        <f t="shared" si="10"/>
        <v>-</v>
      </c>
      <c r="J185" s="110"/>
      <c r="K185" s="114"/>
      <c r="L185" s="413"/>
      <c r="M185" s="75" t="str">
        <f t="shared" si="11"/>
        <v>-</v>
      </c>
      <c r="N185" s="418"/>
    </row>
    <row r="186" spans="1:14" ht="3" customHeight="1">
      <c r="A186" s="619" t="s">
        <v>41</v>
      </c>
      <c r="B186" s="61"/>
      <c r="C186" s="62"/>
      <c r="D186" s="60"/>
      <c r="E186" s="412"/>
      <c r="F186" s="61"/>
      <c r="G186" s="108"/>
      <c r="H186" s="63"/>
      <c r="I186" s="414" t="str">
        <f t="shared" si="10"/>
        <v>-</v>
      </c>
      <c r="J186" s="108"/>
      <c r="K186" s="113"/>
      <c r="L186" s="63"/>
      <c r="M186" s="64" t="str">
        <f t="shared" si="11"/>
        <v>-</v>
      </c>
      <c r="N186" s="415"/>
    </row>
    <row r="187" spans="1:14" ht="43.5" customHeight="1">
      <c r="A187" s="582"/>
      <c r="B187" s="65" t="s">
        <v>32</v>
      </c>
      <c r="C187" s="382" t="s">
        <v>485</v>
      </c>
      <c r="D187" s="669" t="s">
        <v>418</v>
      </c>
      <c r="E187" s="248"/>
      <c r="F187" s="66" t="s">
        <v>33</v>
      </c>
      <c r="G187" s="217">
        <f>SUM(G188)</f>
        <v>203732287</v>
      </c>
      <c r="H187" s="217">
        <f>SUM(H188)</f>
        <v>59717818.579999998</v>
      </c>
      <c r="I187" s="37">
        <f t="shared" si="10"/>
        <v>29.311907042009494</v>
      </c>
      <c r="J187" s="217">
        <f>SUM(J188)</f>
        <v>28538452</v>
      </c>
      <c r="K187" s="217">
        <f>SUM(K188)</f>
        <v>30440671</v>
      </c>
      <c r="L187" s="419">
        <f>SUM(L188)</f>
        <v>30243363.960000001</v>
      </c>
      <c r="M187" s="68">
        <f t="shared" si="11"/>
        <v>99.351830844990246</v>
      </c>
      <c r="N187" s="667" t="s">
        <v>486</v>
      </c>
    </row>
    <row r="188" spans="1:14" ht="12" customHeight="1">
      <c r="A188" s="582"/>
      <c r="B188" s="65"/>
      <c r="C188" s="382"/>
      <c r="D188" s="669"/>
      <c r="E188" s="420"/>
      <c r="F188" s="421" t="s">
        <v>487</v>
      </c>
      <c r="G188" s="115">
        <f>G189+G193</f>
        <v>203732287</v>
      </c>
      <c r="H188" s="115">
        <f>H189+H193</f>
        <v>59717818.579999998</v>
      </c>
      <c r="I188" s="37">
        <f t="shared" si="10"/>
        <v>29.311907042009494</v>
      </c>
      <c r="J188" s="89">
        <f>J189+J193</f>
        <v>28538452</v>
      </c>
      <c r="K188" s="89">
        <f>K189+K193</f>
        <v>30440671</v>
      </c>
      <c r="L188" s="318">
        <f>L189+L193</f>
        <v>30243363.960000001</v>
      </c>
      <c r="M188" s="68">
        <f t="shared" si="11"/>
        <v>99.351830844990246</v>
      </c>
      <c r="N188" s="667"/>
    </row>
    <row r="189" spans="1:14" ht="22.5">
      <c r="A189" s="582"/>
      <c r="B189" s="65" t="s">
        <v>26</v>
      </c>
      <c r="C189" s="382" t="s">
        <v>488</v>
      </c>
      <c r="D189" s="583"/>
      <c r="E189" s="416">
        <v>801</v>
      </c>
      <c r="F189" s="67"/>
      <c r="G189" s="212">
        <f>G190+G191+G192</f>
        <v>158996482</v>
      </c>
      <c r="H189" s="212">
        <f>H190+H191+H192</f>
        <v>48324443.43</v>
      </c>
      <c r="I189" s="422">
        <f t="shared" si="10"/>
        <v>30.39340419494313</v>
      </c>
      <c r="J189" s="423">
        <f>J190+J191+J192</f>
        <v>20732155</v>
      </c>
      <c r="K189" s="423">
        <f>K190+K191+K192</f>
        <v>24400502</v>
      </c>
      <c r="L189" s="424">
        <f>L190+L191+L192</f>
        <v>24267272.789999999</v>
      </c>
      <c r="M189" s="209">
        <f t="shared" si="11"/>
        <v>99.453989881027852</v>
      </c>
      <c r="N189" s="667"/>
    </row>
    <row r="190" spans="1:14" ht="15" customHeight="1">
      <c r="A190" s="582"/>
      <c r="B190" s="65"/>
      <c r="C190" s="382"/>
      <c r="D190" s="583"/>
      <c r="E190" s="248">
        <v>80120</v>
      </c>
      <c r="F190" s="67" t="s">
        <v>21</v>
      </c>
      <c r="G190" s="115">
        <v>28803337</v>
      </c>
      <c r="H190" s="425">
        <v>7906650.3600000003</v>
      </c>
      <c r="I190" s="37">
        <f t="shared" si="10"/>
        <v>27.450466451161549</v>
      </c>
      <c r="J190" s="350">
        <v>3948440</v>
      </c>
      <c r="K190" s="350">
        <v>4045830</v>
      </c>
      <c r="L190" s="353">
        <v>4011531.42</v>
      </c>
      <c r="M190" s="68">
        <f t="shared" si="11"/>
        <v>99.152248611533352</v>
      </c>
      <c r="N190" s="667"/>
    </row>
    <row r="191" spans="1:14" ht="15" customHeight="1">
      <c r="A191" s="582"/>
      <c r="B191" s="65"/>
      <c r="C191" s="382"/>
      <c r="D191" s="583"/>
      <c r="E191" s="247">
        <v>80123</v>
      </c>
      <c r="F191" s="67" t="s">
        <v>21</v>
      </c>
      <c r="G191" s="115">
        <v>7775762</v>
      </c>
      <c r="H191" s="425">
        <v>1787766.03</v>
      </c>
      <c r="I191" s="37">
        <f t="shared" si="10"/>
        <v>22.991521988455922</v>
      </c>
      <c r="J191" s="350">
        <v>905680</v>
      </c>
      <c r="K191" s="350">
        <v>782391</v>
      </c>
      <c r="L191" s="353">
        <v>774816.03</v>
      </c>
      <c r="M191" s="68">
        <f t="shared" si="11"/>
        <v>99.031817850665462</v>
      </c>
      <c r="N191" s="667"/>
    </row>
    <row r="192" spans="1:14" ht="15.75" customHeight="1">
      <c r="A192" s="582"/>
      <c r="B192" s="65"/>
      <c r="C192" s="382"/>
      <c r="D192" s="583"/>
      <c r="E192" s="247">
        <v>80130</v>
      </c>
      <c r="F192" s="67" t="s">
        <v>21</v>
      </c>
      <c r="G192" s="115">
        <v>122417383</v>
      </c>
      <c r="H192" s="425">
        <v>38630027.039999999</v>
      </c>
      <c r="I192" s="37">
        <f t="shared" si="10"/>
        <v>31.555998088931535</v>
      </c>
      <c r="J192" s="350">
        <v>15878035</v>
      </c>
      <c r="K192" s="350">
        <v>19572281</v>
      </c>
      <c r="L192" s="353">
        <v>19480925.34</v>
      </c>
      <c r="M192" s="68">
        <f t="shared" si="11"/>
        <v>99.533239585105079</v>
      </c>
      <c r="N192" s="667"/>
    </row>
    <row r="193" spans="1:14" ht="15.75" customHeight="1">
      <c r="A193" s="582"/>
      <c r="B193" s="65"/>
      <c r="C193" s="382"/>
      <c r="D193" s="583"/>
      <c r="E193" s="247">
        <v>854</v>
      </c>
      <c r="F193" s="67"/>
      <c r="G193" s="212">
        <f>G194+G195+G196</f>
        <v>44735805</v>
      </c>
      <c r="H193" s="212">
        <f>H194+H196+H195</f>
        <v>11393375.149999999</v>
      </c>
      <c r="I193" s="422">
        <f t="shared" si="10"/>
        <v>25.468134864232351</v>
      </c>
      <c r="J193" s="423">
        <f>J194+J195+J196</f>
        <v>7806297</v>
      </c>
      <c r="K193" s="423">
        <f>K194+K195+K196</f>
        <v>6040169</v>
      </c>
      <c r="L193" s="424">
        <f>L194+L195+L196</f>
        <v>5976091.1699999999</v>
      </c>
      <c r="M193" s="209">
        <f t="shared" si="11"/>
        <v>98.939138457880887</v>
      </c>
      <c r="N193" s="667"/>
    </row>
    <row r="194" spans="1:14" ht="15.75" customHeight="1">
      <c r="A194" s="582"/>
      <c r="B194" s="65"/>
      <c r="C194" s="69"/>
      <c r="D194" s="583"/>
      <c r="E194" s="247">
        <v>85402</v>
      </c>
      <c r="F194" s="67" t="s">
        <v>21</v>
      </c>
      <c r="G194" s="115">
        <v>15325111</v>
      </c>
      <c r="H194" s="425">
        <v>3214110.76</v>
      </c>
      <c r="I194" s="37">
        <f t="shared" si="10"/>
        <v>20.972838369653569</v>
      </c>
      <c r="J194" s="350">
        <v>1871576</v>
      </c>
      <c r="K194" s="350">
        <v>1451711</v>
      </c>
      <c r="L194" s="353">
        <v>1451710.78</v>
      </c>
      <c r="M194" s="68">
        <f t="shared" si="11"/>
        <v>99.99998484546856</v>
      </c>
      <c r="N194" s="667"/>
    </row>
    <row r="195" spans="1:14" s="433" customFormat="1">
      <c r="A195" s="582"/>
      <c r="B195" s="426"/>
      <c r="C195" s="427"/>
      <c r="D195" s="583"/>
      <c r="E195" s="428">
        <v>85415</v>
      </c>
      <c r="F195" s="429" t="s">
        <v>21</v>
      </c>
      <c r="G195" s="366">
        <v>352</v>
      </c>
      <c r="H195" s="368">
        <v>0</v>
      </c>
      <c r="I195" s="430">
        <f t="shared" si="10"/>
        <v>0</v>
      </c>
      <c r="J195" s="368">
        <v>0</v>
      </c>
      <c r="K195" s="368">
        <v>352</v>
      </c>
      <c r="L195" s="431">
        <v>352</v>
      </c>
      <c r="M195" s="432">
        <f t="shared" si="11"/>
        <v>100</v>
      </c>
      <c r="N195" s="667"/>
    </row>
    <row r="196" spans="1:14" ht="16.5" customHeight="1">
      <c r="A196" s="582"/>
      <c r="B196" s="65"/>
      <c r="C196" s="69"/>
      <c r="D196" s="583"/>
      <c r="E196" s="247">
        <v>85419</v>
      </c>
      <c r="F196" s="67" t="s">
        <v>21</v>
      </c>
      <c r="G196" s="115">
        <v>29410342</v>
      </c>
      <c r="H196" s="425">
        <v>8179264.3899999997</v>
      </c>
      <c r="I196" s="37">
        <f>IF(G196&gt;0,H196/G196*100,"-")</f>
        <v>27.810844192155258</v>
      </c>
      <c r="J196" s="350">
        <v>5934721</v>
      </c>
      <c r="K196" s="350">
        <v>4588106</v>
      </c>
      <c r="L196" s="353">
        <v>4524028.3899999997</v>
      </c>
      <c r="M196" s="68">
        <f>IF(K196&gt;0,L196/K196*100,"-")</f>
        <v>98.603397349581712</v>
      </c>
      <c r="N196" s="667"/>
    </row>
    <row r="197" spans="1:14">
      <c r="A197" s="619" t="s">
        <v>42</v>
      </c>
      <c r="B197" s="61"/>
      <c r="C197" s="62"/>
      <c r="D197" s="60"/>
      <c r="E197" s="412"/>
      <c r="F197" s="92"/>
      <c r="G197" s="108"/>
      <c r="H197" s="108"/>
      <c r="I197" s="414"/>
      <c r="J197" s="108"/>
      <c r="K197" s="113"/>
      <c r="L197" s="63"/>
      <c r="M197" s="64"/>
      <c r="N197" s="415"/>
    </row>
    <row r="198" spans="1:14" ht="33.75">
      <c r="A198" s="582"/>
      <c r="B198" s="65" t="s">
        <v>32</v>
      </c>
      <c r="C198" s="382" t="s">
        <v>489</v>
      </c>
      <c r="D198" s="583" t="s">
        <v>418</v>
      </c>
      <c r="E198" s="248"/>
      <c r="F198" s="66" t="s">
        <v>33</v>
      </c>
      <c r="G198" s="217">
        <f>G200+G207</f>
        <v>92245630</v>
      </c>
      <c r="H198" s="217">
        <f>H200+H207</f>
        <v>22333377.549999997</v>
      </c>
      <c r="I198" s="37">
        <f t="shared" si="10"/>
        <v>24.210770255458169</v>
      </c>
      <c r="J198" s="217">
        <f>J200+J207</f>
        <v>11461548</v>
      </c>
      <c r="K198" s="217">
        <f>K200+K207</f>
        <v>12054607</v>
      </c>
      <c r="L198" s="419">
        <f>L200+L207</f>
        <v>12026459.92</v>
      </c>
      <c r="M198" s="68">
        <f t="shared" si="11"/>
        <v>99.766503545076162</v>
      </c>
      <c r="N198" s="670" t="s">
        <v>490</v>
      </c>
    </row>
    <row r="199" spans="1:14">
      <c r="A199" s="582"/>
      <c r="B199" s="65"/>
      <c r="C199" s="382"/>
      <c r="D199" s="583"/>
      <c r="E199" s="420"/>
      <c r="F199" s="421" t="s">
        <v>491</v>
      </c>
      <c r="G199" s="115">
        <f>SUM(G200,G207)</f>
        <v>92245630</v>
      </c>
      <c r="H199" s="115">
        <f>SUM(H200,H207)</f>
        <v>22333377.549999997</v>
      </c>
      <c r="I199" s="68">
        <f t="shared" si="10"/>
        <v>24.210770255458169</v>
      </c>
      <c r="J199" s="115">
        <f>SUM(J200,J207)</f>
        <v>11461548</v>
      </c>
      <c r="K199" s="115">
        <f>SUM(K200,K207)</f>
        <v>12054607</v>
      </c>
      <c r="L199" s="70">
        <f>SUM(L200,L207)</f>
        <v>12026459.92</v>
      </c>
      <c r="M199" s="68">
        <f t="shared" si="11"/>
        <v>99.766503545076162</v>
      </c>
      <c r="N199" s="670"/>
    </row>
    <row r="200" spans="1:14" ht="22.5">
      <c r="A200" s="582"/>
      <c r="B200" s="65" t="s">
        <v>26</v>
      </c>
      <c r="C200" s="382" t="s">
        <v>488</v>
      </c>
      <c r="D200" s="583"/>
      <c r="E200" s="434">
        <v>801</v>
      </c>
      <c r="F200" s="67" t="s">
        <v>21</v>
      </c>
      <c r="G200" s="115">
        <f>SUM(G201:G206)</f>
        <v>92245420</v>
      </c>
      <c r="H200" s="89">
        <f>SUM(H201:H206)</f>
        <v>22333167.549999997</v>
      </c>
      <c r="I200" s="37">
        <f t="shared" si="10"/>
        <v>24.210597718564237</v>
      </c>
      <c r="J200" s="89">
        <f>SUM(J201:J206)</f>
        <v>11461548</v>
      </c>
      <c r="K200" s="89">
        <f>SUM(K201:K206)</f>
        <v>12054397</v>
      </c>
      <c r="L200" s="318">
        <f>SUM(L201:L206)</f>
        <v>12026249.92</v>
      </c>
      <c r="M200" s="68">
        <f t="shared" si="11"/>
        <v>99.766499477327656</v>
      </c>
      <c r="N200" s="670"/>
    </row>
    <row r="201" spans="1:14">
      <c r="A201" s="582"/>
      <c r="B201" s="65"/>
      <c r="C201" s="382"/>
      <c r="D201" s="583"/>
      <c r="E201" s="248">
        <v>80101</v>
      </c>
      <c r="F201" s="67" t="s">
        <v>21</v>
      </c>
      <c r="G201" s="115">
        <v>18672005</v>
      </c>
      <c r="H201" s="425">
        <v>5133816.95</v>
      </c>
      <c r="I201" s="37">
        <f>IF(G201&gt;0,H201/G201*100,"-")</f>
        <v>27.494727802397229</v>
      </c>
      <c r="J201" s="350">
        <v>2528516</v>
      </c>
      <c r="K201" s="350">
        <v>2732400</v>
      </c>
      <c r="L201" s="353">
        <v>2729812.5</v>
      </c>
      <c r="M201" s="68">
        <f t="shared" si="11"/>
        <v>99.905303030303031</v>
      </c>
      <c r="N201" s="670"/>
    </row>
    <row r="202" spans="1:14" ht="18" customHeight="1">
      <c r="A202" s="582"/>
      <c r="B202" s="65"/>
      <c r="C202" s="382"/>
      <c r="D202" s="583"/>
      <c r="E202" s="247">
        <v>80103</v>
      </c>
      <c r="F202" s="67" t="s">
        <v>21</v>
      </c>
      <c r="G202" s="115">
        <v>969796</v>
      </c>
      <c r="H202" s="425">
        <v>366795.18</v>
      </c>
      <c r="I202" s="37">
        <f t="shared" si="10"/>
        <v>37.821890376945255</v>
      </c>
      <c r="J202" s="350">
        <v>241894</v>
      </c>
      <c r="K202" s="350">
        <v>193279</v>
      </c>
      <c r="L202" s="353">
        <v>193278.54</v>
      </c>
      <c r="M202" s="68">
        <f t="shared" si="11"/>
        <v>99.999762002079891</v>
      </c>
      <c r="N202" s="670"/>
    </row>
    <row r="203" spans="1:14" ht="12" customHeight="1">
      <c r="A203" s="582"/>
      <c r="B203" s="65"/>
      <c r="C203" s="382"/>
      <c r="D203" s="583"/>
      <c r="E203" s="247">
        <v>80104</v>
      </c>
      <c r="F203" s="67" t="s">
        <v>21</v>
      </c>
      <c r="G203" s="115">
        <v>30104257</v>
      </c>
      <c r="H203" s="425">
        <v>6698422.5700000003</v>
      </c>
      <c r="I203" s="37">
        <f t="shared" si="10"/>
        <v>22.250748689794936</v>
      </c>
      <c r="J203" s="350">
        <v>3162386</v>
      </c>
      <c r="K203" s="350">
        <v>3708928</v>
      </c>
      <c r="L203" s="353">
        <v>3703293.71</v>
      </c>
      <c r="M203" s="68">
        <f t="shared" si="11"/>
        <v>99.848088450355462</v>
      </c>
      <c r="N203" s="670"/>
    </row>
    <row r="204" spans="1:14" ht="14.25" customHeight="1">
      <c r="A204" s="582"/>
      <c r="B204" s="65"/>
      <c r="C204" s="69"/>
      <c r="D204" s="583"/>
      <c r="E204" s="247">
        <v>80105</v>
      </c>
      <c r="F204" s="67" t="s">
        <v>21</v>
      </c>
      <c r="G204" s="115">
        <v>6059877</v>
      </c>
      <c r="H204" s="425">
        <v>1180415.79</v>
      </c>
      <c r="I204" s="37">
        <f t="shared" si="10"/>
        <v>19.479203785819415</v>
      </c>
      <c r="J204" s="350">
        <v>784255</v>
      </c>
      <c r="K204" s="350">
        <v>787944</v>
      </c>
      <c r="L204" s="353">
        <v>787943.56</v>
      </c>
      <c r="M204" s="68">
        <f t="shared" si="11"/>
        <v>99.999944158468125</v>
      </c>
      <c r="N204" s="670"/>
    </row>
    <row r="205" spans="1:14">
      <c r="A205" s="582"/>
      <c r="B205" s="65"/>
      <c r="C205" s="69"/>
      <c r="D205" s="583"/>
      <c r="E205" s="247">
        <v>80106</v>
      </c>
      <c r="F205" s="67" t="s">
        <v>21</v>
      </c>
      <c r="G205" s="115">
        <v>1592680</v>
      </c>
      <c r="H205" s="425">
        <v>146720.01</v>
      </c>
      <c r="I205" s="37">
        <f t="shared" si="10"/>
        <v>9.2121461938368032</v>
      </c>
      <c r="J205" s="350">
        <v>230370</v>
      </c>
      <c r="K205" s="350">
        <v>109444</v>
      </c>
      <c r="L205" s="353">
        <v>109207.81</v>
      </c>
      <c r="M205" s="68">
        <f>IF(K205&gt;0,L205/K205*100,"-")</f>
        <v>99.784191001790873</v>
      </c>
      <c r="N205" s="670"/>
    </row>
    <row r="206" spans="1:14" ht="14.25" customHeight="1">
      <c r="A206" s="582"/>
      <c r="B206" s="65"/>
      <c r="C206" s="69"/>
      <c r="D206" s="583"/>
      <c r="E206" s="247">
        <v>80110</v>
      </c>
      <c r="F206" s="67" t="s">
        <v>21</v>
      </c>
      <c r="G206" s="115">
        <v>34846805</v>
      </c>
      <c r="H206" s="425">
        <v>8806997.0500000007</v>
      </c>
      <c r="I206" s="37">
        <f t="shared" si="10"/>
        <v>25.273470695520007</v>
      </c>
      <c r="J206" s="350">
        <v>4514127</v>
      </c>
      <c r="K206" s="350">
        <v>4522402</v>
      </c>
      <c r="L206" s="353">
        <v>4502713.8</v>
      </c>
      <c r="M206" s="68">
        <f t="shared" si="11"/>
        <v>99.564651705001012</v>
      </c>
      <c r="N206" s="670"/>
    </row>
    <row r="207" spans="1:14" s="433" customFormat="1">
      <c r="A207" s="582"/>
      <c r="B207" s="426"/>
      <c r="C207" s="427"/>
      <c r="D207" s="583"/>
      <c r="E207" s="435">
        <v>854</v>
      </c>
      <c r="F207" s="429"/>
      <c r="G207" s="366">
        <f>G208</f>
        <v>210</v>
      </c>
      <c r="H207" s="368">
        <f>H208</f>
        <v>210</v>
      </c>
      <c r="I207" s="430">
        <f>IF(G207&gt;0,H207/G207*100,"-")</f>
        <v>100</v>
      </c>
      <c r="J207" s="368">
        <v>0</v>
      </c>
      <c r="K207" s="368">
        <f>K208</f>
        <v>210</v>
      </c>
      <c r="L207" s="431">
        <f>L208</f>
        <v>210</v>
      </c>
      <c r="M207" s="432">
        <f t="shared" si="11"/>
        <v>100</v>
      </c>
      <c r="N207" s="670"/>
    </row>
    <row r="208" spans="1:14" s="433" customFormat="1" ht="13.5" customHeight="1">
      <c r="A208" s="620"/>
      <c r="B208" s="436"/>
      <c r="C208" s="437"/>
      <c r="D208" s="438"/>
      <c r="E208" s="438">
        <v>85415</v>
      </c>
      <c r="F208" s="439" t="s">
        <v>21</v>
      </c>
      <c r="G208" s="440">
        <v>210</v>
      </c>
      <c r="H208" s="440">
        <v>210</v>
      </c>
      <c r="I208" s="441">
        <f>IF(G208&gt;0,H208/G208*100,"-")</f>
        <v>100</v>
      </c>
      <c r="J208" s="440">
        <v>0</v>
      </c>
      <c r="K208" s="371">
        <v>210</v>
      </c>
      <c r="L208" s="442">
        <v>210</v>
      </c>
      <c r="M208" s="443">
        <f t="shared" si="11"/>
        <v>100</v>
      </c>
      <c r="N208" s="444"/>
    </row>
    <row r="209" spans="1:158" s="433" customFormat="1">
      <c r="A209" s="445"/>
      <c r="B209" s="426"/>
      <c r="C209" s="427"/>
      <c r="D209" s="428"/>
      <c r="E209" s="428"/>
      <c r="F209" s="671" t="s">
        <v>33</v>
      </c>
      <c r="G209" s="446"/>
      <c r="H209" s="446"/>
      <c r="I209" s="430"/>
      <c r="J209" s="446"/>
      <c r="K209" s="366"/>
      <c r="L209" s="447"/>
      <c r="M209" s="432"/>
      <c r="N209" s="448"/>
    </row>
    <row r="210" spans="1:158" s="433" customFormat="1">
      <c r="A210" s="445"/>
      <c r="B210" s="426" t="s">
        <v>32</v>
      </c>
      <c r="C210" s="449" t="s">
        <v>492</v>
      </c>
      <c r="D210" s="428"/>
      <c r="E210" s="428"/>
      <c r="F210" s="671"/>
      <c r="G210" s="446"/>
      <c r="H210" s="446"/>
      <c r="I210" s="430"/>
      <c r="J210" s="446"/>
      <c r="K210" s="366"/>
      <c r="L210" s="447"/>
      <c r="M210" s="432"/>
      <c r="N210" s="448"/>
    </row>
    <row r="211" spans="1:158" s="433" customFormat="1" ht="22.5">
      <c r="A211" s="445"/>
      <c r="B211" s="426" t="s">
        <v>26</v>
      </c>
      <c r="C211" s="449" t="s">
        <v>493</v>
      </c>
      <c r="D211" s="428" t="s">
        <v>494</v>
      </c>
      <c r="E211" s="428" t="s">
        <v>495</v>
      </c>
      <c r="F211" s="671"/>
      <c r="G211" s="446">
        <v>3600</v>
      </c>
      <c r="H211" s="446">
        <f>H212</f>
        <v>1761</v>
      </c>
      <c r="I211" s="430">
        <f>IF(G211&gt;0,H211/G211*100,"-")</f>
        <v>48.916666666666671</v>
      </c>
      <c r="J211" s="446">
        <v>0</v>
      </c>
      <c r="K211" s="366">
        <v>2880</v>
      </c>
      <c r="L211" s="447">
        <f>L212</f>
        <v>1759.44</v>
      </c>
      <c r="M211" s="432">
        <f>IF(K211&gt;0,L211/K211*100,"-")</f>
        <v>61.091666666666669</v>
      </c>
      <c r="N211" s="448"/>
    </row>
    <row r="212" spans="1:158" s="433" customFormat="1">
      <c r="A212" s="445" t="s">
        <v>43</v>
      </c>
      <c r="B212" s="426"/>
      <c r="C212" s="427"/>
      <c r="D212" s="428"/>
      <c r="E212" s="428"/>
      <c r="F212" s="429" t="s">
        <v>496</v>
      </c>
      <c r="G212" s="446">
        <v>3600</v>
      </c>
      <c r="H212" s="446">
        <v>1761</v>
      </c>
      <c r="I212" s="430">
        <f>IF(G212&gt;0,H212/G212*100,"-")</f>
        <v>48.916666666666671</v>
      </c>
      <c r="J212" s="446">
        <v>0</v>
      </c>
      <c r="K212" s="366">
        <v>2880</v>
      </c>
      <c r="L212" s="447">
        <v>1759.44</v>
      </c>
      <c r="M212" s="432">
        <f>IF(K212&gt;0,L212/K212*100,"-")</f>
        <v>61.091666666666669</v>
      </c>
      <c r="N212" s="448"/>
    </row>
    <row r="213" spans="1:158" s="433" customFormat="1">
      <c r="A213" s="445"/>
      <c r="B213" s="426"/>
      <c r="C213" s="427"/>
      <c r="D213" s="428"/>
      <c r="E213" s="428"/>
      <c r="F213" s="450"/>
      <c r="G213" s="446"/>
      <c r="H213" s="446"/>
      <c r="I213" s="430"/>
      <c r="J213" s="446"/>
      <c r="K213" s="366"/>
      <c r="L213" s="447"/>
      <c r="M213" s="432"/>
      <c r="N213" s="448"/>
    </row>
    <row r="214" spans="1:158" s="433" customFormat="1">
      <c r="A214" s="445"/>
      <c r="B214" s="426"/>
      <c r="C214" s="427"/>
      <c r="D214" s="428"/>
      <c r="E214" s="428"/>
      <c r="F214" s="450"/>
      <c r="G214" s="446"/>
      <c r="H214" s="446"/>
      <c r="I214" s="430"/>
      <c r="J214" s="446"/>
      <c r="K214" s="366"/>
      <c r="L214" s="447"/>
      <c r="M214" s="432"/>
      <c r="N214" s="448"/>
    </row>
    <row r="215" spans="1:158" ht="12.75" customHeight="1">
      <c r="A215" s="571"/>
      <c r="B215" s="61"/>
      <c r="C215" s="62"/>
      <c r="D215" s="621" t="s">
        <v>418</v>
      </c>
      <c r="E215" s="621" t="s">
        <v>497</v>
      </c>
      <c r="F215" s="92"/>
      <c r="G215" s="108"/>
      <c r="H215" s="108"/>
      <c r="I215" s="414" t="str">
        <f t="shared" si="10"/>
        <v>-</v>
      </c>
      <c r="J215" s="108"/>
      <c r="K215" s="113"/>
      <c r="L215" s="63"/>
      <c r="M215" s="569" t="str">
        <f t="shared" si="11"/>
        <v>-</v>
      </c>
      <c r="N215" s="415"/>
      <c r="O215" s="433"/>
      <c r="P215" s="433"/>
      <c r="Q215" s="433"/>
      <c r="R215" s="433"/>
      <c r="S215" s="433"/>
      <c r="T215" s="433"/>
      <c r="U215" s="433"/>
      <c r="V215" s="433"/>
      <c r="W215" s="433"/>
      <c r="X215" s="433"/>
      <c r="Y215" s="433"/>
      <c r="Z215" s="433"/>
      <c r="AA215" s="433"/>
      <c r="AB215" s="433"/>
      <c r="AC215" s="433"/>
      <c r="AD215" s="433"/>
      <c r="AE215" s="433"/>
      <c r="AF215" s="433"/>
      <c r="AG215" s="433"/>
      <c r="AH215" s="433"/>
      <c r="AI215" s="433"/>
      <c r="AJ215" s="433"/>
      <c r="AK215" s="433"/>
      <c r="AL215" s="433"/>
      <c r="AM215" s="433"/>
      <c r="AN215" s="433"/>
      <c r="AO215" s="433"/>
      <c r="AP215" s="433"/>
      <c r="AQ215" s="433"/>
      <c r="AR215" s="433"/>
      <c r="AS215" s="433"/>
      <c r="AT215" s="433"/>
      <c r="AU215" s="433"/>
      <c r="AV215" s="433"/>
      <c r="AW215" s="433"/>
      <c r="AX215" s="433"/>
      <c r="AY215" s="433"/>
      <c r="AZ215" s="433"/>
      <c r="BA215" s="433"/>
      <c r="BB215" s="433"/>
      <c r="BC215" s="433"/>
      <c r="BD215" s="433"/>
      <c r="BE215" s="433"/>
      <c r="BF215" s="433"/>
      <c r="BG215" s="433"/>
      <c r="BH215" s="433"/>
      <c r="BI215" s="433"/>
      <c r="BJ215" s="433"/>
      <c r="BK215" s="433"/>
      <c r="BL215" s="433"/>
      <c r="BM215" s="433"/>
      <c r="BN215" s="433"/>
      <c r="BO215" s="433"/>
      <c r="BP215" s="433"/>
      <c r="BQ215" s="433"/>
      <c r="BR215" s="433"/>
      <c r="BS215" s="433"/>
      <c r="BT215" s="433"/>
      <c r="BU215" s="433"/>
      <c r="BV215" s="433"/>
      <c r="BW215" s="433"/>
      <c r="BX215" s="433"/>
      <c r="BY215" s="433"/>
      <c r="BZ215" s="433"/>
      <c r="CA215" s="433"/>
      <c r="CB215" s="433"/>
      <c r="CC215" s="433"/>
      <c r="CD215" s="433"/>
      <c r="CE215" s="433"/>
      <c r="CF215" s="433"/>
      <c r="CG215" s="433"/>
      <c r="CH215" s="433"/>
      <c r="CI215" s="433"/>
      <c r="CJ215" s="433"/>
      <c r="CK215" s="433"/>
      <c r="CL215" s="433"/>
      <c r="CM215" s="433"/>
      <c r="CN215" s="433"/>
      <c r="CO215" s="433"/>
      <c r="CP215" s="433"/>
      <c r="CQ215" s="433"/>
      <c r="CR215" s="433"/>
      <c r="CS215" s="433"/>
      <c r="CT215" s="433"/>
      <c r="CU215" s="433"/>
      <c r="CV215" s="433"/>
      <c r="CW215" s="433"/>
      <c r="CX215" s="433"/>
      <c r="CY215" s="433"/>
      <c r="CZ215" s="433"/>
      <c r="DA215" s="433"/>
      <c r="DB215" s="433"/>
      <c r="DC215" s="433"/>
      <c r="DD215" s="433"/>
      <c r="DE215" s="433"/>
      <c r="DF215" s="433"/>
      <c r="DG215" s="433"/>
      <c r="DH215" s="433"/>
      <c r="DI215" s="433"/>
      <c r="DJ215" s="433"/>
      <c r="DK215" s="433"/>
      <c r="DL215" s="433"/>
      <c r="DM215" s="433"/>
      <c r="DN215" s="433"/>
      <c r="DO215" s="433"/>
      <c r="DP215" s="433"/>
      <c r="DQ215" s="433"/>
      <c r="DR215" s="433"/>
      <c r="DS215" s="433"/>
      <c r="DT215" s="433"/>
      <c r="DU215" s="433"/>
      <c r="DV215" s="433"/>
      <c r="DW215" s="433"/>
      <c r="DX215" s="433"/>
      <c r="DY215" s="433"/>
      <c r="DZ215" s="433"/>
      <c r="EA215" s="433"/>
      <c r="EB215" s="433"/>
      <c r="EC215" s="433"/>
      <c r="ED215" s="433"/>
      <c r="EE215" s="433"/>
      <c r="EF215" s="433"/>
      <c r="EG215" s="433"/>
      <c r="EH215" s="433"/>
      <c r="EI215" s="433"/>
      <c r="EJ215" s="433"/>
      <c r="EK215" s="433"/>
      <c r="EL215" s="433"/>
      <c r="EM215" s="433"/>
      <c r="EN215" s="433"/>
      <c r="EO215" s="433"/>
      <c r="EP215" s="433"/>
      <c r="EQ215" s="433"/>
      <c r="ER215" s="433"/>
      <c r="ES215" s="433"/>
      <c r="ET215" s="433"/>
      <c r="EU215" s="433"/>
      <c r="EV215" s="433"/>
      <c r="EW215" s="433"/>
      <c r="EX215" s="433"/>
      <c r="EY215" s="433"/>
      <c r="EZ215" s="433"/>
      <c r="FA215" s="433"/>
      <c r="FB215" s="433"/>
    </row>
    <row r="216" spans="1:158" ht="22.5" customHeight="1">
      <c r="A216" s="572"/>
      <c r="B216" s="65" t="s">
        <v>32</v>
      </c>
      <c r="C216" s="69" t="s">
        <v>498</v>
      </c>
      <c r="D216" s="583"/>
      <c r="E216" s="583"/>
      <c r="F216" s="66" t="s">
        <v>33</v>
      </c>
      <c r="G216" s="109">
        <f>G217+G218</f>
        <v>1034886</v>
      </c>
      <c r="H216" s="109">
        <f>H217+H218</f>
        <v>232844.95</v>
      </c>
      <c r="I216" s="37">
        <f t="shared" si="10"/>
        <v>22.499574832396998</v>
      </c>
      <c r="J216" s="109">
        <f>J217+J218</f>
        <v>133000</v>
      </c>
      <c r="K216" s="109">
        <f>K217+K218</f>
        <v>133000</v>
      </c>
      <c r="L216" s="36">
        <f>L217+L218</f>
        <v>110958.82</v>
      </c>
      <c r="M216" s="570">
        <f t="shared" si="11"/>
        <v>83.427684210526323</v>
      </c>
      <c r="N216" s="578" t="s">
        <v>499</v>
      </c>
    </row>
    <row r="217" spans="1:158" ht="22.5">
      <c r="A217" s="572" t="s">
        <v>51</v>
      </c>
      <c r="B217" s="65" t="s">
        <v>26</v>
      </c>
      <c r="C217" s="69" t="s">
        <v>500</v>
      </c>
      <c r="D217" s="583"/>
      <c r="E217" s="583"/>
      <c r="F217" s="67" t="s">
        <v>21</v>
      </c>
      <c r="G217" s="89">
        <v>1034886</v>
      </c>
      <c r="H217" s="89">
        <v>232844.95</v>
      </c>
      <c r="I217" s="37">
        <f t="shared" si="10"/>
        <v>22.499574832396998</v>
      </c>
      <c r="J217" s="89">
        <v>133000</v>
      </c>
      <c r="K217" s="89">
        <v>133000</v>
      </c>
      <c r="L217" s="318">
        <v>110958.82</v>
      </c>
      <c r="M217" s="570">
        <f t="shared" si="11"/>
        <v>83.427684210526323</v>
      </c>
      <c r="N217" s="578"/>
    </row>
    <row r="218" spans="1:158" ht="23.25" customHeight="1">
      <c r="A218" s="572"/>
      <c r="B218" s="65"/>
      <c r="C218" s="69"/>
      <c r="D218" s="583"/>
      <c r="E218" s="583"/>
      <c r="F218" s="67"/>
      <c r="G218" s="89"/>
      <c r="H218" s="89"/>
      <c r="I218" s="37"/>
      <c r="J218" s="89"/>
      <c r="K218" s="89"/>
      <c r="L218" s="318"/>
      <c r="M218" s="570"/>
      <c r="N218" s="578"/>
    </row>
    <row r="219" spans="1:158">
      <c r="A219" s="573"/>
      <c r="B219" s="72"/>
      <c r="C219" s="73"/>
      <c r="D219" s="672"/>
      <c r="E219" s="672"/>
      <c r="F219" s="304"/>
      <c r="G219" s="110"/>
      <c r="H219" s="110"/>
      <c r="I219" s="417"/>
      <c r="J219" s="110"/>
      <c r="K219" s="114"/>
      <c r="L219" s="413"/>
      <c r="M219" s="75"/>
      <c r="N219" s="418"/>
    </row>
    <row r="220" spans="1:158">
      <c r="A220" s="673" t="s">
        <v>52</v>
      </c>
      <c r="B220" s="451"/>
      <c r="C220" s="452"/>
      <c r="D220" s="453"/>
      <c r="E220" s="454"/>
      <c r="F220" s="451"/>
      <c r="G220" s="455"/>
      <c r="H220" s="455"/>
      <c r="I220" s="226" t="str">
        <f t="shared" si="10"/>
        <v>-</v>
      </c>
      <c r="J220" s="455"/>
      <c r="K220" s="223"/>
      <c r="L220" s="456"/>
      <c r="M220" s="94" t="str">
        <f t="shared" si="11"/>
        <v>-</v>
      </c>
      <c r="N220" s="415"/>
    </row>
    <row r="221" spans="1:158">
      <c r="A221" s="674"/>
      <c r="B221" s="154" t="s">
        <v>32</v>
      </c>
      <c r="C221" s="457" t="s">
        <v>501</v>
      </c>
      <c r="D221" s="676" t="s">
        <v>418</v>
      </c>
      <c r="E221" s="676" t="s">
        <v>502</v>
      </c>
      <c r="F221" s="458" t="s">
        <v>33</v>
      </c>
      <c r="G221" s="217">
        <f>G222+G223</f>
        <v>22960852</v>
      </c>
      <c r="H221" s="217">
        <f>H222+H223</f>
        <v>4747776</v>
      </c>
      <c r="I221" s="226">
        <f t="shared" si="10"/>
        <v>20.677699590590105</v>
      </c>
      <c r="J221" s="217">
        <f>J222+J223</f>
        <v>2995000</v>
      </c>
      <c r="K221" s="217">
        <f>K222+K223</f>
        <v>2539990</v>
      </c>
      <c r="L221" s="419">
        <f>L222+L223</f>
        <v>2340014</v>
      </c>
      <c r="M221" s="95">
        <f t="shared" si="11"/>
        <v>92.126898137394235</v>
      </c>
      <c r="N221" s="667" t="s">
        <v>503</v>
      </c>
    </row>
    <row r="222" spans="1:158">
      <c r="A222" s="674"/>
      <c r="B222" s="154" t="s">
        <v>26</v>
      </c>
      <c r="C222" s="457" t="s">
        <v>504</v>
      </c>
      <c r="D222" s="676"/>
      <c r="E222" s="676"/>
      <c r="F222" s="459" t="s">
        <v>21</v>
      </c>
      <c r="G222" s="115">
        <v>22960852</v>
      </c>
      <c r="H222" s="115">
        <v>4747776</v>
      </c>
      <c r="I222" s="226">
        <f t="shared" si="10"/>
        <v>20.677699590590105</v>
      </c>
      <c r="J222" s="115">
        <v>2995000</v>
      </c>
      <c r="K222" s="115">
        <v>2539990</v>
      </c>
      <c r="L222" s="70">
        <v>2340014</v>
      </c>
      <c r="M222" s="95">
        <f t="shared" si="11"/>
        <v>92.126898137394235</v>
      </c>
      <c r="N222" s="667"/>
    </row>
    <row r="223" spans="1:158" ht="24.75" customHeight="1">
      <c r="A223" s="674"/>
      <c r="B223" s="154"/>
      <c r="C223" s="460"/>
      <c r="D223" s="676"/>
      <c r="E223" s="676"/>
      <c r="F223" s="459"/>
      <c r="G223" s="115"/>
      <c r="H223" s="115"/>
      <c r="I223" s="226"/>
      <c r="J223" s="115"/>
      <c r="K223" s="115"/>
      <c r="L223" s="70"/>
      <c r="M223" s="95"/>
      <c r="N223" s="667"/>
    </row>
    <row r="224" spans="1:158">
      <c r="A224" s="675"/>
      <c r="B224" s="461"/>
      <c r="C224" s="462"/>
      <c r="D224" s="463"/>
      <c r="E224" s="463"/>
      <c r="F224" s="464"/>
      <c r="G224" s="465"/>
      <c r="H224" s="465"/>
      <c r="I224" s="226"/>
      <c r="J224" s="465"/>
      <c r="K224" s="219"/>
      <c r="L224" s="413"/>
      <c r="M224" s="96"/>
      <c r="N224" s="418"/>
    </row>
    <row r="225" spans="1:14">
      <c r="A225" s="619" t="s">
        <v>53</v>
      </c>
      <c r="B225" s="61"/>
      <c r="C225" s="62"/>
      <c r="D225" s="60"/>
      <c r="E225" s="412"/>
      <c r="F225" s="61"/>
      <c r="G225" s="108"/>
      <c r="H225" s="108"/>
      <c r="I225" s="414" t="str">
        <f t="shared" si="10"/>
        <v>-</v>
      </c>
      <c r="J225" s="108"/>
      <c r="K225" s="113"/>
      <c r="L225" s="63"/>
      <c r="M225" s="68" t="str">
        <f t="shared" si="11"/>
        <v>-</v>
      </c>
      <c r="N225" s="415"/>
    </row>
    <row r="226" spans="1:14" ht="22.5">
      <c r="A226" s="582"/>
      <c r="B226" s="65" t="s">
        <v>32</v>
      </c>
      <c r="C226" s="69" t="s">
        <v>505</v>
      </c>
      <c r="D226" s="583" t="s">
        <v>418</v>
      </c>
      <c r="E226" s="590" t="s">
        <v>506</v>
      </c>
      <c r="F226" s="66" t="s">
        <v>33</v>
      </c>
      <c r="G226" s="109">
        <f>SUM(G227)</f>
        <v>3195940</v>
      </c>
      <c r="H226" s="109">
        <f>SUM(H227)</f>
        <v>393350</v>
      </c>
      <c r="I226" s="37">
        <f t="shared" si="10"/>
        <v>12.307803025088081</v>
      </c>
      <c r="J226" s="109">
        <f>SUM(J227)</f>
        <v>400000</v>
      </c>
      <c r="K226" s="109">
        <f>SUM(K227)</f>
        <v>401000</v>
      </c>
      <c r="L226" s="36">
        <f>SUM(L227)</f>
        <v>394699.48</v>
      </c>
      <c r="M226" s="563">
        <f t="shared" si="11"/>
        <v>98.428798004987527</v>
      </c>
      <c r="N226" s="667" t="s">
        <v>507</v>
      </c>
    </row>
    <row r="227" spans="1:14" ht="22.5">
      <c r="A227" s="582"/>
      <c r="B227" s="65" t="s">
        <v>26</v>
      </c>
      <c r="C227" s="69" t="s">
        <v>508</v>
      </c>
      <c r="D227" s="583"/>
      <c r="E227" s="583"/>
      <c r="F227" s="67" t="s">
        <v>21</v>
      </c>
      <c r="G227" s="89">
        <v>3195940</v>
      </c>
      <c r="H227" s="89">
        <v>393350</v>
      </c>
      <c r="I227" s="37">
        <f t="shared" si="10"/>
        <v>12.307803025088081</v>
      </c>
      <c r="J227" s="115">
        <v>400000</v>
      </c>
      <c r="K227" s="115">
        <v>401000</v>
      </c>
      <c r="L227" s="318">
        <v>394699.48</v>
      </c>
      <c r="M227" s="563">
        <f t="shared" si="11"/>
        <v>98.428798004987527</v>
      </c>
      <c r="N227" s="667"/>
    </row>
    <row r="228" spans="1:14" ht="42.75" customHeight="1">
      <c r="A228" s="582"/>
      <c r="B228" s="72"/>
      <c r="C228" s="73"/>
      <c r="D228" s="672"/>
      <c r="E228" s="672"/>
      <c r="F228" s="384"/>
      <c r="G228" s="114"/>
      <c r="H228" s="114"/>
      <c r="I228" s="417"/>
      <c r="J228" s="114"/>
      <c r="K228" s="114"/>
      <c r="L228" s="344"/>
      <c r="M228" s="75"/>
      <c r="N228" s="668"/>
    </row>
    <row r="229" spans="1:14" s="262" customFormat="1" ht="4.5" customHeight="1">
      <c r="A229" s="620"/>
      <c r="B229" s="466"/>
      <c r="C229" s="467"/>
      <c r="D229" s="468"/>
      <c r="E229" s="468"/>
      <c r="F229" s="469"/>
      <c r="G229" s="470"/>
      <c r="H229" s="470"/>
      <c r="I229" s="471"/>
      <c r="J229" s="112"/>
      <c r="K229" s="472"/>
      <c r="L229" s="473"/>
      <c r="M229" s="474"/>
      <c r="N229" s="475"/>
    </row>
    <row r="230" spans="1:14" ht="6.75" customHeight="1">
      <c r="A230" s="619" t="s">
        <v>58</v>
      </c>
      <c r="B230" s="61"/>
      <c r="C230" s="62"/>
      <c r="D230" s="60"/>
      <c r="E230" s="412"/>
      <c r="F230" s="61"/>
      <c r="G230" s="108"/>
      <c r="H230" s="108"/>
      <c r="I230" s="414" t="str">
        <f t="shared" si="10"/>
        <v>-</v>
      </c>
      <c r="J230" s="108"/>
      <c r="K230" s="113"/>
      <c r="L230" s="63"/>
      <c r="M230" s="64" t="str">
        <f t="shared" si="11"/>
        <v>-</v>
      </c>
      <c r="N230" s="415"/>
    </row>
    <row r="231" spans="1:14">
      <c r="A231" s="582"/>
      <c r="B231" s="65" t="s">
        <v>32</v>
      </c>
      <c r="C231" s="69" t="s">
        <v>509</v>
      </c>
      <c r="D231" s="583" t="s">
        <v>510</v>
      </c>
      <c r="E231" s="590" t="s">
        <v>511</v>
      </c>
      <c r="F231" s="66" t="s">
        <v>33</v>
      </c>
      <c r="G231" s="109">
        <f>G232+G233</f>
        <v>15062360</v>
      </c>
      <c r="H231" s="109">
        <f>H232+H233</f>
        <v>252806.08</v>
      </c>
      <c r="I231" s="37">
        <f t="shared" si="10"/>
        <v>1.6783962141390858</v>
      </c>
      <c r="J231" s="109">
        <f>J232+J233</f>
        <v>2922472</v>
      </c>
      <c r="K231" s="109">
        <f>K232+K233</f>
        <v>2772472</v>
      </c>
      <c r="L231" s="36">
        <f>L232+L233</f>
        <v>2421888.4500000002</v>
      </c>
      <c r="M231" s="68">
        <f t="shared" si="11"/>
        <v>87.354838930744847</v>
      </c>
      <c r="N231" s="667" t="s">
        <v>512</v>
      </c>
    </row>
    <row r="232" spans="1:14" ht="33.75">
      <c r="A232" s="582"/>
      <c r="B232" s="65" t="s">
        <v>26</v>
      </c>
      <c r="C232" s="69" t="s">
        <v>513</v>
      </c>
      <c r="D232" s="583"/>
      <c r="E232" s="583"/>
      <c r="F232" s="67" t="s">
        <v>21</v>
      </c>
      <c r="G232" s="89">
        <v>15062360</v>
      </c>
      <c r="H232" s="112">
        <v>252806.08</v>
      </c>
      <c r="I232" s="37">
        <f t="shared" si="10"/>
        <v>1.6783962141390858</v>
      </c>
      <c r="J232" s="112">
        <v>2922472</v>
      </c>
      <c r="K232" s="112">
        <v>2772472</v>
      </c>
      <c r="L232" s="76">
        <v>2421888.4500000002</v>
      </c>
      <c r="M232" s="68">
        <f t="shared" si="11"/>
        <v>87.354838930744847</v>
      </c>
      <c r="N232" s="667"/>
    </row>
    <row r="233" spans="1:14" ht="27.75" customHeight="1">
      <c r="A233" s="582"/>
      <c r="B233" s="65"/>
      <c r="C233" s="69"/>
      <c r="D233" s="583"/>
      <c r="E233" s="583"/>
      <c r="F233" s="67"/>
      <c r="G233" s="89"/>
      <c r="H233" s="89"/>
      <c r="I233" s="37"/>
      <c r="J233" s="89"/>
      <c r="K233" s="89"/>
      <c r="L233" s="318"/>
      <c r="M233" s="68"/>
      <c r="N233" s="667"/>
    </row>
    <row r="234" spans="1:14" s="262" customFormat="1" ht="2.25" customHeight="1">
      <c r="A234" s="620"/>
      <c r="B234" s="466"/>
      <c r="C234" s="467"/>
      <c r="D234" s="468"/>
      <c r="E234" s="468"/>
      <c r="F234" s="469"/>
      <c r="G234" s="470"/>
      <c r="H234" s="470"/>
      <c r="I234" s="476"/>
      <c r="J234" s="470"/>
      <c r="K234" s="114"/>
      <c r="L234" s="477"/>
      <c r="M234" s="478"/>
      <c r="N234" s="479"/>
    </row>
    <row r="235" spans="1:14">
      <c r="A235" s="27" t="s">
        <v>52</v>
      </c>
      <c r="B235" s="651" t="s">
        <v>514</v>
      </c>
      <c r="C235" s="652"/>
      <c r="D235" s="28"/>
      <c r="E235" s="278"/>
      <c r="F235" s="29"/>
      <c r="G235" s="105"/>
      <c r="H235" s="480"/>
      <c r="I235" s="31"/>
      <c r="J235" s="481"/>
      <c r="K235" s="105"/>
      <c r="L235" s="30"/>
      <c r="M235" s="31"/>
      <c r="N235" s="396"/>
    </row>
    <row r="236" spans="1:14">
      <c r="A236" s="29"/>
      <c r="B236" s="282"/>
      <c r="C236" s="282"/>
      <c r="D236" s="28"/>
      <c r="E236" s="278"/>
      <c r="F236" s="33" t="s">
        <v>21</v>
      </c>
      <c r="G236" s="106">
        <f>SUM(G240)</f>
        <v>13156756</v>
      </c>
      <c r="H236" s="106">
        <f>SUM(H240)</f>
        <v>2637478</v>
      </c>
      <c r="I236" s="399">
        <f>IF(G236&gt;0,H236/G236*100,"-")</f>
        <v>20.046567710155909</v>
      </c>
      <c r="J236" s="106">
        <f>SUM(J240)</f>
        <v>1600000</v>
      </c>
      <c r="K236" s="106">
        <f>SUM(K240)</f>
        <v>1600000</v>
      </c>
      <c r="L236" s="34">
        <f>SUM(L240)</f>
        <v>1325022.3</v>
      </c>
      <c r="M236" s="35">
        <v>13.583960666666666</v>
      </c>
      <c r="N236" s="396"/>
    </row>
    <row r="237" spans="1:14">
      <c r="A237" s="29"/>
      <c r="B237" s="32"/>
      <c r="C237" s="272"/>
      <c r="D237" s="28"/>
      <c r="E237" s="278"/>
      <c r="F237" s="33"/>
      <c r="G237" s="106"/>
      <c r="H237" s="106"/>
      <c r="I237" s="106"/>
      <c r="J237" s="106"/>
      <c r="K237" s="106"/>
      <c r="L237" s="34"/>
      <c r="M237" s="106"/>
      <c r="N237" s="396"/>
    </row>
    <row r="238" spans="1:14">
      <c r="A238" s="55"/>
      <c r="B238" s="56"/>
      <c r="C238" s="315"/>
      <c r="D238" s="57"/>
      <c r="E238" s="482"/>
      <c r="F238" s="55"/>
      <c r="G238" s="107"/>
      <c r="H238" s="483"/>
      <c r="I238" s="59"/>
      <c r="J238" s="484"/>
      <c r="K238" s="107"/>
      <c r="L238" s="58"/>
      <c r="M238" s="59"/>
      <c r="N238" s="411"/>
    </row>
    <row r="239" spans="1:14" ht="12.75" customHeight="1">
      <c r="A239" s="619" t="s">
        <v>6</v>
      </c>
      <c r="B239" s="61"/>
      <c r="C239" s="62"/>
      <c r="D239" s="60"/>
      <c r="E239" s="412"/>
      <c r="F239" s="61"/>
      <c r="G239" s="108"/>
      <c r="H239" s="108"/>
      <c r="I239" s="64"/>
      <c r="J239" s="108"/>
      <c r="K239" s="113"/>
      <c r="L239" s="63"/>
      <c r="M239" s="64"/>
      <c r="N239" s="666" t="s">
        <v>515</v>
      </c>
    </row>
    <row r="240" spans="1:14" ht="11.25" customHeight="1">
      <c r="A240" s="582"/>
      <c r="B240" s="65" t="s">
        <v>32</v>
      </c>
      <c r="C240" s="317" t="s">
        <v>516</v>
      </c>
      <c r="D240" s="583" t="s">
        <v>418</v>
      </c>
      <c r="E240" s="583" t="s">
        <v>517</v>
      </c>
      <c r="F240" s="66" t="s">
        <v>33</v>
      </c>
      <c r="G240" s="109">
        <f>G241+G242</f>
        <v>13156756</v>
      </c>
      <c r="H240" s="109">
        <f>H241+H242</f>
        <v>2637478</v>
      </c>
      <c r="I240" s="37">
        <f>IF(G240&gt;0,H240/G240*100,"-")</f>
        <v>20.046567710155909</v>
      </c>
      <c r="J240" s="109">
        <f>J241+J242</f>
        <v>1600000</v>
      </c>
      <c r="K240" s="109">
        <f>K241+K242</f>
        <v>1600000</v>
      </c>
      <c r="L240" s="36">
        <f>L241+L242</f>
        <v>1325022.3</v>
      </c>
      <c r="M240" s="68">
        <f>IF(K240&gt;0,L240/K240*100,"-")</f>
        <v>82.813893750000005</v>
      </c>
      <c r="N240" s="667"/>
    </row>
    <row r="241" spans="1:14" ht="22.5">
      <c r="A241" s="582"/>
      <c r="B241" s="65" t="s">
        <v>26</v>
      </c>
      <c r="C241" s="69" t="s">
        <v>518</v>
      </c>
      <c r="D241" s="583"/>
      <c r="E241" s="583"/>
      <c r="F241" s="67" t="s">
        <v>21</v>
      </c>
      <c r="G241" s="89">
        <v>13156756</v>
      </c>
      <c r="H241" s="89">
        <v>2637478</v>
      </c>
      <c r="I241" s="37">
        <f>IF(G241&gt;0,H241/G241*100,"-")</f>
        <v>20.046567710155909</v>
      </c>
      <c r="J241" s="89">
        <v>1600000</v>
      </c>
      <c r="K241" s="89">
        <v>1600000</v>
      </c>
      <c r="L241" s="318">
        <v>1325022.3</v>
      </c>
      <c r="M241" s="68">
        <f>IF(K241&gt;0,L241/K241*100,"-")</f>
        <v>82.813893750000005</v>
      </c>
      <c r="N241" s="667"/>
    </row>
    <row r="242" spans="1:14">
      <c r="A242" s="582"/>
      <c r="B242" s="65"/>
      <c r="C242" s="69"/>
      <c r="D242" s="583"/>
      <c r="E242" s="583"/>
      <c r="F242" s="67"/>
      <c r="G242" s="89"/>
      <c r="H242" s="89"/>
      <c r="I242" s="37"/>
      <c r="J242" s="89"/>
      <c r="K242" s="89"/>
      <c r="L242" s="318"/>
      <c r="M242" s="68"/>
      <c r="N242" s="667"/>
    </row>
    <row r="243" spans="1:14">
      <c r="A243" s="620"/>
      <c r="B243" s="72"/>
      <c r="C243" s="73"/>
      <c r="D243" s="303"/>
      <c r="E243" s="303"/>
      <c r="F243" s="304"/>
      <c r="G243" s="110"/>
      <c r="H243" s="110"/>
      <c r="I243" s="417"/>
      <c r="J243" s="110"/>
      <c r="K243" s="114"/>
      <c r="L243" s="413"/>
      <c r="M243" s="75"/>
      <c r="N243" s="418"/>
    </row>
    <row r="244" spans="1:14">
      <c r="A244" s="27" t="s">
        <v>53</v>
      </c>
      <c r="B244" s="651" t="s">
        <v>519</v>
      </c>
      <c r="C244" s="652"/>
      <c r="D244" s="28"/>
      <c r="E244" s="278"/>
      <c r="F244" s="29"/>
      <c r="G244" s="105"/>
      <c r="H244" s="480"/>
      <c r="I244" s="31"/>
      <c r="J244" s="481"/>
      <c r="K244" s="105"/>
      <c r="L244" s="30"/>
      <c r="M244" s="31"/>
      <c r="N244" s="396"/>
    </row>
    <row r="245" spans="1:14">
      <c r="A245" s="29"/>
      <c r="B245" s="282"/>
      <c r="C245" s="282"/>
      <c r="D245" s="28"/>
      <c r="E245" s="278"/>
      <c r="F245" s="33" t="s">
        <v>21</v>
      </c>
      <c r="G245" s="106">
        <f>SUM(G249,G262)</f>
        <v>2412577</v>
      </c>
      <c r="H245" s="106">
        <f>SUM(H249,H262)</f>
        <v>557853.1</v>
      </c>
      <c r="I245" s="399">
        <f>IF(G245&gt;0,H245/G245*100,"-")</f>
        <v>23.12270654988421</v>
      </c>
      <c r="J245" s="106">
        <f>SUM(J249,J260,J262)</f>
        <v>559000</v>
      </c>
      <c r="K245" s="106">
        <f>SUM(K249,K262)</f>
        <v>429691</v>
      </c>
      <c r="L245" s="34">
        <f>SUM(L249,L262)</f>
        <v>379918.85</v>
      </c>
      <c r="M245" s="35">
        <v>13.583960666666666</v>
      </c>
      <c r="N245" s="396"/>
    </row>
    <row r="246" spans="1:14">
      <c r="A246" s="29"/>
      <c r="B246" s="32"/>
      <c r="C246" s="272"/>
      <c r="D246" s="28"/>
      <c r="E246" s="278"/>
      <c r="F246" s="33"/>
      <c r="G246" s="106"/>
      <c r="H246" s="106"/>
      <c r="I246" s="106"/>
      <c r="J246" s="106"/>
      <c r="K246" s="106"/>
      <c r="L246" s="34"/>
      <c r="M246" s="106"/>
      <c r="N246" s="396"/>
    </row>
    <row r="247" spans="1:14">
      <c r="A247" s="55"/>
      <c r="B247" s="56"/>
      <c r="C247" s="315"/>
      <c r="D247" s="57"/>
      <c r="E247" s="482"/>
      <c r="F247" s="55"/>
      <c r="G247" s="107"/>
      <c r="H247" s="483"/>
      <c r="I247" s="35"/>
      <c r="J247" s="106"/>
      <c r="K247" s="107"/>
      <c r="L247" s="58"/>
      <c r="M247" s="59"/>
      <c r="N247" s="411"/>
    </row>
    <row r="248" spans="1:14" ht="11.25" customHeight="1">
      <c r="A248" s="619" t="s">
        <v>6</v>
      </c>
      <c r="B248" s="61"/>
      <c r="C248" s="62"/>
      <c r="D248" s="60"/>
      <c r="E248" s="412"/>
      <c r="F248" s="61"/>
      <c r="G248" s="108"/>
      <c r="H248" s="108"/>
      <c r="I248" s="64"/>
      <c r="J248" s="325"/>
      <c r="K248" s="113"/>
      <c r="L248" s="63"/>
      <c r="M248" s="64"/>
      <c r="N248" s="677" t="s">
        <v>520</v>
      </c>
    </row>
    <row r="249" spans="1:14">
      <c r="A249" s="582"/>
      <c r="B249" s="65" t="s">
        <v>32</v>
      </c>
      <c r="C249" s="317" t="s">
        <v>521</v>
      </c>
      <c r="D249" s="583" t="s">
        <v>418</v>
      </c>
      <c r="E249" s="583">
        <v>900</v>
      </c>
      <c r="F249" s="66" t="s">
        <v>33</v>
      </c>
      <c r="G249" s="109">
        <f>G250+G251</f>
        <v>1788577</v>
      </c>
      <c r="H249" s="331">
        <f>H250+H251</f>
        <v>334513.01</v>
      </c>
      <c r="I249" s="37">
        <f>IF(G249&gt;0,H249/G249*100,"-")</f>
        <v>18.702745814130452</v>
      </c>
      <c r="J249" s="485">
        <f>J250+J251</f>
        <v>225000</v>
      </c>
      <c r="K249" s="109">
        <f>K250+K251</f>
        <v>205691</v>
      </c>
      <c r="L249" s="36">
        <f>L250+L251</f>
        <v>156578.76</v>
      </c>
      <c r="M249" s="68">
        <f>IF(K249&gt;0,L249/K249*100,"-")</f>
        <v>76.123291733717082</v>
      </c>
      <c r="N249" s="678"/>
    </row>
    <row r="250" spans="1:14" ht="22.5">
      <c r="A250" s="582"/>
      <c r="B250" s="65" t="s">
        <v>26</v>
      </c>
      <c r="C250" s="69" t="s">
        <v>522</v>
      </c>
      <c r="D250" s="583"/>
      <c r="E250" s="583"/>
      <c r="F250" s="67" t="s">
        <v>491</v>
      </c>
      <c r="G250" s="89">
        <f>SUM(G252:G254)</f>
        <v>1788577</v>
      </c>
      <c r="H250" s="112">
        <f>SUM(H252:H254)</f>
        <v>334513.01</v>
      </c>
      <c r="I250" s="68">
        <f>IF(G250&gt;0,H250/G250*100,"-")</f>
        <v>18.702745814130452</v>
      </c>
      <c r="J250" s="294">
        <f>SUM(J252:J254)</f>
        <v>225000</v>
      </c>
      <c r="K250" s="89">
        <f>SUM(K252:K254)</f>
        <v>205691</v>
      </c>
      <c r="L250" s="318">
        <f>SUM(L252:L254)</f>
        <v>156578.76</v>
      </c>
      <c r="M250" s="68">
        <f>IF(K250&gt;0,L250/K250*100,"-")</f>
        <v>76.123291733717082</v>
      </c>
      <c r="N250" s="678"/>
    </row>
    <row r="251" spans="1:14">
      <c r="A251" s="582"/>
      <c r="B251" s="65"/>
      <c r="C251" s="69"/>
      <c r="D251" s="583"/>
      <c r="E251" s="583"/>
      <c r="F251" s="67"/>
      <c r="G251" s="89"/>
      <c r="H251" s="112"/>
      <c r="I251" s="68"/>
      <c r="J251" s="294"/>
      <c r="K251" s="89"/>
      <c r="L251" s="318"/>
      <c r="M251" s="68"/>
      <c r="N251" s="678"/>
    </row>
    <row r="252" spans="1:14">
      <c r="A252" s="582"/>
      <c r="B252" s="65"/>
      <c r="C252" s="69"/>
      <c r="D252" s="247"/>
      <c r="E252" s="247">
        <v>90003</v>
      </c>
      <c r="F252" s="67" t="s">
        <v>21</v>
      </c>
      <c r="G252" s="112">
        <v>893988</v>
      </c>
      <c r="H252" s="112">
        <v>160004.72</v>
      </c>
      <c r="I252" s="68">
        <f>IF(G252&gt;0,H252/G252*100,"-")</f>
        <v>17.897859926531453</v>
      </c>
      <c r="J252" s="334">
        <v>115000</v>
      </c>
      <c r="K252" s="89">
        <v>95691</v>
      </c>
      <c r="L252" s="322">
        <v>79815.05</v>
      </c>
      <c r="M252" s="68">
        <f>IF(K252&gt;0,L252/K252*100,"-")</f>
        <v>83.409150285815798</v>
      </c>
      <c r="N252" s="678"/>
    </row>
    <row r="253" spans="1:14">
      <c r="A253" s="582"/>
      <c r="B253" s="65"/>
      <c r="C253" s="69"/>
      <c r="D253" s="247"/>
      <c r="E253" s="247"/>
      <c r="F253" s="87"/>
      <c r="G253" s="112"/>
      <c r="H253" s="112"/>
      <c r="I253" s="68"/>
      <c r="J253" s="334"/>
      <c r="K253" s="89"/>
      <c r="L253" s="322"/>
      <c r="M253" s="68"/>
      <c r="N253" s="678"/>
    </row>
    <row r="254" spans="1:14">
      <c r="A254" s="582"/>
      <c r="B254" s="65"/>
      <c r="C254" s="69"/>
      <c r="D254" s="247"/>
      <c r="E254" s="247">
        <v>90095</v>
      </c>
      <c r="F254" s="67" t="s">
        <v>21</v>
      </c>
      <c r="G254" s="112">
        <v>894589</v>
      </c>
      <c r="H254" s="112">
        <v>174508.29</v>
      </c>
      <c r="I254" s="68">
        <f>IF(G254&gt;0,H254/G254*100,"-")</f>
        <v>19.507090965795467</v>
      </c>
      <c r="J254" s="334">
        <v>110000</v>
      </c>
      <c r="K254" s="89">
        <v>110000</v>
      </c>
      <c r="L254" s="322">
        <v>76763.710000000006</v>
      </c>
      <c r="M254" s="68">
        <f>IF(K254&gt;0,L254/K254*100,"-")</f>
        <v>69.785190909090915</v>
      </c>
      <c r="N254" s="678"/>
    </row>
    <row r="255" spans="1:14">
      <c r="A255" s="582"/>
      <c r="B255" s="65"/>
      <c r="C255" s="69"/>
      <c r="D255" s="247"/>
      <c r="E255" s="247"/>
      <c r="F255" s="87"/>
      <c r="G255" s="112"/>
      <c r="H255" s="112"/>
      <c r="I255" s="68"/>
      <c r="J255" s="334"/>
      <c r="K255" s="89"/>
      <c r="L255" s="322"/>
      <c r="M255" s="68"/>
      <c r="N255" s="678"/>
    </row>
    <row r="256" spans="1:14">
      <c r="A256" s="620"/>
      <c r="B256" s="72"/>
      <c r="C256" s="73"/>
      <c r="D256" s="303"/>
      <c r="E256" s="303"/>
      <c r="F256" s="304"/>
      <c r="G256" s="110"/>
      <c r="H256" s="110"/>
      <c r="I256" s="75"/>
      <c r="J256" s="342"/>
      <c r="K256" s="114"/>
      <c r="L256" s="74"/>
      <c r="M256" s="75"/>
      <c r="N256" s="679"/>
    </row>
    <row r="257" spans="1:14">
      <c r="A257" s="619" t="s">
        <v>39</v>
      </c>
      <c r="B257" s="61"/>
      <c r="C257" s="62"/>
      <c r="D257" s="577"/>
      <c r="E257" s="577"/>
      <c r="F257" s="707"/>
      <c r="G257" s="108"/>
      <c r="H257" s="108"/>
      <c r="I257" s="569"/>
      <c r="J257" s="108"/>
      <c r="K257" s="113"/>
      <c r="L257" s="63"/>
      <c r="M257" s="569"/>
      <c r="N257" s="710"/>
    </row>
    <row r="258" spans="1:14" ht="22.5">
      <c r="A258" s="582"/>
      <c r="B258" s="65" t="s">
        <v>523</v>
      </c>
      <c r="C258" s="69" t="s">
        <v>524</v>
      </c>
      <c r="D258" s="574"/>
      <c r="E258" s="708"/>
      <c r="F258" s="87" t="s">
        <v>33</v>
      </c>
      <c r="G258" s="112"/>
      <c r="H258" s="112"/>
      <c r="I258" s="570"/>
      <c r="J258" s="112"/>
      <c r="K258" s="89"/>
      <c r="L258" s="322"/>
      <c r="M258" s="570"/>
      <c r="N258" s="711"/>
    </row>
    <row r="259" spans="1:14" ht="22.5">
      <c r="A259" s="582"/>
      <c r="B259" s="65" t="s">
        <v>26</v>
      </c>
      <c r="C259" s="69" t="s">
        <v>525</v>
      </c>
      <c r="D259" s="574" t="s">
        <v>526</v>
      </c>
      <c r="E259" s="574">
        <v>900</v>
      </c>
      <c r="F259" s="87"/>
      <c r="G259" s="112"/>
      <c r="H259" s="112"/>
      <c r="I259" s="570"/>
      <c r="J259" s="112"/>
      <c r="K259" s="89"/>
      <c r="L259" s="322"/>
      <c r="M259" s="570"/>
      <c r="N259" s="711"/>
    </row>
    <row r="260" spans="1:14">
      <c r="A260" s="620"/>
      <c r="B260" s="72"/>
      <c r="C260" s="73"/>
      <c r="D260" s="709"/>
      <c r="E260" s="579">
        <v>90095</v>
      </c>
      <c r="F260" s="304" t="s">
        <v>491</v>
      </c>
      <c r="G260" s="110">
        <v>0</v>
      </c>
      <c r="H260" s="110">
        <v>0</v>
      </c>
      <c r="I260" s="75">
        <v>0</v>
      </c>
      <c r="J260" s="110">
        <v>110000</v>
      </c>
      <c r="K260" s="114">
        <v>0</v>
      </c>
      <c r="L260" s="74">
        <v>0</v>
      </c>
      <c r="M260" s="75">
        <v>0</v>
      </c>
      <c r="N260" s="712"/>
    </row>
    <row r="261" spans="1:14" s="493" customFormat="1" ht="0.75" customHeight="1">
      <c r="A261" s="619">
        <v>3</v>
      </c>
      <c r="B261" s="61"/>
      <c r="C261" s="62"/>
      <c r="D261" s="60"/>
      <c r="E261" s="486"/>
      <c r="F261" s="487"/>
      <c r="G261" s="488"/>
      <c r="H261" s="488"/>
      <c r="I261" s="489"/>
      <c r="J261" s="490"/>
      <c r="K261" s="491"/>
      <c r="L261" s="492"/>
      <c r="M261" s="489"/>
      <c r="N261" s="711"/>
    </row>
    <row r="262" spans="1:14" s="493" customFormat="1" ht="22.5">
      <c r="A262" s="582"/>
      <c r="B262" s="65" t="s">
        <v>32</v>
      </c>
      <c r="C262" s="69" t="s">
        <v>527</v>
      </c>
      <c r="D262" s="583" t="s">
        <v>528</v>
      </c>
      <c r="E262" s="583">
        <v>900</v>
      </c>
      <c r="F262" s="66" t="s">
        <v>33</v>
      </c>
      <c r="G262" s="109">
        <f>G263</f>
        <v>624000</v>
      </c>
      <c r="H262" s="331">
        <f>H263</f>
        <v>223340.09</v>
      </c>
      <c r="I262" s="37">
        <f>IF(G262&gt;0,H262/G262*100,"-")</f>
        <v>35.791681089743591</v>
      </c>
      <c r="J262" s="485">
        <f>J263</f>
        <v>224000</v>
      </c>
      <c r="K262" s="109">
        <f>K263</f>
        <v>224000</v>
      </c>
      <c r="L262" s="36">
        <f>L263</f>
        <v>223340.09</v>
      </c>
      <c r="M262" s="68">
        <f>IF(K262&gt;0,L262/K262*100,"-")</f>
        <v>99.705397321428563</v>
      </c>
      <c r="N262" s="711"/>
    </row>
    <row r="263" spans="1:14" s="493" customFormat="1" ht="29.25" customHeight="1">
      <c r="A263" s="582"/>
      <c r="B263" s="65" t="s">
        <v>26</v>
      </c>
      <c r="C263" s="69" t="s">
        <v>529</v>
      </c>
      <c r="D263" s="583"/>
      <c r="E263" s="583"/>
      <c r="F263" s="67" t="s">
        <v>491</v>
      </c>
      <c r="G263" s="89">
        <v>624000</v>
      </c>
      <c r="H263" s="112">
        <v>223340.09</v>
      </c>
      <c r="I263" s="68">
        <f>IF(G263&gt;0,H263/G263*100,"-")</f>
        <v>35.791681089743591</v>
      </c>
      <c r="J263" s="294">
        <v>224000</v>
      </c>
      <c r="K263" s="89">
        <v>224000</v>
      </c>
      <c r="L263" s="318">
        <v>223340.09</v>
      </c>
      <c r="M263" s="68">
        <f>IF(K263&gt;0,L263/K263*100,"-")</f>
        <v>99.705397321428563</v>
      </c>
      <c r="N263" s="711"/>
    </row>
    <row r="264" spans="1:14" s="493" customFormat="1" ht="11.25" customHeight="1">
      <c r="A264" s="582"/>
      <c r="B264" s="65"/>
      <c r="C264" s="69"/>
      <c r="D264" s="247"/>
      <c r="E264" s="247">
        <v>90019</v>
      </c>
      <c r="F264" s="67"/>
      <c r="G264" s="112"/>
      <c r="H264" s="112"/>
      <c r="I264" s="562"/>
      <c r="J264" s="334"/>
      <c r="K264" s="495"/>
      <c r="L264" s="496"/>
      <c r="M264" s="494"/>
      <c r="N264" s="711"/>
    </row>
    <row r="265" spans="1:14" s="493" customFormat="1" ht="0.75" hidden="1" customHeight="1">
      <c r="A265" s="582"/>
      <c r="B265" s="65"/>
      <c r="C265" s="69"/>
      <c r="D265" s="247"/>
      <c r="E265" s="497"/>
      <c r="F265" s="498"/>
      <c r="G265" s="499"/>
      <c r="H265" s="499"/>
      <c r="I265" s="494"/>
      <c r="J265" s="500"/>
      <c r="K265" s="495"/>
      <c r="L265" s="496"/>
      <c r="M265" s="494"/>
      <c r="N265" s="712"/>
    </row>
    <row r="266" spans="1:14">
      <c r="A266" s="501"/>
      <c r="B266" s="502"/>
      <c r="C266" s="503"/>
      <c r="D266" s="504"/>
      <c r="E266" s="504"/>
      <c r="F266" s="501"/>
      <c r="G266" s="505"/>
      <c r="H266" s="505"/>
      <c r="I266" s="506"/>
      <c r="J266" s="505"/>
      <c r="K266" s="505"/>
      <c r="L266" s="507"/>
      <c r="M266" s="508"/>
      <c r="N266" s="509"/>
    </row>
    <row r="267" spans="1:14" ht="11.25" customHeight="1">
      <c r="A267" s="510" t="s">
        <v>58</v>
      </c>
      <c r="B267" s="680" t="s">
        <v>530</v>
      </c>
      <c r="C267" s="681"/>
      <c r="D267" s="511"/>
      <c r="E267" s="511"/>
      <c r="F267" s="512"/>
      <c r="G267" s="513"/>
      <c r="H267" s="513"/>
      <c r="I267" s="506"/>
      <c r="J267" s="513"/>
      <c r="K267" s="513"/>
      <c r="L267" s="514"/>
      <c r="M267" s="506"/>
      <c r="N267" s="515"/>
    </row>
    <row r="268" spans="1:14">
      <c r="A268" s="512"/>
      <c r="B268" s="680"/>
      <c r="C268" s="681"/>
      <c r="D268" s="511"/>
      <c r="E268" s="511"/>
      <c r="F268" s="516" t="s">
        <v>21</v>
      </c>
      <c r="G268" s="513">
        <f>SUM(G272)</f>
        <v>252000</v>
      </c>
      <c r="H268" s="513">
        <f>SUM(H272)</f>
        <v>42000</v>
      </c>
      <c r="I268" s="506">
        <v>18.170000000000002</v>
      </c>
      <c r="J268" s="513">
        <f>SUM(J272)</f>
        <v>30000</v>
      </c>
      <c r="K268" s="513">
        <f>SUM(K272)</f>
        <v>30000</v>
      </c>
      <c r="L268" s="514">
        <f>SUM(L272)</f>
        <v>30000</v>
      </c>
      <c r="M268" s="506">
        <v>12.65</v>
      </c>
      <c r="N268" s="515"/>
    </row>
    <row r="269" spans="1:14">
      <c r="A269" s="512"/>
      <c r="B269" s="680"/>
      <c r="C269" s="681"/>
      <c r="D269" s="511"/>
      <c r="E269" s="511"/>
      <c r="F269" s="517"/>
      <c r="G269" s="513"/>
      <c r="H269" s="513"/>
      <c r="I269" s="506"/>
      <c r="J269" s="513"/>
      <c r="K269" s="513"/>
      <c r="L269" s="514"/>
      <c r="M269" s="506"/>
      <c r="N269" s="518"/>
    </row>
    <row r="270" spans="1:14">
      <c r="A270" s="519"/>
      <c r="B270" s="520"/>
      <c r="C270" s="521"/>
      <c r="D270" s="522"/>
      <c r="E270" s="522"/>
      <c r="F270" s="519"/>
      <c r="G270" s="523"/>
      <c r="H270" s="523"/>
      <c r="I270" s="524"/>
      <c r="J270" s="523"/>
      <c r="K270" s="523"/>
      <c r="L270" s="525"/>
      <c r="M270" s="524"/>
      <c r="N270" s="526"/>
    </row>
    <row r="271" spans="1:14">
      <c r="A271" s="682" t="s">
        <v>6</v>
      </c>
      <c r="B271" s="527"/>
      <c r="C271" s="528"/>
      <c r="D271" s="529"/>
      <c r="E271" s="529"/>
      <c r="F271" s="527"/>
      <c r="G271" s="530"/>
      <c r="H271" s="530"/>
      <c r="I271" s="531"/>
      <c r="J271" s="530"/>
      <c r="K271" s="532"/>
      <c r="L271" s="533"/>
      <c r="M271" s="531"/>
      <c r="N271" s="534"/>
    </row>
    <row r="272" spans="1:14" ht="33.75">
      <c r="A272" s="683"/>
      <c r="B272" s="535" t="s">
        <v>531</v>
      </c>
      <c r="C272" s="536" t="s">
        <v>532</v>
      </c>
      <c r="D272" s="684" t="s">
        <v>533</v>
      </c>
      <c r="E272" s="685" t="s">
        <v>534</v>
      </c>
      <c r="F272" s="537" t="s">
        <v>33</v>
      </c>
      <c r="G272" s="538">
        <f>SUM(G273)</f>
        <v>252000</v>
      </c>
      <c r="H272" s="538">
        <f>SUM(H273)</f>
        <v>42000</v>
      </c>
      <c r="I272" s="539">
        <v>18.170000000000002</v>
      </c>
      <c r="J272" s="538">
        <f>SUM(J273)</f>
        <v>30000</v>
      </c>
      <c r="K272" s="538">
        <f>SUM(K273)</f>
        <v>30000</v>
      </c>
      <c r="L272" s="540">
        <f>SUM(L273)</f>
        <v>30000</v>
      </c>
      <c r="M272" s="539">
        <v>12.65</v>
      </c>
      <c r="N272" s="687" t="s">
        <v>535</v>
      </c>
    </row>
    <row r="273" spans="1:14">
      <c r="A273" s="683"/>
      <c r="B273" s="541" t="s">
        <v>26</v>
      </c>
      <c r="C273" s="536" t="s">
        <v>536</v>
      </c>
      <c r="D273" s="685"/>
      <c r="E273" s="685"/>
      <c r="F273" s="542" t="s">
        <v>21</v>
      </c>
      <c r="G273" s="543">
        <v>252000</v>
      </c>
      <c r="H273" s="543">
        <v>42000</v>
      </c>
      <c r="I273" s="544">
        <v>18.170000000000002</v>
      </c>
      <c r="J273" s="543">
        <v>30000</v>
      </c>
      <c r="K273" s="545">
        <v>30000</v>
      </c>
      <c r="L273" s="546">
        <v>30000</v>
      </c>
      <c r="M273" s="544">
        <v>12.65</v>
      </c>
      <c r="N273" s="687"/>
    </row>
    <row r="274" spans="1:14" ht="39" customHeight="1">
      <c r="A274" s="683"/>
      <c r="B274" s="547"/>
      <c r="C274" s="548"/>
      <c r="D274" s="686"/>
      <c r="E274" s="686"/>
      <c r="F274" s="549"/>
      <c r="G274" s="550"/>
      <c r="H274" s="550"/>
      <c r="I274" s="551"/>
      <c r="J274" s="550"/>
      <c r="K274" s="550"/>
      <c r="L274" s="552"/>
      <c r="M274" s="551"/>
      <c r="N274" s="688"/>
    </row>
    <row r="275" spans="1:14">
      <c r="A275" s="50"/>
      <c r="B275" s="51"/>
      <c r="C275" s="267"/>
      <c r="D275" s="52"/>
      <c r="E275" s="52"/>
      <c r="F275" s="50"/>
      <c r="G275" s="104"/>
      <c r="H275" s="104"/>
      <c r="I275" s="50"/>
      <c r="J275" s="104"/>
      <c r="K275" s="104"/>
      <c r="L275" s="53"/>
      <c r="M275" s="54"/>
      <c r="N275" s="314"/>
    </row>
    <row r="276" spans="1:14">
      <c r="A276" s="27" t="s">
        <v>59</v>
      </c>
      <c r="B276" s="588" t="s">
        <v>537</v>
      </c>
      <c r="C276" s="589"/>
      <c r="D276" s="28"/>
      <c r="E276" s="28"/>
      <c r="F276" s="29"/>
      <c r="G276" s="105"/>
      <c r="H276" s="105"/>
      <c r="I276" s="31"/>
      <c r="J276" s="105"/>
      <c r="K276" s="105"/>
      <c r="L276" s="30"/>
      <c r="M276" s="31"/>
      <c r="N276" s="153"/>
    </row>
    <row r="277" spans="1:14">
      <c r="A277" s="29"/>
      <c r="B277" s="32"/>
      <c r="C277" s="272"/>
      <c r="D277" s="28"/>
      <c r="E277" s="28"/>
      <c r="F277" s="33" t="s">
        <v>21</v>
      </c>
      <c r="G277" s="106">
        <f>SUM(G280,G283,G286)</f>
        <v>527279274</v>
      </c>
      <c r="H277" s="106">
        <f>SUM(H280,H283,H286)</f>
        <v>67281743.510000005</v>
      </c>
      <c r="I277" s="35">
        <f>IF(G277&gt;0,H277/G277*100,"-")</f>
        <v>12.760172232751179</v>
      </c>
      <c r="J277" s="106">
        <f>SUM(J280,J283,J286)</f>
        <v>61915454</v>
      </c>
      <c r="K277" s="106">
        <f>SUM(K280,K283,K286)</f>
        <v>67631194</v>
      </c>
      <c r="L277" s="34">
        <f>SUM(L280,L283,L286)</f>
        <v>67213743.510000005</v>
      </c>
      <c r="M277" s="35">
        <f>IF(K277&gt;0,L277/K277*100,"-")</f>
        <v>99.382754517094583</v>
      </c>
      <c r="N277" s="153"/>
    </row>
    <row r="278" spans="1:14">
      <c r="A278" s="29"/>
      <c r="B278" s="32"/>
      <c r="C278" s="272"/>
      <c r="D278" s="28"/>
      <c r="E278" s="28"/>
      <c r="F278" s="33"/>
      <c r="G278" s="106"/>
      <c r="H278" s="106"/>
      <c r="I278" s="35"/>
      <c r="J278" s="106"/>
      <c r="K278" s="106"/>
      <c r="L278" s="34"/>
      <c r="M278" s="35"/>
      <c r="N278" s="153"/>
    </row>
    <row r="279" spans="1:14">
      <c r="A279" s="55"/>
      <c r="B279" s="56"/>
      <c r="C279" s="315"/>
      <c r="D279" s="57"/>
      <c r="E279" s="57"/>
      <c r="F279" s="55"/>
      <c r="G279" s="107"/>
      <c r="H279" s="107"/>
      <c r="I279" s="59"/>
      <c r="J279" s="107"/>
      <c r="K279" s="107"/>
      <c r="L279" s="58"/>
      <c r="M279" s="59"/>
      <c r="N279" s="316"/>
    </row>
    <row r="280" spans="1:14" ht="56.25">
      <c r="A280" s="674" t="s">
        <v>6</v>
      </c>
      <c r="B280" s="65" t="s">
        <v>32</v>
      </c>
      <c r="C280" s="69" t="s">
        <v>538</v>
      </c>
      <c r="D280" s="583" t="s">
        <v>428</v>
      </c>
      <c r="E280" s="590" t="s">
        <v>539</v>
      </c>
      <c r="F280" s="66" t="s">
        <v>33</v>
      </c>
      <c r="G280" s="109">
        <f>SUM(G281:G281)</f>
        <v>240000</v>
      </c>
      <c r="H280" s="109">
        <f>SUM(H281:H281)</f>
        <v>48000</v>
      </c>
      <c r="I280" s="37">
        <f>IF(G280&gt;0,H280/G280*100,"-")</f>
        <v>20</v>
      </c>
      <c r="J280" s="109">
        <f>SUM(J281:J281)</f>
        <v>48000</v>
      </c>
      <c r="K280" s="109">
        <f>SUM(K281:K281)</f>
        <v>48000</v>
      </c>
      <c r="L280" s="36">
        <f>SUM(L281:L281)</f>
        <v>48000</v>
      </c>
      <c r="M280" s="37">
        <f>IF(K280&gt;0,L280/K280*100,"-")</f>
        <v>100</v>
      </c>
      <c r="N280" s="633" t="s">
        <v>540</v>
      </c>
    </row>
    <row r="281" spans="1:14" ht="22.5">
      <c r="A281" s="674"/>
      <c r="B281" s="65" t="s">
        <v>26</v>
      </c>
      <c r="C281" s="69" t="s">
        <v>541</v>
      </c>
      <c r="D281" s="583"/>
      <c r="E281" s="583"/>
      <c r="F281" s="67" t="s">
        <v>21</v>
      </c>
      <c r="G281" s="89">
        <v>240000</v>
      </c>
      <c r="H281" s="89">
        <v>48000</v>
      </c>
      <c r="I281" s="68">
        <f>IF(G281&gt;0,H281/G281*100,"-")</f>
        <v>20</v>
      </c>
      <c r="J281" s="553">
        <v>48000</v>
      </c>
      <c r="K281" s="89">
        <v>48000</v>
      </c>
      <c r="L281" s="318">
        <v>48000</v>
      </c>
      <c r="M281" s="68">
        <f>IF(K281&gt;0,L281/K281*100,"-")</f>
        <v>100</v>
      </c>
      <c r="N281" s="634"/>
    </row>
    <row r="282" spans="1:14">
      <c r="A282" s="675"/>
      <c r="B282" s="72"/>
      <c r="C282" s="73"/>
      <c r="D282" s="71"/>
      <c r="E282" s="71"/>
      <c r="F282" s="72"/>
      <c r="G282" s="110"/>
      <c r="H282" s="110"/>
      <c r="I282" s="75"/>
      <c r="J282" s="110"/>
      <c r="K282" s="114"/>
      <c r="L282" s="74"/>
      <c r="M282" s="75"/>
      <c r="N282" s="635"/>
    </row>
    <row r="283" spans="1:14" ht="56.25">
      <c r="A283" s="554" t="s">
        <v>39</v>
      </c>
      <c r="B283" s="65" t="s">
        <v>32</v>
      </c>
      <c r="C283" s="69" t="s">
        <v>542</v>
      </c>
      <c r="D283" s="583" t="s">
        <v>543</v>
      </c>
      <c r="E283" s="583" t="s">
        <v>544</v>
      </c>
      <c r="F283" s="66" t="s">
        <v>33</v>
      </c>
      <c r="G283" s="109">
        <f>SUM(G284:G285)</f>
        <v>100000</v>
      </c>
      <c r="H283" s="109">
        <v>20000</v>
      </c>
      <c r="I283" s="37">
        <f>IF(G283&gt;0,H283/G283*100,"-")</f>
        <v>20</v>
      </c>
      <c r="J283" s="109">
        <v>20000</v>
      </c>
      <c r="K283" s="109">
        <f>SUM(K284:K285)</f>
        <v>20000</v>
      </c>
      <c r="L283" s="36">
        <f>SUM(L284:L285)</f>
        <v>20000</v>
      </c>
      <c r="M283" s="37">
        <f>IF(K283&gt;0,L283/K283*100,"-")</f>
        <v>100</v>
      </c>
      <c r="N283" s="634" t="s">
        <v>545</v>
      </c>
    </row>
    <row r="284" spans="1:14" ht="22.5">
      <c r="A284" s="554"/>
      <c r="B284" s="65" t="s">
        <v>26</v>
      </c>
      <c r="C284" s="69" t="s">
        <v>546</v>
      </c>
      <c r="D284" s="583"/>
      <c r="E284" s="583"/>
      <c r="F284" s="67" t="s">
        <v>21</v>
      </c>
      <c r="G284" s="89">
        <v>100000</v>
      </c>
      <c r="H284" s="89">
        <v>20000</v>
      </c>
      <c r="I284" s="68">
        <f>IF(G284&gt;0,H284/G284*100,"-")</f>
        <v>20</v>
      </c>
      <c r="J284" s="553">
        <v>20000</v>
      </c>
      <c r="K284" s="89">
        <v>20000</v>
      </c>
      <c r="L284" s="318">
        <v>20000</v>
      </c>
      <c r="M284" s="68">
        <f>IF(K284&gt;0,L284/K284*100,"-")</f>
        <v>100</v>
      </c>
      <c r="N284" s="634"/>
    </row>
    <row r="285" spans="1:14">
      <c r="A285" s="555"/>
      <c r="B285" s="65"/>
      <c r="C285" s="69"/>
      <c r="D285" s="583"/>
      <c r="E285" s="583"/>
      <c r="F285" s="67"/>
      <c r="G285" s="89"/>
      <c r="H285" s="89"/>
      <c r="I285" s="68"/>
      <c r="J285" s="89"/>
      <c r="K285" s="89"/>
      <c r="L285" s="70"/>
      <c r="M285" s="68"/>
      <c r="N285" s="634"/>
    </row>
    <row r="286" spans="1:14" ht="33.75">
      <c r="A286" s="673" t="s">
        <v>41</v>
      </c>
      <c r="B286" s="61" t="s">
        <v>32</v>
      </c>
      <c r="C286" s="62" t="s">
        <v>547</v>
      </c>
      <c r="D286" s="621" t="s">
        <v>418</v>
      </c>
      <c r="E286" s="621" t="s">
        <v>548</v>
      </c>
      <c r="F286" s="556" t="s">
        <v>33</v>
      </c>
      <c r="G286" s="289">
        <f>SUM(G287:G288)</f>
        <v>526939274</v>
      </c>
      <c r="H286" s="289">
        <f>SUM(H287:H288)</f>
        <v>67213743.510000005</v>
      </c>
      <c r="I286" s="414">
        <f>IF(G286&gt;0,H286/G286*100,"-")</f>
        <v>12.755500837844174</v>
      </c>
      <c r="J286" s="289">
        <f>SUM(J287:J288)</f>
        <v>61847454</v>
      </c>
      <c r="K286" s="289">
        <f>SUM(K287:K288)</f>
        <v>67563194</v>
      </c>
      <c r="L286" s="557">
        <f>SUM(L287:L288)</f>
        <v>67145743.510000005</v>
      </c>
      <c r="M286" s="414">
        <f>IF(K286&gt;0,L286/K286*100,"-")</f>
        <v>99.382133281028729</v>
      </c>
      <c r="N286" s="633" t="s">
        <v>549</v>
      </c>
    </row>
    <row r="287" spans="1:14">
      <c r="A287" s="689"/>
      <c r="B287" s="65" t="s">
        <v>26</v>
      </c>
      <c r="C287" s="317" t="s">
        <v>550</v>
      </c>
      <c r="D287" s="583"/>
      <c r="E287" s="583"/>
      <c r="F287" s="67" t="s">
        <v>21</v>
      </c>
      <c r="G287" s="89">
        <v>526939274</v>
      </c>
      <c r="H287" s="89">
        <v>67213743.510000005</v>
      </c>
      <c r="I287" s="570">
        <f>IF(G287&gt;0,H287/G287*100,"-")</f>
        <v>12.755500837844174</v>
      </c>
      <c r="J287" s="553">
        <v>61847454</v>
      </c>
      <c r="K287" s="553">
        <v>67563194</v>
      </c>
      <c r="L287" s="318">
        <v>67145743.510000005</v>
      </c>
      <c r="M287" s="570">
        <f>IF(K287&gt;0,L287/K287*100,"-")</f>
        <v>99.382133281028729</v>
      </c>
      <c r="N287" s="634"/>
    </row>
    <row r="288" spans="1:14">
      <c r="A288" s="713"/>
      <c r="B288" s="72"/>
      <c r="C288" s="73" t="s">
        <v>551</v>
      </c>
      <c r="D288" s="672"/>
      <c r="E288" s="672"/>
      <c r="F288" s="384"/>
      <c r="G288" s="114"/>
      <c r="H288" s="114"/>
      <c r="I288" s="75"/>
      <c r="J288" s="114"/>
      <c r="K288" s="114"/>
      <c r="L288" s="385"/>
      <c r="M288" s="75"/>
      <c r="N288" s="635"/>
    </row>
    <row r="289" spans="1:14">
      <c r="A289" s="50"/>
      <c r="B289" s="51"/>
      <c r="C289" s="267"/>
      <c r="D289" s="52"/>
      <c r="E289" s="52"/>
      <c r="F289" s="50"/>
      <c r="G289" s="104"/>
      <c r="H289" s="104"/>
      <c r="I289" s="50"/>
      <c r="J289" s="104"/>
      <c r="K289" s="104"/>
      <c r="L289" s="53"/>
      <c r="M289" s="54"/>
      <c r="N289" s="314"/>
    </row>
    <row r="290" spans="1:14">
      <c r="A290" s="27">
        <v>11</v>
      </c>
      <c r="B290" s="588" t="s">
        <v>552</v>
      </c>
      <c r="C290" s="589"/>
      <c r="D290" s="28"/>
      <c r="E290" s="28"/>
      <c r="F290" s="29"/>
      <c r="G290" s="105"/>
      <c r="H290" s="105"/>
      <c r="I290" s="31"/>
      <c r="J290" s="105"/>
      <c r="K290" s="105"/>
      <c r="L290" s="30"/>
      <c r="M290" s="31"/>
      <c r="N290" s="153"/>
    </row>
    <row r="291" spans="1:14">
      <c r="A291" s="29"/>
      <c r="B291" s="32"/>
      <c r="C291" s="272"/>
      <c r="D291" s="28"/>
      <c r="E291" s="28"/>
      <c r="F291" s="33" t="s">
        <v>21</v>
      </c>
      <c r="G291" s="106">
        <f>G294</f>
        <v>69000</v>
      </c>
      <c r="H291" s="106">
        <f t="shared" ref="H291:M291" si="12">H294</f>
        <v>0</v>
      </c>
      <c r="I291" s="106">
        <f t="shared" si="12"/>
        <v>0</v>
      </c>
      <c r="J291" s="106">
        <f t="shared" si="12"/>
        <v>1000</v>
      </c>
      <c r="K291" s="106">
        <f t="shared" si="12"/>
        <v>1000</v>
      </c>
      <c r="L291" s="106">
        <f t="shared" si="12"/>
        <v>0</v>
      </c>
      <c r="M291" s="106">
        <f t="shared" si="12"/>
        <v>0</v>
      </c>
      <c r="N291" s="153"/>
    </row>
    <row r="292" spans="1:14">
      <c r="A292" s="29"/>
      <c r="B292" s="32"/>
      <c r="C292" s="272"/>
      <c r="D292" s="28"/>
      <c r="E292" s="28"/>
      <c r="F292" s="33"/>
      <c r="G292" s="106"/>
      <c r="H292" s="106"/>
      <c r="I292" s="35"/>
      <c r="J292" s="106"/>
      <c r="K292" s="106"/>
      <c r="L292" s="34"/>
      <c r="M292" s="35"/>
      <c r="N292" s="153"/>
    </row>
    <row r="293" spans="1:14">
      <c r="A293" s="55"/>
      <c r="B293" s="56"/>
      <c r="C293" s="315"/>
      <c r="D293" s="57"/>
      <c r="E293" s="57"/>
      <c r="F293" s="55"/>
      <c r="G293" s="107"/>
      <c r="H293" s="107"/>
      <c r="I293" s="59"/>
      <c r="J293" s="107"/>
      <c r="K293" s="107"/>
      <c r="L293" s="58"/>
      <c r="M293" s="59"/>
      <c r="N293" s="316"/>
    </row>
    <row r="294" spans="1:14" ht="16.5" customHeight="1">
      <c r="A294" s="673" t="s">
        <v>6</v>
      </c>
      <c r="B294" s="698"/>
      <c r="C294" s="699"/>
      <c r="D294" s="619"/>
      <c r="E294" s="619"/>
      <c r="F294" s="556" t="s">
        <v>33</v>
      </c>
      <c r="G294" s="558">
        <f>G297</f>
        <v>69000</v>
      </c>
      <c r="H294" s="558">
        <f>H297</f>
        <v>0</v>
      </c>
      <c r="I294" s="558">
        <f>IF(G294&gt;0,H294/G294*100,"-")</f>
        <v>0</v>
      </c>
      <c r="J294" s="558">
        <f>J297</f>
        <v>1000</v>
      </c>
      <c r="K294" s="558">
        <f>K297</f>
        <v>1000</v>
      </c>
      <c r="L294" s="558">
        <f>L297</f>
        <v>0</v>
      </c>
      <c r="M294" s="558">
        <f>M297</f>
        <v>0</v>
      </c>
      <c r="N294" s="559"/>
    </row>
    <row r="295" spans="1:14" ht="16.5" customHeight="1">
      <c r="A295" s="674"/>
      <c r="B295" s="700"/>
      <c r="C295" s="701"/>
      <c r="D295" s="582"/>
      <c r="E295" s="582"/>
      <c r="F295" s="704" t="s">
        <v>21</v>
      </c>
      <c r="G295" s="690"/>
      <c r="H295" s="690"/>
      <c r="I295" s="619"/>
      <c r="J295" s="690"/>
      <c r="K295" s="690"/>
      <c r="L295" s="692"/>
      <c r="M295" s="694"/>
      <c r="N295" s="696" t="s">
        <v>553</v>
      </c>
    </row>
    <row r="296" spans="1:14" ht="16.5" customHeight="1">
      <c r="A296" s="674"/>
      <c r="B296" s="700"/>
      <c r="C296" s="701"/>
      <c r="D296" s="582"/>
      <c r="E296" s="582"/>
      <c r="F296" s="704"/>
      <c r="G296" s="691"/>
      <c r="H296" s="691"/>
      <c r="I296" s="582"/>
      <c r="J296" s="691"/>
      <c r="K296" s="691"/>
      <c r="L296" s="693"/>
      <c r="M296" s="695"/>
      <c r="N296" s="697"/>
    </row>
    <row r="297" spans="1:14" ht="16.5" customHeight="1">
      <c r="A297" s="674"/>
      <c r="B297" s="700"/>
      <c r="C297" s="701"/>
      <c r="D297" s="582"/>
      <c r="E297" s="582"/>
      <c r="F297" s="704"/>
      <c r="G297" s="112">
        <v>69000</v>
      </c>
      <c r="H297" s="112">
        <v>0</v>
      </c>
      <c r="I297" s="65">
        <f>IF(G297&gt;0,H297/G297*100,"-")</f>
        <v>0</v>
      </c>
      <c r="J297" s="112">
        <v>1000</v>
      </c>
      <c r="K297" s="89">
        <v>1000</v>
      </c>
      <c r="L297" s="322">
        <v>0</v>
      </c>
      <c r="M297" s="68">
        <f>IF(K297&gt;0,L297/K297*100,"-")</f>
        <v>0</v>
      </c>
      <c r="N297" s="697"/>
    </row>
    <row r="298" spans="1:14" ht="16.5" customHeight="1">
      <c r="A298" s="674"/>
      <c r="B298" s="702"/>
      <c r="C298" s="703"/>
      <c r="D298" s="620"/>
      <c r="E298" s="620"/>
      <c r="F298" s="705"/>
      <c r="G298" s="560"/>
      <c r="H298" s="110"/>
      <c r="I298" s="72"/>
      <c r="J298" s="110"/>
      <c r="K298" s="114"/>
      <c r="L298" s="74"/>
      <c r="M298" s="75"/>
      <c r="N298" s="561"/>
    </row>
    <row r="299" spans="1:14" s="80" customFormat="1" ht="3.95" customHeight="1">
      <c r="A299" s="20"/>
      <c r="B299" s="77"/>
      <c r="C299" s="78"/>
      <c r="D299" s="613"/>
      <c r="E299" s="20"/>
      <c r="F299" s="77"/>
      <c r="G299" s="111"/>
      <c r="H299" s="111"/>
      <c r="I299" s="26"/>
      <c r="J299" s="111"/>
      <c r="K299" s="102"/>
      <c r="L299" s="79"/>
      <c r="M299" s="26"/>
      <c r="N299" s="183"/>
    </row>
    <row r="300" spans="1:14" ht="11.45" customHeight="1">
      <c r="A300" s="19" t="s">
        <v>19</v>
      </c>
      <c r="B300" s="611" t="s">
        <v>30</v>
      </c>
      <c r="C300" s="612"/>
      <c r="D300" s="614"/>
      <c r="E300" s="20"/>
      <c r="F300" s="21"/>
      <c r="G300" s="101">
        <f>SUM(G301:G303)</f>
        <v>283764978</v>
      </c>
      <c r="H300" s="101">
        <f>SUM(H301:H303)</f>
        <v>110233406</v>
      </c>
      <c r="I300" s="23">
        <f>IF(G300&gt;0,H300/G300*100,"-")</f>
        <v>38.846726885373428</v>
      </c>
      <c r="J300" s="101">
        <f>SUM(J301:J303)</f>
        <v>71381694</v>
      </c>
      <c r="K300" s="101">
        <f>SUM(K301:K303)</f>
        <v>62978673</v>
      </c>
      <c r="L300" s="22">
        <f>SUM(L301:L303)</f>
        <v>37372256.299999997</v>
      </c>
      <c r="M300" s="23">
        <f>IF(K300&gt;0,L300/K300*100,"-")</f>
        <v>59.341130131465292</v>
      </c>
      <c r="N300" s="184"/>
    </row>
    <row r="301" spans="1:14" ht="11.45" customHeight="1">
      <c r="A301" s="21"/>
      <c r="B301" s="597" t="s">
        <v>21</v>
      </c>
      <c r="C301" s="598"/>
      <c r="D301" s="614"/>
      <c r="E301" s="20"/>
      <c r="F301" s="24"/>
      <c r="G301" s="102">
        <f t="shared" ref="G301:H303" si="13">G307+G338+G401+G447+G615+G635+G655+G762+G775</f>
        <v>256595420</v>
      </c>
      <c r="H301" s="102">
        <f t="shared" si="13"/>
        <v>100600930</v>
      </c>
      <c r="I301" s="26">
        <f>IF(G301&gt;0,H301/G301*100,"-")</f>
        <v>39.206050521088805</v>
      </c>
      <c r="J301" s="102">
        <f t="shared" ref="J301:L303" si="14">J307+J338+J401+J447+J615+J635+J655+J762+J775</f>
        <v>57705224</v>
      </c>
      <c r="K301" s="102">
        <f t="shared" si="14"/>
        <v>51366164</v>
      </c>
      <c r="L301" s="25">
        <f t="shared" si="14"/>
        <v>31889872.699999999</v>
      </c>
      <c r="M301" s="26">
        <f>IF(K301&gt;0,L301/K301*100,"-")</f>
        <v>62.08342265932103</v>
      </c>
      <c r="N301" s="184"/>
    </row>
    <row r="302" spans="1:14" ht="11.45" customHeight="1">
      <c r="A302" s="21"/>
      <c r="B302" s="597" t="s">
        <v>215</v>
      </c>
      <c r="C302" s="598"/>
      <c r="D302" s="614"/>
      <c r="E302" s="207"/>
      <c r="F302" s="205"/>
      <c r="G302" s="102">
        <f t="shared" si="13"/>
        <v>275250</v>
      </c>
      <c r="H302" s="102">
        <f t="shared" si="13"/>
        <v>1705094</v>
      </c>
      <c r="I302" s="26">
        <f t="shared" ref="I302:I303" si="15">IF(G302&gt;0,H302/G302*100,"-")</f>
        <v>619.47102633969121</v>
      </c>
      <c r="J302" s="102">
        <f t="shared" si="14"/>
        <v>0</v>
      </c>
      <c r="K302" s="102">
        <f t="shared" si="14"/>
        <v>1429844</v>
      </c>
      <c r="L302" s="25">
        <f t="shared" si="14"/>
        <v>1429844</v>
      </c>
      <c r="M302" s="26">
        <f t="shared" ref="M302:M303" si="16">IF(K302&gt;0,L302/K302*100,"-")</f>
        <v>100</v>
      </c>
      <c r="N302" s="184"/>
    </row>
    <row r="303" spans="1:14" ht="11.45" customHeight="1">
      <c r="A303" s="21"/>
      <c r="B303" s="597" t="s">
        <v>25</v>
      </c>
      <c r="C303" s="598"/>
      <c r="D303" s="614"/>
      <c r="E303" s="207"/>
      <c r="F303" s="205"/>
      <c r="G303" s="102">
        <f t="shared" si="13"/>
        <v>26894308</v>
      </c>
      <c r="H303" s="102">
        <f t="shared" si="13"/>
        <v>7927382</v>
      </c>
      <c r="I303" s="26">
        <f t="shared" si="15"/>
        <v>29.476058651518382</v>
      </c>
      <c r="J303" s="102">
        <f t="shared" si="14"/>
        <v>13676470</v>
      </c>
      <c r="K303" s="102">
        <f t="shared" si="14"/>
        <v>10182665</v>
      </c>
      <c r="L303" s="25">
        <f t="shared" si="14"/>
        <v>4052539.6</v>
      </c>
      <c r="M303" s="26">
        <f t="shared" si="16"/>
        <v>39.798418194058236</v>
      </c>
      <c r="N303" s="184"/>
    </row>
    <row r="304" spans="1:14" ht="3.95" customHeight="1">
      <c r="A304" s="45"/>
      <c r="B304" s="46"/>
      <c r="C304" s="171"/>
      <c r="D304" s="615"/>
      <c r="E304" s="47"/>
      <c r="F304" s="45"/>
      <c r="G304" s="103"/>
      <c r="H304" s="103"/>
      <c r="I304" s="49"/>
      <c r="J304" s="103"/>
      <c r="K304" s="103"/>
      <c r="L304" s="48"/>
      <c r="M304" s="49"/>
      <c r="N304" s="185"/>
    </row>
    <row r="305" spans="1:14" ht="3.95" customHeight="1">
      <c r="A305" s="50"/>
      <c r="B305" s="51"/>
      <c r="C305" s="172"/>
      <c r="D305" s="52"/>
      <c r="E305" s="52"/>
      <c r="F305" s="50"/>
      <c r="G305" s="104"/>
      <c r="H305" s="104"/>
      <c r="I305" s="54"/>
      <c r="J305" s="104"/>
      <c r="K305" s="104"/>
      <c r="L305" s="53"/>
      <c r="M305" s="54"/>
      <c r="N305" s="186"/>
    </row>
    <row r="306" spans="1:14" ht="11.25" customHeight="1">
      <c r="A306" s="27" t="s">
        <v>6</v>
      </c>
      <c r="B306" s="588" t="s">
        <v>40</v>
      </c>
      <c r="C306" s="589"/>
      <c r="D306" s="28"/>
      <c r="E306" s="28"/>
      <c r="F306" s="29"/>
      <c r="G306" s="105">
        <f>SUM(G307:G309)</f>
        <v>9682928</v>
      </c>
      <c r="H306" s="105">
        <f>SUM(H307:H309)</f>
        <v>1422756</v>
      </c>
      <c r="I306" s="31">
        <f>IF(G306&gt;0,H306/G306*100,"-")</f>
        <v>14.693448097517612</v>
      </c>
      <c r="J306" s="105">
        <f>SUM(J307:J309)</f>
        <v>40000</v>
      </c>
      <c r="K306" s="105">
        <f>SUM(K307:K309)</f>
        <v>50300</v>
      </c>
      <c r="L306" s="30">
        <f>SUM(L307:L309)</f>
        <v>49657.78</v>
      </c>
      <c r="M306" s="31">
        <f>IF(K306&gt;0,L306/K306*100,"-")</f>
        <v>98.723220675944333</v>
      </c>
      <c r="N306" s="187"/>
    </row>
    <row r="307" spans="1:14" ht="11.25" customHeight="1">
      <c r="A307" s="29"/>
      <c r="B307" s="32"/>
      <c r="C307" s="173"/>
      <c r="D307" s="28"/>
      <c r="E307" s="28"/>
      <c r="F307" s="33" t="s">
        <v>21</v>
      </c>
      <c r="G307" s="106">
        <f t="shared" ref="G307:H309" si="17">G313+G319+G326+G332</f>
        <v>9682928</v>
      </c>
      <c r="H307" s="106">
        <f t="shared" si="17"/>
        <v>1422756</v>
      </c>
      <c r="I307" s="35">
        <f>IF(G307&gt;0,H307/G307*100,"-")</f>
        <v>14.693448097517612</v>
      </c>
      <c r="J307" s="106">
        <f t="shared" ref="J307:L309" si="18">J313+J319+J326+J332</f>
        <v>40000</v>
      </c>
      <c r="K307" s="106">
        <f t="shared" si="18"/>
        <v>50300</v>
      </c>
      <c r="L307" s="34">
        <f t="shared" si="18"/>
        <v>49657.78</v>
      </c>
      <c r="M307" s="35">
        <f>IF(K307&gt;0,L307/K307*100,"-")</f>
        <v>98.723220675944333</v>
      </c>
      <c r="N307" s="187"/>
    </row>
    <row r="308" spans="1:14" ht="11.25" customHeight="1">
      <c r="A308" s="29"/>
      <c r="B308" s="32"/>
      <c r="C308" s="173"/>
      <c r="D308" s="28"/>
      <c r="E308" s="28"/>
      <c r="F308" s="33" t="s">
        <v>215</v>
      </c>
      <c r="G308" s="106">
        <f t="shared" si="17"/>
        <v>0</v>
      </c>
      <c r="H308" s="106">
        <f t="shared" si="17"/>
        <v>0</v>
      </c>
      <c r="I308" s="35" t="str">
        <f t="shared" ref="I308:I309" si="19">IF(G308&gt;0,H308/G308*100,"-")</f>
        <v>-</v>
      </c>
      <c r="J308" s="106">
        <f t="shared" si="18"/>
        <v>0</v>
      </c>
      <c r="K308" s="106">
        <f t="shared" si="18"/>
        <v>0</v>
      </c>
      <c r="L308" s="34">
        <f t="shared" si="18"/>
        <v>0</v>
      </c>
      <c r="M308" s="35" t="str">
        <f t="shared" ref="M308:M309" si="20">IF(K308&gt;0,L308/K308*100,"-")</f>
        <v>-</v>
      </c>
      <c r="N308" s="187"/>
    </row>
    <row r="309" spans="1:14" ht="11.25" customHeight="1">
      <c r="A309" s="29"/>
      <c r="B309" s="32"/>
      <c r="C309" s="173"/>
      <c r="D309" s="28"/>
      <c r="E309" s="28"/>
      <c r="F309" s="33" t="s">
        <v>25</v>
      </c>
      <c r="G309" s="106">
        <f t="shared" si="17"/>
        <v>0</v>
      </c>
      <c r="H309" s="106">
        <f t="shared" si="17"/>
        <v>0</v>
      </c>
      <c r="I309" s="35" t="str">
        <f t="shared" si="19"/>
        <v>-</v>
      </c>
      <c r="J309" s="106">
        <f t="shared" si="18"/>
        <v>0</v>
      </c>
      <c r="K309" s="106">
        <f t="shared" si="18"/>
        <v>0</v>
      </c>
      <c r="L309" s="34">
        <f t="shared" si="18"/>
        <v>0</v>
      </c>
      <c r="M309" s="35" t="str">
        <f t="shared" si="20"/>
        <v>-</v>
      </c>
      <c r="N309" s="187"/>
    </row>
    <row r="310" spans="1:14" ht="3.95" customHeight="1">
      <c r="A310" s="55"/>
      <c r="B310" s="56"/>
      <c r="C310" s="174"/>
      <c r="D310" s="57"/>
      <c r="E310" s="57"/>
      <c r="F310" s="55"/>
      <c r="G310" s="107"/>
      <c r="H310" s="107"/>
      <c r="I310" s="59"/>
      <c r="J310" s="107"/>
      <c r="K310" s="107"/>
      <c r="L310" s="58"/>
      <c r="M310" s="59"/>
      <c r="N310" s="188"/>
    </row>
    <row r="311" spans="1:14" ht="3.95" customHeight="1" outlineLevel="1">
      <c r="A311" s="92"/>
      <c r="B311" s="61"/>
      <c r="C311" s="62"/>
      <c r="D311" s="60"/>
      <c r="E311" s="60"/>
      <c r="F311" s="61"/>
      <c r="G311" s="108"/>
      <c r="H311" s="108"/>
      <c r="I311" s="64"/>
      <c r="J311" s="108"/>
      <c r="K311" s="113"/>
      <c r="L311" s="63"/>
      <c r="M311" s="94"/>
      <c r="N311" s="189"/>
    </row>
    <row r="312" spans="1:14" ht="11.1" customHeight="1" outlineLevel="1">
      <c r="A312" s="582" t="s">
        <v>6</v>
      </c>
      <c r="B312" s="65" t="s">
        <v>32</v>
      </c>
      <c r="C312" s="69" t="s">
        <v>182</v>
      </c>
      <c r="D312" s="583" t="s">
        <v>217</v>
      </c>
      <c r="E312" s="583" t="s">
        <v>44</v>
      </c>
      <c r="F312" s="66" t="s">
        <v>33</v>
      </c>
      <c r="G312" s="109">
        <f>SUM(G313:G315)</f>
        <v>901500</v>
      </c>
      <c r="H312" s="109">
        <f>SUM(H313:H315)</f>
        <v>332137</v>
      </c>
      <c r="I312" s="37">
        <f>IF(G312&gt;0,H312/G312*100,"-")</f>
        <v>36.842706600110922</v>
      </c>
      <c r="J312" s="109">
        <f>SUM(J313:J315)</f>
        <v>0</v>
      </c>
      <c r="K312" s="109">
        <f>SUM(K313:K315)</f>
        <v>0</v>
      </c>
      <c r="L312" s="36">
        <f>SUM(L313:L315)</f>
        <v>0</v>
      </c>
      <c r="M312" s="95" t="str">
        <f t="shared" ref="M312:M331" si="21">IF(K312&gt;0,L312/K312*100,"-")</f>
        <v>-</v>
      </c>
      <c r="N312" s="595" t="s">
        <v>350</v>
      </c>
    </row>
    <row r="313" spans="1:14" ht="11.1" customHeight="1" outlineLevel="1">
      <c r="A313" s="582"/>
      <c r="B313" s="65"/>
      <c r="C313" s="38" t="s">
        <v>183</v>
      </c>
      <c r="D313" s="583"/>
      <c r="E313" s="583"/>
      <c r="F313" s="67" t="s">
        <v>21</v>
      </c>
      <c r="G313" s="89">
        <v>901500</v>
      </c>
      <c r="H313" s="89">
        <f>ROUNDUP(332137+L313,0)</f>
        <v>332137</v>
      </c>
      <c r="I313" s="68">
        <f>IF(G313&gt;0,H313/G313*100,"-")</f>
        <v>36.842706600110922</v>
      </c>
      <c r="J313" s="89">
        <v>0</v>
      </c>
      <c r="K313" s="89">
        <v>0</v>
      </c>
      <c r="L313" s="70">
        <v>0</v>
      </c>
      <c r="M313" s="95" t="str">
        <f t="shared" si="21"/>
        <v>-</v>
      </c>
      <c r="N313" s="595"/>
    </row>
    <row r="314" spans="1:14" ht="11.1" customHeight="1" outlineLevel="1">
      <c r="A314" s="582"/>
      <c r="B314" s="65" t="s">
        <v>26</v>
      </c>
      <c r="C314" s="38" t="s">
        <v>38</v>
      </c>
      <c r="D314" s="583"/>
      <c r="E314" s="583"/>
      <c r="F314" s="67" t="s">
        <v>215</v>
      </c>
      <c r="G314" s="89">
        <v>0</v>
      </c>
      <c r="H314" s="89">
        <f>ROUNDUP(0+L314,0)</f>
        <v>0</v>
      </c>
      <c r="I314" s="68" t="str">
        <f>IF(G314&gt;0,H314/G314*100,"-")</f>
        <v>-</v>
      </c>
      <c r="J314" s="89">
        <v>0</v>
      </c>
      <c r="K314" s="89">
        <v>0</v>
      </c>
      <c r="L314" s="76">
        <v>0</v>
      </c>
      <c r="M314" s="95" t="str">
        <f t="shared" si="21"/>
        <v>-</v>
      </c>
      <c r="N314" s="595"/>
    </row>
    <row r="315" spans="1:14" ht="11.1" customHeight="1" outlineLevel="1">
      <c r="A315" s="582"/>
      <c r="B315" s="65"/>
      <c r="C315" s="38"/>
      <c r="D315" s="583"/>
      <c r="E315" s="583"/>
      <c r="F315" s="67" t="s">
        <v>25</v>
      </c>
      <c r="G315" s="89">
        <v>0</v>
      </c>
      <c r="H315" s="89">
        <f>ROUNDUP(0+L315,0)</f>
        <v>0</v>
      </c>
      <c r="I315" s="68" t="str">
        <f t="shared" ref="I315" si="22">IF(G315&gt;0,H315/G315*100,"-")</f>
        <v>-</v>
      </c>
      <c r="J315" s="89">
        <v>0</v>
      </c>
      <c r="K315" s="89">
        <v>0</v>
      </c>
      <c r="L315" s="76">
        <v>0</v>
      </c>
      <c r="M315" s="95" t="str">
        <f t="shared" si="21"/>
        <v>-</v>
      </c>
      <c r="N315" s="595"/>
    </row>
    <row r="316" spans="1:14" ht="3.95" customHeight="1" outlineLevel="1">
      <c r="A316" s="93"/>
      <c r="B316" s="72"/>
      <c r="C316" s="73"/>
      <c r="D316" s="71"/>
      <c r="E316" s="71"/>
      <c r="F316" s="72"/>
      <c r="G316" s="110"/>
      <c r="H316" s="110"/>
      <c r="I316" s="72"/>
      <c r="J316" s="110"/>
      <c r="K316" s="114"/>
      <c r="L316" s="74"/>
      <c r="M316" s="95"/>
      <c r="N316" s="190"/>
    </row>
    <row r="317" spans="1:14" ht="3.95" customHeight="1" outlineLevel="1">
      <c r="A317" s="92"/>
      <c r="B317" s="61"/>
      <c r="C317" s="62"/>
      <c r="D317" s="60"/>
      <c r="E317" s="60"/>
      <c r="F317" s="61"/>
      <c r="G317" s="108"/>
      <c r="H317" s="108"/>
      <c r="I317" s="64"/>
      <c r="J317" s="108"/>
      <c r="K317" s="113"/>
      <c r="L317" s="63"/>
      <c r="M317" s="94"/>
      <c r="N317" s="189"/>
    </row>
    <row r="318" spans="1:14" ht="11.1" customHeight="1" outlineLevel="1">
      <c r="A318" s="582" t="s">
        <v>39</v>
      </c>
      <c r="B318" s="65" t="s">
        <v>32</v>
      </c>
      <c r="C318" s="69" t="s">
        <v>218</v>
      </c>
      <c r="D318" s="583" t="s">
        <v>94</v>
      </c>
      <c r="E318" s="583" t="s">
        <v>44</v>
      </c>
      <c r="F318" s="66" t="s">
        <v>33</v>
      </c>
      <c r="G318" s="109">
        <f>SUM(G319:G322)</f>
        <v>435962</v>
      </c>
      <c r="H318" s="109">
        <f>SUM(H319:H322)</f>
        <v>395384</v>
      </c>
      <c r="I318" s="37">
        <f>IF(G318&gt;0,H318/G318*100,"-")</f>
        <v>90.692308045196597</v>
      </c>
      <c r="J318" s="109">
        <f>SUM(J319:J322)</f>
        <v>40000</v>
      </c>
      <c r="K318" s="109">
        <f>SUM(K319:K322)</f>
        <v>40000</v>
      </c>
      <c r="L318" s="36">
        <f>SUM(L319:L322)</f>
        <v>39421.5</v>
      </c>
      <c r="M318" s="95">
        <f t="shared" si="21"/>
        <v>98.553749999999994</v>
      </c>
      <c r="N318" s="595" t="s">
        <v>351</v>
      </c>
    </row>
    <row r="319" spans="1:14" ht="11.1" customHeight="1" outlineLevel="1">
      <c r="A319" s="582"/>
      <c r="B319" s="65"/>
      <c r="C319" s="155" t="s">
        <v>219</v>
      </c>
      <c r="D319" s="583"/>
      <c r="E319" s="583"/>
      <c r="F319" s="67" t="s">
        <v>21</v>
      </c>
      <c r="G319" s="89">
        <v>435962</v>
      </c>
      <c r="H319" s="89">
        <f>ROUNDUP(355962+L319,0)</f>
        <v>395384</v>
      </c>
      <c r="I319" s="68">
        <f>IF(G319&gt;0,H319/G319*100,"-")</f>
        <v>90.692308045196597</v>
      </c>
      <c r="J319" s="89">
        <v>40000</v>
      </c>
      <c r="K319" s="89">
        <v>40000</v>
      </c>
      <c r="L319" s="70">
        <v>39421.5</v>
      </c>
      <c r="M319" s="95">
        <f t="shared" ref="M319:M321" si="23">IF(K319&gt;0,L319/K319*100,"-")</f>
        <v>98.553749999999994</v>
      </c>
      <c r="N319" s="595"/>
    </row>
    <row r="320" spans="1:14" ht="11.1" customHeight="1" outlineLevel="1">
      <c r="A320" s="582"/>
      <c r="B320" s="65" t="s">
        <v>26</v>
      </c>
      <c r="C320" s="155" t="s">
        <v>184</v>
      </c>
      <c r="D320" s="583"/>
      <c r="E320" s="583"/>
      <c r="F320" s="67" t="s">
        <v>215</v>
      </c>
      <c r="G320" s="89">
        <v>0</v>
      </c>
      <c r="H320" s="89">
        <f>ROUNDUP(0+L320,0)</f>
        <v>0</v>
      </c>
      <c r="I320" s="68" t="str">
        <f>IF(G320&gt;0,H320/G320*100,"-")</f>
        <v>-</v>
      </c>
      <c r="J320" s="89">
        <v>0</v>
      </c>
      <c r="K320" s="89">
        <v>0</v>
      </c>
      <c r="L320" s="76">
        <v>0</v>
      </c>
      <c r="M320" s="95" t="str">
        <f t="shared" si="23"/>
        <v>-</v>
      </c>
      <c r="N320" s="595"/>
    </row>
    <row r="321" spans="1:15" ht="11.1" customHeight="1" outlineLevel="1">
      <c r="A321" s="582"/>
      <c r="B321" s="65"/>
      <c r="C321" s="155" t="s">
        <v>220</v>
      </c>
      <c r="D321" s="583"/>
      <c r="E321" s="583"/>
      <c r="F321" s="67" t="s">
        <v>25</v>
      </c>
      <c r="G321" s="89">
        <v>0</v>
      </c>
      <c r="H321" s="89">
        <f>ROUNDUP(0+L321,0)</f>
        <v>0</v>
      </c>
      <c r="I321" s="68" t="str">
        <f t="shared" ref="I321" si="24">IF(G321&gt;0,H321/G321*100,"-")</f>
        <v>-</v>
      </c>
      <c r="J321" s="89">
        <v>0</v>
      </c>
      <c r="K321" s="89">
        <v>0</v>
      </c>
      <c r="L321" s="76">
        <v>0</v>
      </c>
      <c r="M321" s="95" t="str">
        <f t="shared" si="23"/>
        <v>-</v>
      </c>
      <c r="N321" s="595"/>
    </row>
    <row r="322" spans="1:15" ht="11.1" customHeight="1" outlineLevel="1">
      <c r="A322" s="582"/>
      <c r="B322" s="65"/>
      <c r="C322" s="69" t="s">
        <v>221</v>
      </c>
      <c r="D322" s="583"/>
      <c r="E322" s="583"/>
      <c r="F322" s="67"/>
      <c r="G322" s="89"/>
      <c r="H322" s="89"/>
      <c r="I322" s="68"/>
      <c r="J322" s="89"/>
      <c r="K322" s="115"/>
      <c r="L322" s="76"/>
      <c r="M322" s="95"/>
      <c r="N322" s="595"/>
    </row>
    <row r="323" spans="1:15" ht="3.95" customHeight="1" outlineLevel="1">
      <c r="A323" s="93"/>
      <c r="B323" s="72"/>
      <c r="C323" s="73"/>
      <c r="D323" s="71"/>
      <c r="E323" s="71"/>
      <c r="F323" s="72"/>
      <c r="G323" s="110"/>
      <c r="H323" s="110"/>
      <c r="I323" s="72"/>
      <c r="J323" s="110"/>
      <c r="K323" s="114"/>
      <c r="L323" s="74"/>
      <c r="M323" s="95"/>
      <c r="N323" s="190"/>
    </row>
    <row r="324" spans="1:15" ht="3.95" customHeight="1" outlineLevel="1">
      <c r="A324" s="92"/>
      <c r="B324" s="61"/>
      <c r="C324" s="62"/>
      <c r="D324" s="60"/>
      <c r="E324" s="60"/>
      <c r="F324" s="61"/>
      <c r="G324" s="108"/>
      <c r="H324" s="108"/>
      <c r="I324" s="64"/>
      <c r="J324" s="108"/>
      <c r="K324" s="113"/>
      <c r="L324" s="63"/>
      <c r="M324" s="94"/>
      <c r="N324" s="191"/>
      <c r="O324" s="154"/>
    </row>
    <row r="325" spans="1:15" ht="11.1" customHeight="1" outlineLevel="1">
      <c r="A325" s="582" t="s">
        <v>41</v>
      </c>
      <c r="B325" s="65" t="s">
        <v>32</v>
      </c>
      <c r="C325" s="69" t="s">
        <v>222</v>
      </c>
      <c r="D325" s="583" t="s">
        <v>152</v>
      </c>
      <c r="E325" s="583" t="s">
        <v>44</v>
      </c>
      <c r="F325" s="66" t="s">
        <v>33</v>
      </c>
      <c r="G325" s="109">
        <f>SUM(G326:G328)</f>
        <v>6495300</v>
      </c>
      <c r="H325" s="109">
        <f>SUM(H326:H328)</f>
        <v>695235</v>
      </c>
      <c r="I325" s="37">
        <f>IF(G325&gt;0,H325/G325*100,"-")</f>
        <v>10.703662648376518</v>
      </c>
      <c r="J325" s="109">
        <f>SUM(J326:J328)</f>
        <v>0</v>
      </c>
      <c r="K325" s="109">
        <f>SUM(K326:K328)</f>
        <v>10300</v>
      </c>
      <c r="L325" s="36">
        <f>SUM(L326:L328)</f>
        <v>10236.280000000001</v>
      </c>
      <c r="M325" s="95">
        <f t="shared" si="21"/>
        <v>99.381359223300976</v>
      </c>
      <c r="N325" s="584" t="s">
        <v>352</v>
      </c>
    </row>
    <row r="326" spans="1:15" ht="11.1" customHeight="1" outlineLevel="1">
      <c r="A326" s="582"/>
      <c r="B326" s="65"/>
      <c r="C326" s="155" t="s">
        <v>223</v>
      </c>
      <c r="D326" s="583"/>
      <c r="E326" s="583"/>
      <c r="F326" s="67" t="s">
        <v>21</v>
      </c>
      <c r="G326" s="89">
        <v>6495300</v>
      </c>
      <c r="H326" s="89">
        <f>ROUNDUP(684998+L326,0)</f>
        <v>695235</v>
      </c>
      <c r="I326" s="68">
        <f>IF(G326&gt;0,H326/G326*100,"-")</f>
        <v>10.703662648376518</v>
      </c>
      <c r="J326" s="89">
        <v>0</v>
      </c>
      <c r="K326" s="89">
        <v>10300</v>
      </c>
      <c r="L326" s="70">
        <v>10236.280000000001</v>
      </c>
      <c r="M326" s="95">
        <f t="shared" ref="M326:M328" si="25">IF(K326&gt;0,L326/K326*100,"-")</f>
        <v>99.381359223300976</v>
      </c>
      <c r="N326" s="584"/>
    </row>
    <row r="327" spans="1:15" ht="11.1" customHeight="1" outlineLevel="1">
      <c r="A327" s="582"/>
      <c r="B327" s="65" t="s">
        <v>26</v>
      </c>
      <c r="C327" s="155" t="s">
        <v>185</v>
      </c>
      <c r="D327" s="583"/>
      <c r="E327" s="583"/>
      <c r="F327" s="67" t="s">
        <v>215</v>
      </c>
      <c r="G327" s="89">
        <v>0</v>
      </c>
      <c r="H327" s="89">
        <f>ROUNDUP(0+L327,0)</f>
        <v>0</v>
      </c>
      <c r="I327" s="68" t="str">
        <f>IF(G327&gt;0,H327/G327*100,"-")</f>
        <v>-</v>
      </c>
      <c r="J327" s="89">
        <v>0</v>
      </c>
      <c r="K327" s="89">
        <v>0</v>
      </c>
      <c r="L327" s="76">
        <v>0</v>
      </c>
      <c r="M327" s="95" t="str">
        <f t="shared" si="25"/>
        <v>-</v>
      </c>
      <c r="N327" s="584"/>
    </row>
    <row r="328" spans="1:15" ht="11.1" customHeight="1" outlineLevel="1">
      <c r="A328" s="582"/>
      <c r="B328" s="65"/>
      <c r="C328" s="69" t="s">
        <v>186</v>
      </c>
      <c r="D328" s="583"/>
      <c r="E328" s="583"/>
      <c r="F328" s="67" t="s">
        <v>25</v>
      </c>
      <c r="G328" s="89">
        <v>0</v>
      </c>
      <c r="H328" s="89">
        <f>ROUNDUP(0+L328,0)</f>
        <v>0</v>
      </c>
      <c r="I328" s="68" t="str">
        <f t="shared" ref="I328" si="26">IF(G328&gt;0,H328/G328*100,"-")</f>
        <v>-</v>
      </c>
      <c r="J328" s="89">
        <v>0</v>
      </c>
      <c r="K328" s="89">
        <v>0</v>
      </c>
      <c r="L328" s="76">
        <v>0</v>
      </c>
      <c r="M328" s="95" t="str">
        <f t="shared" si="25"/>
        <v>-</v>
      </c>
      <c r="N328" s="584"/>
    </row>
    <row r="329" spans="1:15" ht="3.95" customHeight="1" outlineLevel="1">
      <c r="A329" s="93"/>
      <c r="B329" s="72"/>
      <c r="C329" s="73"/>
      <c r="D329" s="71"/>
      <c r="E329" s="71"/>
      <c r="F329" s="72"/>
      <c r="G329" s="110"/>
      <c r="H329" s="110"/>
      <c r="I329" s="72"/>
      <c r="J329" s="110"/>
      <c r="K329" s="114"/>
      <c r="L329" s="74"/>
      <c r="M329" s="95"/>
      <c r="N329" s="192"/>
    </row>
    <row r="330" spans="1:15" ht="3.95" customHeight="1" outlineLevel="1">
      <c r="A330" s="92"/>
      <c r="B330" s="61"/>
      <c r="C330" s="62"/>
      <c r="D330" s="60"/>
      <c r="E330" s="60"/>
      <c r="F330" s="61"/>
      <c r="G330" s="108"/>
      <c r="H330" s="108"/>
      <c r="I330" s="64"/>
      <c r="J330" s="108"/>
      <c r="K330" s="113"/>
      <c r="L330" s="63"/>
      <c r="M330" s="94"/>
      <c r="N330" s="189"/>
    </row>
    <row r="331" spans="1:15" ht="11.1" customHeight="1" outlineLevel="1">
      <c r="A331" s="582" t="s">
        <v>42</v>
      </c>
      <c r="B331" s="65" t="s">
        <v>32</v>
      </c>
      <c r="C331" s="69" t="s">
        <v>224</v>
      </c>
      <c r="D331" s="583" t="s">
        <v>310</v>
      </c>
      <c r="E331" s="583" t="s">
        <v>44</v>
      </c>
      <c r="F331" s="66" t="s">
        <v>33</v>
      </c>
      <c r="G331" s="109">
        <f>SUM(G332:G334)</f>
        <v>1850166</v>
      </c>
      <c r="H331" s="109">
        <f>SUM(H332:H334)</f>
        <v>0</v>
      </c>
      <c r="I331" s="37">
        <f>IF(G331&gt;0,H331/G331*100,"-")</f>
        <v>0</v>
      </c>
      <c r="J331" s="109">
        <f>SUM(J332:J334)</f>
        <v>0</v>
      </c>
      <c r="K331" s="109">
        <f>SUM(K332:K334)</f>
        <v>0</v>
      </c>
      <c r="L331" s="36">
        <f>SUM(L332:L334)</f>
        <v>0</v>
      </c>
      <c r="M331" s="95" t="str">
        <f t="shared" si="21"/>
        <v>-</v>
      </c>
      <c r="N331" s="596" t="s">
        <v>353</v>
      </c>
    </row>
    <row r="332" spans="1:15" ht="11.1" customHeight="1" outlineLevel="1">
      <c r="A332" s="582"/>
      <c r="B332" s="65"/>
      <c r="C332" s="155" t="s">
        <v>225</v>
      </c>
      <c r="D332" s="583"/>
      <c r="E332" s="583"/>
      <c r="F332" s="67" t="s">
        <v>21</v>
      </c>
      <c r="G332" s="89">
        <v>1850166</v>
      </c>
      <c r="H332" s="89">
        <f>ROUNDUP(0+L332,0)</f>
        <v>0</v>
      </c>
      <c r="I332" s="68">
        <f>IF(G332&gt;0,H332/G332*100,"-")</f>
        <v>0</v>
      </c>
      <c r="J332" s="89">
        <v>0</v>
      </c>
      <c r="K332" s="89">
        <v>0</v>
      </c>
      <c r="L332" s="70">
        <v>0</v>
      </c>
      <c r="M332" s="95" t="str">
        <f t="shared" ref="M332:M334" si="27">IF(K332&gt;0,L332/K332*100,"-")</f>
        <v>-</v>
      </c>
      <c r="N332" s="596"/>
    </row>
    <row r="333" spans="1:15" ht="11.1" customHeight="1" outlineLevel="1">
      <c r="A333" s="582"/>
      <c r="B333" s="65" t="s">
        <v>26</v>
      </c>
      <c r="C333" s="155" t="s">
        <v>226</v>
      </c>
      <c r="D333" s="583"/>
      <c r="E333" s="583"/>
      <c r="F333" s="67" t="s">
        <v>215</v>
      </c>
      <c r="G333" s="89">
        <v>0</v>
      </c>
      <c r="H333" s="89">
        <f>ROUNDUP(0+L333,0)</f>
        <v>0</v>
      </c>
      <c r="I333" s="68" t="str">
        <f>IF(G333&gt;0,H333/G333*100,"-")</f>
        <v>-</v>
      </c>
      <c r="J333" s="89">
        <v>0</v>
      </c>
      <c r="K333" s="89">
        <v>0</v>
      </c>
      <c r="L333" s="76">
        <v>0</v>
      </c>
      <c r="M333" s="95" t="str">
        <f t="shared" si="27"/>
        <v>-</v>
      </c>
      <c r="N333" s="596"/>
    </row>
    <row r="334" spans="1:15" ht="11.1" customHeight="1" outlineLevel="1">
      <c r="A334" s="582"/>
      <c r="B334" s="65"/>
      <c r="C334" s="155" t="s">
        <v>225</v>
      </c>
      <c r="D334" s="583"/>
      <c r="E334" s="583"/>
      <c r="F334" s="67" t="s">
        <v>25</v>
      </c>
      <c r="G334" s="89">
        <v>0</v>
      </c>
      <c r="H334" s="89">
        <f>ROUNDUP(0+L334,0)</f>
        <v>0</v>
      </c>
      <c r="I334" s="68" t="str">
        <f t="shared" ref="I334" si="28">IF(G334&gt;0,H334/G334*100,"-")</f>
        <v>-</v>
      </c>
      <c r="J334" s="89">
        <v>0</v>
      </c>
      <c r="K334" s="89">
        <v>0</v>
      </c>
      <c r="L334" s="76">
        <v>0</v>
      </c>
      <c r="M334" s="95" t="str">
        <f t="shared" si="27"/>
        <v>-</v>
      </c>
      <c r="N334" s="596"/>
    </row>
    <row r="335" spans="1:15" ht="3.95" customHeight="1" outlineLevel="1">
      <c r="A335" s="93"/>
      <c r="B335" s="72"/>
      <c r="C335" s="73"/>
      <c r="D335" s="71"/>
      <c r="E335" s="71"/>
      <c r="F335" s="72"/>
      <c r="G335" s="110"/>
      <c r="H335" s="110"/>
      <c r="I335" s="72"/>
      <c r="J335" s="110"/>
      <c r="K335" s="114"/>
      <c r="L335" s="74"/>
      <c r="M335" s="96"/>
      <c r="N335" s="234"/>
    </row>
    <row r="336" spans="1:15" ht="1.5" customHeight="1">
      <c r="A336" s="50"/>
      <c r="B336" s="51"/>
      <c r="C336" s="172"/>
      <c r="D336" s="52"/>
      <c r="E336" s="52"/>
      <c r="F336" s="50"/>
      <c r="G336" s="104"/>
      <c r="H336" s="104"/>
      <c r="I336" s="54"/>
      <c r="J336" s="104"/>
      <c r="K336" s="104"/>
      <c r="L336" s="53"/>
      <c r="M336" s="54"/>
      <c r="N336" s="186"/>
    </row>
    <row r="337" spans="1:14" ht="11.25" customHeight="1">
      <c r="A337" s="27" t="s">
        <v>39</v>
      </c>
      <c r="B337" s="588" t="s">
        <v>45</v>
      </c>
      <c r="C337" s="589"/>
      <c r="D337" s="28"/>
      <c r="E337" s="28"/>
      <c r="F337" s="29"/>
      <c r="G337" s="218">
        <f>SUM(G338:G340)</f>
        <v>16194153</v>
      </c>
      <c r="H337" s="105">
        <f>SUM(H338:H340)</f>
        <v>12093337</v>
      </c>
      <c r="I337" s="31">
        <f>IF(G337&gt;0,H337/G337*100,"-")</f>
        <v>74.677181325877314</v>
      </c>
      <c r="J337" s="105">
        <f>SUM(J338:J340)</f>
        <v>2342518</v>
      </c>
      <c r="K337" s="105">
        <f>SUM(K338:K340)</f>
        <v>2524849</v>
      </c>
      <c r="L337" s="30">
        <f>SUM(L338:L340)</f>
        <v>2436097.59</v>
      </c>
      <c r="M337" s="31">
        <f>IF(K337&gt;0,L337/K337*100,"-")</f>
        <v>96.484882462277938</v>
      </c>
      <c r="N337" s="187"/>
    </row>
    <row r="338" spans="1:14" ht="11.25" customHeight="1">
      <c r="A338" s="29"/>
      <c r="B338" s="32"/>
      <c r="C338" s="173"/>
      <c r="D338" s="28"/>
      <c r="E338" s="28"/>
      <c r="F338" s="33" t="s">
        <v>21</v>
      </c>
      <c r="G338" s="125">
        <f t="shared" ref="G338:H340" si="29">G344+G360+G366+G380+G394</f>
        <v>16194153</v>
      </c>
      <c r="H338" s="125">
        <f t="shared" si="29"/>
        <v>12093337</v>
      </c>
      <c r="I338" s="35">
        <f>IF(G338&gt;0,H338/G338*100,"-")</f>
        <v>74.677181325877314</v>
      </c>
      <c r="J338" s="125">
        <f t="shared" ref="J338:L340" si="30">J344+J360+J366+J380+J394</f>
        <v>2342518</v>
      </c>
      <c r="K338" s="125">
        <f t="shared" si="30"/>
        <v>2524849</v>
      </c>
      <c r="L338" s="153">
        <f t="shared" si="30"/>
        <v>2436097.59</v>
      </c>
      <c r="M338" s="35">
        <f>IF(K338&gt;0,L338/K338*100,"-")</f>
        <v>96.484882462277938</v>
      </c>
      <c r="N338" s="187"/>
    </row>
    <row r="339" spans="1:14" ht="11.25" customHeight="1">
      <c r="A339" s="29"/>
      <c r="B339" s="32"/>
      <c r="C339" s="173"/>
      <c r="D339" s="28"/>
      <c r="E339" s="28"/>
      <c r="F339" s="33" t="s">
        <v>215</v>
      </c>
      <c r="G339" s="125">
        <f t="shared" si="29"/>
        <v>0</v>
      </c>
      <c r="H339" s="125">
        <f t="shared" si="29"/>
        <v>0</v>
      </c>
      <c r="I339" s="35" t="str">
        <f t="shared" ref="I339:I340" si="31">IF(G339&gt;0,H339/G339*100,"-")</f>
        <v>-</v>
      </c>
      <c r="J339" s="125">
        <f t="shared" si="30"/>
        <v>0</v>
      </c>
      <c r="K339" s="125">
        <f t="shared" si="30"/>
        <v>0</v>
      </c>
      <c r="L339" s="153">
        <f t="shared" si="30"/>
        <v>0</v>
      </c>
      <c r="M339" s="35" t="str">
        <f t="shared" ref="M339:M340" si="32">IF(K339&gt;0,L339/K339*100,"-")</f>
        <v>-</v>
      </c>
      <c r="N339" s="187"/>
    </row>
    <row r="340" spans="1:14" ht="11.25" customHeight="1">
      <c r="A340" s="29"/>
      <c r="B340" s="32"/>
      <c r="C340" s="173"/>
      <c r="D340" s="28"/>
      <c r="E340" s="28"/>
      <c r="F340" s="33" t="s">
        <v>25</v>
      </c>
      <c r="G340" s="125">
        <f t="shared" si="29"/>
        <v>0</v>
      </c>
      <c r="H340" s="125">
        <f t="shared" si="29"/>
        <v>0</v>
      </c>
      <c r="I340" s="35" t="str">
        <f t="shared" si="31"/>
        <v>-</v>
      </c>
      <c r="J340" s="125">
        <f t="shared" si="30"/>
        <v>0</v>
      </c>
      <c r="K340" s="125">
        <f t="shared" si="30"/>
        <v>0</v>
      </c>
      <c r="L340" s="153">
        <f t="shared" si="30"/>
        <v>0</v>
      </c>
      <c r="M340" s="35" t="str">
        <f t="shared" si="32"/>
        <v>-</v>
      </c>
      <c r="N340" s="187"/>
    </row>
    <row r="341" spans="1:14" ht="3.95" customHeight="1">
      <c r="A341" s="55"/>
      <c r="B341" s="56"/>
      <c r="C341" s="174"/>
      <c r="D341" s="57"/>
      <c r="E341" s="57"/>
      <c r="F341" s="55"/>
      <c r="G341" s="107"/>
      <c r="H341" s="107"/>
      <c r="I341" s="59"/>
      <c r="J341" s="107"/>
      <c r="K341" s="107"/>
      <c r="L341" s="58"/>
      <c r="M341" s="59"/>
      <c r="N341" s="188"/>
    </row>
    <row r="342" spans="1:14" ht="3.95" customHeight="1" outlineLevel="1">
      <c r="A342" s="92"/>
      <c r="B342" s="61"/>
      <c r="C342" s="62"/>
      <c r="D342" s="60"/>
      <c r="E342" s="60"/>
      <c r="F342" s="61"/>
      <c r="G342" s="108"/>
      <c r="H342" s="108"/>
      <c r="I342" s="64"/>
      <c r="J342" s="108"/>
      <c r="K342" s="113"/>
      <c r="L342" s="63"/>
      <c r="M342" s="64"/>
      <c r="N342" s="189"/>
    </row>
    <row r="343" spans="1:14" ht="11.1" customHeight="1" outlineLevel="1">
      <c r="A343" s="582" t="s">
        <v>43</v>
      </c>
      <c r="B343" s="65" t="s">
        <v>32</v>
      </c>
      <c r="C343" s="69" t="s">
        <v>187</v>
      </c>
      <c r="D343" s="583" t="s">
        <v>323</v>
      </c>
      <c r="E343" s="583"/>
      <c r="F343" s="66" t="s">
        <v>33</v>
      </c>
      <c r="G343" s="109">
        <f>SUM(G344:G347)</f>
        <v>2363154</v>
      </c>
      <c r="H343" s="109">
        <f>SUM(H344:H347)</f>
        <v>2288883</v>
      </c>
      <c r="I343" s="37">
        <f>IF(G343&gt;0,H343/G343*100,"-")</f>
        <v>96.857123996150904</v>
      </c>
      <c r="J343" s="109">
        <f>SUM(J344:J347)</f>
        <v>540762</v>
      </c>
      <c r="K343" s="109">
        <f>SUM(K344:K347)</f>
        <v>540762</v>
      </c>
      <c r="L343" s="36">
        <f>SUM(L344:L347)</f>
        <v>514343.21</v>
      </c>
      <c r="M343" s="37">
        <f>IF(K343&gt;0,L343/K343*100,"-")</f>
        <v>95.114525428931771</v>
      </c>
      <c r="N343" s="595" t="s">
        <v>354</v>
      </c>
    </row>
    <row r="344" spans="1:14" ht="11.1" customHeight="1" outlineLevel="1">
      <c r="A344" s="582"/>
      <c r="B344" s="65"/>
      <c r="C344" s="38" t="s">
        <v>188</v>
      </c>
      <c r="D344" s="583"/>
      <c r="E344" s="583"/>
      <c r="F344" s="67" t="s">
        <v>21</v>
      </c>
      <c r="G344" s="89">
        <f t="shared" ref="G344:H346" si="33">G349+G354</f>
        <v>2363154</v>
      </c>
      <c r="H344" s="89">
        <f t="shared" si="33"/>
        <v>2288883</v>
      </c>
      <c r="I344" s="570">
        <f>IF(G344&gt;0,H344/G344*100,"-")</f>
        <v>96.857123996150904</v>
      </c>
      <c r="J344" s="89">
        <f t="shared" ref="J344:L346" si="34">J349+J354</f>
        <v>540762</v>
      </c>
      <c r="K344" s="89">
        <f t="shared" si="34"/>
        <v>540762</v>
      </c>
      <c r="L344" s="70">
        <f t="shared" si="34"/>
        <v>514343.21</v>
      </c>
      <c r="M344" s="570">
        <f>IF(K344&gt;0,L344/K344*100,"-")</f>
        <v>95.114525428931771</v>
      </c>
      <c r="N344" s="595"/>
    </row>
    <row r="345" spans="1:14" ht="11.1" customHeight="1" outlineLevel="1">
      <c r="A345" s="582"/>
      <c r="B345" s="65"/>
      <c r="C345" s="69" t="s">
        <v>189</v>
      </c>
      <c r="D345" s="583"/>
      <c r="E345" s="583"/>
      <c r="F345" s="67" t="s">
        <v>215</v>
      </c>
      <c r="G345" s="89">
        <f t="shared" si="33"/>
        <v>0</v>
      </c>
      <c r="H345" s="89">
        <f t="shared" si="33"/>
        <v>0</v>
      </c>
      <c r="I345" s="570" t="str">
        <f t="shared" ref="I345:I346" si="35">IF(G345&gt;0,H345/G345*100,"-")</f>
        <v>-</v>
      </c>
      <c r="J345" s="89">
        <f t="shared" si="34"/>
        <v>0</v>
      </c>
      <c r="K345" s="89">
        <f t="shared" si="34"/>
        <v>0</v>
      </c>
      <c r="L345" s="70">
        <f t="shared" si="34"/>
        <v>0</v>
      </c>
      <c r="M345" s="570" t="str">
        <f t="shared" ref="M345:M346" si="36">IF(K345&gt;0,L345/K345*100,"-")</f>
        <v>-</v>
      </c>
      <c r="N345" s="595"/>
    </row>
    <row r="346" spans="1:14" ht="11.1" customHeight="1" outlineLevel="1">
      <c r="A346" s="582"/>
      <c r="B346" s="65"/>
      <c r="C346" s="69" t="s">
        <v>190</v>
      </c>
      <c r="D346" s="583"/>
      <c r="E346" s="583"/>
      <c r="F346" s="67" t="s">
        <v>25</v>
      </c>
      <c r="G346" s="89">
        <f t="shared" si="33"/>
        <v>0</v>
      </c>
      <c r="H346" s="89">
        <f t="shared" si="33"/>
        <v>0</v>
      </c>
      <c r="I346" s="570" t="str">
        <f t="shared" si="35"/>
        <v>-</v>
      </c>
      <c r="J346" s="89">
        <f t="shared" si="34"/>
        <v>0</v>
      </c>
      <c r="K346" s="89">
        <f t="shared" si="34"/>
        <v>0</v>
      </c>
      <c r="L346" s="70">
        <f t="shared" si="34"/>
        <v>0</v>
      </c>
      <c r="M346" s="570" t="str">
        <f t="shared" si="36"/>
        <v>-</v>
      </c>
      <c r="N346" s="595"/>
    </row>
    <row r="347" spans="1:14" ht="11.1" customHeight="1" outlineLevel="1">
      <c r="A347" s="582"/>
      <c r="B347" s="65" t="s">
        <v>26</v>
      </c>
      <c r="C347" s="38" t="s">
        <v>46</v>
      </c>
      <c r="D347" s="583"/>
      <c r="E347" s="583"/>
      <c r="F347" s="67"/>
      <c r="G347" s="89"/>
      <c r="H347" s="89"/>
      <c r="I347" s="570"/>
      <c r="J347" s="89"/>
      <c r="K347" s="89"/>
      <c r="L347" s="70"/>
      <c r="M347" s="570"/>
      <c r="N347" s="595"/>
    </row>
    <row r="348" spans="1:14" ht="6.95" customHeight="1" outlineLevel="1">
      <c r="A348" s="572"/>
      <c r="B348" s="65"/>
      <c r="C348" s="38"/>
      <c r="D348" s="574"/>
      <c r="E348" s="574"/>
      <c r="F348" s="87"/>
      <c r="G348" s="112"/>
      <c r="H348" s="112"/>
      <c r="I348" s="88"/>
      <c r="J348" s="112"/>
      <c r="K348" s="115"/>
      <c r="L348" s="76"/>
      <c r="M348" s="570"/>
      <c r="N348" s="595"/>
    </row>
    <row r="349" spans="1:14" ht="10.5" customHeight="1" outlineLevel="1">
      <c r="A349" s="572"/>
      <c r="B349" s="65"/>
      <c r="C349" s="38"/>
      <c r="D349" s="574"/>
      <c r="E349" s="591" t="s">
        <v>179</v>
      </c>
      <c r="F349" s="215" t="s">
        <v>21</v>
      </c>
      <c r="G349" s="208">
        <v>2038455</v>
      </c>
      <c r="H349" s="208">
        <f>ROUNDUP(1504840+L349,0)</f>
        <v>1964184</v>
      </c>
      <c r="I349" s="209">
        <f>IF(G349&gt;0,H349/G349*100,"-")</f>
        <v>96.35650529445094</v>
      </c>
      <c r="J349" s="208">
        <v>485762</v>
      </c>
      <c r="K349" s="208">
        <v>485762</v>
      </c>
      <c r="L349" s="210">
        <v>459343.21</v>
      </c>
      <c r="M349" s="209">
        <f>IF(K349&gt;0,L349/K349*100,"-")</f>
        <v>94.561371618199857</v>
      </c>
      <c r="N349" s="616"/>
    </row>
    <row r="350" spans="1:14" ht="10.5" customHeight="1" outlineLevel="1">
      <c r="A350" s="572"/>
      <c r="B350" s="65"/>
      <c r="C350" s="38"/>
      <c r="D350" s="574"/>
      <c r="E350" s="591"/>
      <c r="F350" s="215" t="s">
        <v>215</v>
      </c>
      <c r="G350" s="208">
        <v>0</v>
      </c>
      <c r="H350" s="208">
        <f>ROUNDUP(0+L350,0)</f>
        <v>0</v>
      </c>
      <c r="I350" s="209" t="str">
        <f t="shared" ref="I350:I351" si="37">IF(G350&gt;0,H350/G350*100,"-")</f>
        <v>-</v>
      </c>
      <c r="J350" s="208">
        <v>0</v>
      </c>
      <c r="K350" s="208">
        <v>0</v>
      </c>
      <c r="L350" s="211">
        <v>0</v>
      </c>
      <c r="M350" s="209" t="str">
        <f t="shared" ref="M350:M351" si="38">IF(K350&gt;0,L350/K350*100,"-")</f>
        <v>-</v>
      </c>
      <c r="N350" s="616"/>
    </row>
    <row r="351" spans="1:14" ht="10.5" customHeight="1" outlineLevel="1">
      <c r="A351" s="572"/>
      <c r="B351" s="65"/>
      <c r="C351" s="38"/>
      <c r="D351" s="574"/>
      <c r="E351" s="591"/>
      <c r="F351" s="215" t="s">
        <v>25</v>
      </c>
      <c r="G351" s="208">
        <v>0</v>
      </c>
      <c r="H351" s="208">
        <f t="shared" ref="H351" si="39">ROUNDUP(0+L351,0)</f>
        <v>0</v>
      </c>
      <c r="I351" s="209" t="str">
        <f t="shared" si="37"/>
        <v>-</v>
      </c>
      <c r="J351" s="208">
        <v>0</v>
      </c>
      <c r="K351" s="208">
        <v>0</v>
      </c>
      <c r="L351" s="211">
        <v>0</v>
      </c>
      <c r="M351" s="209" t="str">
        <f t="shared" si="38"/>
        <v>-</v>
      </c>
      <c r="N351" s="616"/>
    </row>
    <row r="352" spans="1:14" ht="3.95" customHeight="1" outlineLevel="1">
      <c r="A352" s="572"/>
      <c r="B352" s="65"/>
      <c r="C352" s="38"/>
      <c r="D352" s="574"/>
      <c r="E352" s="581"/>
      <c r="F352" s="216"/>
      <c r="G352" s="213"/>
      <c r="H352" s="213"/>
      <c r="I352" s="214"/>
      <c r="J352" s="213"/>
      <c r="K352" s="212"/>
      <c r="L352" s="211"/>
      <c r="M352" s="209"/>
      <c r="N352" s="616"/>
    </row>
    <row r="353" spans="1:14" ht="3.95" customHeight="1" outlineLevel="1">
      <c r="A353" s="572"/>
      <c r="B353" s="65"/>
      <c r="C353" s="38"/>
      <c r="D353" s="574"/>
      <c r="E353" s="574"/>
      <c r="F353" s="216"/>
      <c r="G353" s="213"/>
      <c r="H353" s="213"/>
      <c r="I353" s="214"/>
      <c r="J353" s="213"/>
      <c r="K353" s="212"/>
      <c r="L353" s="211"/>
      <c r="M353" s="209"/>
      <c r="N353" s="616"/>
    </row>
    <row r="354" spans="1:14" ht="10.5" customHeight="1" outlineLevel="1">
      <c r="A354" s="572"/>
      <c r="B354" s="65"/>
      <c r="C354" s="38"/>
      <c r="D354" s="574"/>
      <c r="E354" s="591" t="s">
        <v>150</v>
      </c>
      <c r="F354" s="215" t="s">
        <v>21</v>
      </c>
      <c r="G354" s="208">
        <v>324699</v>
      </c>
      <c r="H354" s="208">
        <f>ROUNDUP(269699+L354,0)</f>
        <v>324699</v>
      </c>
      <c r="I354" s="209">
        <f>IF(G354&gt;0,H354/G354*100,"-")</f>
        <v>100</v>
      </c>
      <c r="J354" s="208">
        <v>55000</v>
      </c>
      <c r="K354" s="208">
        <v>55000</v>
      </c>
      <c r="L354" s="210">
        <v>55000</v>
      </c>
      <c r="M354" s="209">
        <f>IF(K354&gt;0,L354/K354*100,"-")</f>
        <v>100</v>
      </c>
      <c r="N354" s="616"/>
    </row>
    <row r="355" spans="1:14" ht="10.5" customHeight="1" outlineLevel="1">
      <c r="A355" s="572"/>
      <c r="B355" s="65"/>
      <c r="C355" s="38"/>
      <c r="D355" s="574"/>
      <c r="E355" s="591"/>
      <c r="F355" s="215" t="s">
        <v>215</v>
      </c>
      <c r="G355" s="208">
        <v>0</v>
      </c>
      <c r="H355" s="208">
        <f>ROUNDUP(0+L355,0)</f>
        <v>0</v>
      </c>
      <c r="I355" s="209" t="str">
        <f t="shared" ref="I355:I356" si="40">IF(G355&gt;0,H355/G355*100,"-")</f>
        <v>-</v>
      </c>
      <c r="J355" s="208">
        <v>0</v>
      </c>
      <c r="K355" s="208">
        <v>0</v>
      </c>
      <c r="L355" s="211">
        <v>0</v>
      </c>
      <c r="M355" s="209" t="str">
        <f t="shared" ref="M355:M356" si="41">IF(K355&gt;0,L355/K355*100,"-")</f>
        <v>-</v>
      </c>
      <c r="N355" s="616"/>
    </row>
    <row r="356" spans="1:14" ht="10.5" customHeight="1" outlineLevel="1">
      <c r="A356" s="572"/>
      <c r="B356" s="65"/>
      <c r="C356" s="38"/>
      <c r="D356" s="574"/>
      <c r="E356" s="591"/>
      <c r="F356" s="215" t="s">
        <v>25</v>
      </c>
      <c r="G356" s="208">
        <v>0</v>
      </c>
      <c r="H356" s="208">
        <f t="shared" ref="H356" si="42">ROUNDUP(0+L356,0)</f>
        <v>0</v>
      </c>
      <c r="I356" s="209" t="str">
        <f t="shared" si="40"/>
        <v>-</v>
      </c>
      <c r="J356" s="208">
        <v>0</v>
      </c>
      <c r="K356" s="208">
        <v>0</v>
      </c>
      <c r="L356" s="211">
        <v>0</v>
      </c>
      <c r="M356" s="209" t="str">
        <f t="shared" si="41"/>
        <v>-</v>
      </c>
      <c r="N356" s="616"/>
    </row>
    <row r="357" spans="1:14" ht="3.95" customHeight="1" outlineLevel="1">
      <c r="A357" s="573"/>
      <c r="B357" s="72"/>
      <c r="C357" s="714"/>
      <c r="D357" s="579"/>
      <c r="E357" s="579"/>
      <c r="F357" s="304"/>
      <c r="G357" s="110"/>
      <c r="H357" s="110"/>
      <c r="I357" s="715"/>
      <c r="J357" s="110"/>
      <c r="K357" s="219"/>
      <c r="L357" s="413"/>
      <c r="M357" s="75"/>
      <c r="N357" s="617"/>
    </row>
    <row r="358" spans="1:14" ht="3.95" customHeight="1" outlineLevel="1">
      <c r="A358" s="92"/>
      <c r="B358" s="61"/>
      <c r="C358" s="62"/>
      <c r="D358" s="60"/>
      <c r="E358" s="60"/>
      <c r="F358" s="61"/>
      <c r="G358" s="108"/>
      <c r="H358" s="108"/>
      <c r="I358" s="64"/>
      <c r="J358" s="108"/>
      <c r="K358" s="113"/>
      <c r="L358" s="63"/>
      <c r="M358" s="64"/>
      <c r="N358" s="235"/>
    </row>
    <row r="359" spans="1:14" ht="11.1" customHeight="1" outlineLevel="1">
      <c r="A359" s="582" t="s">
        <v>51</v>
      </c>
      <c r="B359" s="65" t="s">
        <v>32</v>
      </c>
      <c r="C359" s="69" t="s">
        <v>227</v>
      </c>
      <c r="D359" s="583" t="s">
        <v>232</v>
      </c>
      <c r="E359" s="583" t="s">
        <v>180</v>
      </c>
      <c r="F359" s="66" t="s">
        <v>33</v>
      </c>
      <c r="G359" s="109">
        <f>SUM(G360:G362)</f>
        <v>463500</v>
      </c>
      <c r="H359" s="109">
        <f>SUM(H360:H362)</f>
        <v>461322</v>
      </c>
      <c r="I359" s="37">
        <f>IF(G359&gt;0,H359/G359*100,"-")</f>
        <v>99.53009708737865</v>
      </c>
      <c r="J359" s="109">
        <f>SUM(J360:J362)</f>
        <v>0</v>
      </c>
      <c r="K359" s="109">
        <f>SUM(K360:K362)</f>
        <v>425370</v>
      </c>
      <c r="L359" s="36">
        <f>SUM(L360:L362)</f>
        <v>423192</v>
      </c>
      <c r="M359" s="37">
        <f>IF(K359&gt;0,L359/K359*100,"-")</f>
        <v>99.487975174553924</v>
      </c>
      <c r="N359" s="595" t="s">
        <v>355</v>
      </c>
    </row>
    <row r="360" spans="1:14" ht="11.1" customHeight="1" outlineLevel="1">
      <c r="A360" s="582"/>
      <c r="B360" s="65"/>
      <c r="C360" s="38" t="s">
        <v>228</v>
      </c>
      <c r="D360" s="583"/>
      <c r="E360" s="583"/>
      <c r="F360" s="67" t="s">
        <v>21</v>
      </c>
      <c r="G360" s="89">
        <v>463500</v>
      </c>
      <c r="H360" s="89">
        <f>ROUNDUP(38130+L360,0)</f>
        <v>461322</v>
      </c>
      <c r="I360" s="563">
        <f>IF(G360&gt;0,H360/G360*100,"-")</f>
        <v>99.53009708737865</v>
      </c>
      <c r="J360" s="89">
        <v>0</v>
      </c>
      <c r="K360" s="89">
        <v>425370</v>
      </c>
      <c r="L360" s="70">
        <v>423192</v>
      </c>
      <c r="M360" s="563">
        <f>IF(K360&gt;0,L360/K360*100,"-")</f>
        <v>99.487975174553924</v>
      </c>
      <c r="N360" s="595"/>
    </row>
    <row r="361" spans="1:14" ht="11.1" customHeight="1" outlineLevel="1">
      <c r="A361" s="582"/>
      <c r="B361" s="65" t="s">
        <v>26</v>
      </c>
      <c r="C361" s="38" t="s">
        <v>229</v>
      </c>
      <c r="D361" s="583"/>
      <c r="E361" s="583"/>
      <c r="F361" s="67" t="s">
        <v>215</v>
      </c>
      <c r="G361" s="89">
        <v>0</v>
      </c>
      <c r="H361" s="89">
        <f>ROUNDUP(0+L361,0)</f>
        <v>0</v>
      </c>
      <c r="I361" s="563" t="str">
        <f t="shared" ref="I361:I362" si="43">IF(G361&gt;0,H361/G361*100,"-")</f>
        <v>-</v>
      </c>
      <c r="J361" s="89">
        <v>0</v>
      </c>
      <c r="K361" s="89">
        <v>0</v>
      </c>
      <c r="L361" s="76">
        <v>0</v>
      </c>
      <c r="M361" s="563" t="str">
        <f t="shared" ref="M361:M362" si="44">IF(K361&gt;0,L361/K361*100,"-")</f>
        <v>-</v>
      </c>
      <c r="N361" s="595"/>
    </row>
    <row r="362" spans="1:14" ht="11.1" customHeight="1" outlineLevel="1">
      <c r="A362" s="582"/>
      <c r="B362" s="65"/>
      <c r="C362" s="38" t="s">
        <v>230</v>
      </c>
      <c r="D362" s="583"/>
      <c r="E362" s="583"/>
      <c r="F362" s="67" t="s">
        <v>25</v>
      </c>
      <c r="G362" s="89">
        <v>0</v>
      </c>
      <c r="H362" s="89">
        <f>ROUNDUP(0+L362,0)</f>
        <v>0</v>
      </c>
      <c r="I362" s="563" t="str">
        <f t="shared" si="43"/>
        <v>-</v>
      </c>
      <c r="J362" s="89">
        <v>0</v>
      </c>
      <c r="K362" s="89">
        <v>0</v>
      </c>
      <c r="L362" s="76">
        <v>0</v>
      </c>
      <c r="M362" s="563" t="str">
        <f t="shared" si="44"/>
        <v>-</v>
      </c>
      <c r="N362" s="595"/>
    </row>
    <row r="363" spans="1:14" ht="3.95" customHeight="1" outlineLevel="1">
      <c r="A363" s="93"/>
      <c r="B363" s="72"/>
      <c r="C363" s="73"/>
      <c r="D363" s="164"/>
      <c r="E363" s="164"/>
      <c r="F363" s="72"/>
      <c r="G363" s="110"/>
      <c r="H363" s="110"/>
      <c r="I363" s="72"/>
      <c r="J363" s="110"/>
      <c r="K363" s="114"/>
      <c r="L363" s="74"/>
      <c r="M363" s="75"/>
      <c r="N363" s="236"/>
    </row>
    <row r="364" spans="1:14" ht="3.95" customHeight="1" outlineLevel="1">
      <c r="A364" s="92"/>
      <c r="B364" s="61"/>
      <c r="C364" s="62"/>
      <c r="D364" s="60"/>
      <c r="E364" s="60"/>
      <c r="F364" s="61"/>
      <c r="G364" s="108"/>
      <c r="H364" s="108"/>
      <c r="I364" s="64"/>
      <c r="J364" s="108"/>
      <c r="K364" s="113"/>
      <c r="L364" s="63"/>
      <c r="M364" s="64"/>
      <c r="N364" s="235"/>
    </row>
    <row r="365" spans="1:14" ht="11.1" customHeight="1" outlineLevel="1">
      <c r="A365" s="582" t="s">
        <v>52</v>
      </c>
      <c r="B365" s="65" t="s">
        <v>32</v>
      </c>
      <c r="C365" s="69" t="s">
        <v>47</v>
      </c>
      <c r="D365" s="583" t="s">
        <v>231</v>
      </c>
      <c r="E365" s="583"/>
      <c r="F365" s="66" t="s">
        <v>33</v>
      </c>
      <c r="G365" s="109">
        <f>SUM(G366:G368)</f>
        <v>9540839</v>
      </c>
      <c r="H365" s="109">
        <f>SUM(H366:H368)</f>
        <v>6094303</v>
      </c>
      <c r="I365" s="37">
        <f>IF(G365&gt;0,H365/G365*100,"-")</f>
        <v>63.875965205994987</v>
      </c>
      <c r="J365" s="109">
        <f>SUM(J366:J368)</f>
        <v>1203320</v>
      </c>
      <c r="K365" s="109">
        <f>SUM(K366:K368)</f>
        <v>992781</v>
      </c>
      <c r="L365" s="36">
        <f>SUM(L366:L368)</f>
        <v>981857.66999999993</v>
      </c>
      <c r="M365" s="37">
        <f>IF(K365&gt;0,L365/K365*100,"-")</f>
        <v>98.899724108338077</v>
      </c>
      <c r="N365" s="595" t="s">
        <v>356</v>
      </c>
    </row>
    <row r="366" spans="1:14" ht="11.1" customHeight="1" outlineLevel="1">
      <c r="A366" s="582"/>
      <c r="B366" s="65" t="s">
        <v>26</v>
      </c>
      <c r="C366" s="38" t="s">
        <v>48</v>
      </c>
      <c r="D366" s="583"/>
      <c r="E366" s="583"/>
      <c r="F366" s="67" t="s">
        <v>21</v>
      </c>
      <c r="G366" s="89">
        <f t="shared" ref="G366:H368" si="45">G370+G374</f>
        <v>9540839</v>
      </c>
      <c r="H366" s="89">
        <f t="shared" si="45"/>
        <v>6094303</v>
      </c>
      <c r="I366" s="68">
        <f>IF(G366&gt;0,H366/G366*100,"-")</f>
        <v>63.875965205994987</v>
      </c>
      <c r="J366" s="89">
        <f t="shared" ref="J366:L368" si="46">J370+J374</f>
        <v>1203320</v>
      </c>
      <c r="K366" s="89">
        <f t="shared" si="46"/>
        <v>992781</v>
      </c>
      <c r="L366" s="70">
        <f t="shared" si="46"/>
        <v>981857.66999999993</v>
      </c>
      <c r="M366" s="68">
        <f>IF(K366&gt;0,L366/K366*100,"-")</f>
        <v>98.899724108338077</v>
      </c>
      <c r="N366" s="595"/>
    </row>
    <row r="367" spans="1:14" ht="11.1" customHeight="1" outlineLevel="1">
      <c r="A367" s="582"/>
      <c r="B367" s="65"/>
      <c r="C367" s="38"/>
      <c r="D367" s="583"/>
      <c r="E367" s="583"/>
      <c r="F367" s="67" t="s">
        <v>215</v>
      </c>
      <c r="G367" s="89">
        <f t="shared" si="45"/>
        <v>0</v>
      </c>
      <c r="H367" s="89">
        <f t="shared" si="45"/>
        <v>0</v>
      </c>
      <c r="I367" s="68" t="str">
        <f t="shared" ref="I367:I368" si="47">IF(G367&gt;0,H367/G367*100,"-")</f>
        <v>-</v>
      </c>
      <c r="J367" s="89">
        <f t="shared" si="46"/>
        <v>0</v>
      </c>
      <c r="K367" s="89">
        <f t="shared" si="46"/>
        <v>0</v>
      </c>
      <c r="L367" s="70">
        <f t="shared" si="46"/>
        <v>0</v>
      </c>
      <c r="M367" s="68" t="str">
        <f t="shared" ref="M367:M368" si="48">IF(K367&gt;0,L367/K367*100,"-")</f>
        <v>-</v>
      </c>
      <c r="N367" s="595"/>
    </row>
    <row r="368" spans="1:14" ht="11.1" customHeight="1" outlineLevel="1">
      <c r="A368" s="582"/>
      <c r="B368" s="65"/>
      <c r="C368" s="38"/>
      <c r="D368" s="583"/>
      <c r="E368" s="583"/>
      <c r="F368" s="67" t="s">
        <v>25</v>
      </c>
      <c r="G368" s="89">
        <f t="shared" si="45"/>
        <v>0</v>
      </c>
      <c r="H368" s="89">
        <f t="shared" si="45"/>
        <v>0</v>
      </c>
      <c r="I368" s="68" t="str">
        <f t="shared" si="47"/>
        <v>-</v>
      </c>
      <c r="J368" s="89">
        <f t="shared" si="46"/>
        <v>0</v>
      </c>
      <c r="K368" s="89">
        <f t="shared" si="46"/>
        <v>0</v>
      </c>
      <c r="L368" s="70">
        <f t="shared" si="46"/>
        <v>0</v>
      </c>
      <c r="M368" s="68" t="str">
        <f t="shared" si="48"/>
        <v>-</v>
      </c>
      <c r="N368" s="595"/>
    </row>
    <row r="369" spans="1:14" ht="6.95" customHeight="1" outlineLevel="1">
      <c r="A369" s="203"/>
      <c r="B369" s="65"/>
      <c r="C369" s="69"/>
      <c r="D369" s="204"/>
      <c r="E369" s="204"/>
      <c r="F369" s="87"/>
      <c r="G369" s="112"/>
      <c r="H369" s="112"/>
      <c r="I369" s="88"/>
      <c r="J369" s="112"/>
      <c r="K369" s="115"/>
      <c r="L369" s="76"/>
      <c r="M369" s="68"/>
      <c r="N369" s="616"/>
    </row>
    <row r="370" spans="1:14" ht="10.5" customHeight="1" outlineLevel="1">
      <c r="A370" s="203"/>
      <c r="B370" s="65"/>
      <c r="C370" s="69"/>
      <c r="D370" s="204"/>
      <c r="E370" s="591" t="s">
        <v>179</v>
      </c>
      <c r="F370" s="215" t="s">
        <v>21</v>
      </c>
      <c r="G370" s="208">
        <v>9258100</v>
      </c>
      <c r="H370" s="212">
        <f>ROUNDUP(4964705+L370,0)</f>
        <v>5813837</v>
      </c>
      <c r="I370" s="209">
        <f>IF(G370&gt;0,H370/G370*100,"-")</f>
        <v>62.797301822188132</v>
      </c>
      <c r="J370" s="208">
        <v>1068320</v>
      </c>
      <c r="K370" s="208">
        <v>857781</v>
      </c>
      <c r="L370" s="210">
        <v>849131.46</v>
      </c>
      <c r="M370" s="209">
        <f>IF(K370&gt;0,L370/K370*100,"-")</f>
        <v>98.991637725713204</v>
      </c>
      <c r="N370" s="616"/>
    </row>
    <row r="371" spans="1:14" ht="10.5" customHeight="1" outlineLevel="1">
      <c r="A371" s="203"/>
      <c r="B371" s="65"/>
      <c r="C371" s="69"/>
      <c r="D371" s="204"/>
      <c r="E371" s="591"/>
      <c r="F371" s="215" t="s">
        <v>215</v>
      </c>
      <c r="G371" s="208">
        <v>0</v>
      </c>
      <c r="H371" s="208">
        <f>ROUNDUP(0+L371,0)</f>
        <v>0</v>
      </c>
      <c r="I371" s="209" t="str">
        <f t="shared" ref="I371:I372" si="49">IF(G371&gt;0,H371/G371*100,"-")</f>
        <v>-</v>
      </c>
      <c r="J371" s="208">
        <v>0</v>
      </c>
      <c r="K371" s="208">
        <v>0</v>
      </c>
      <c r="L371" s="211">
        <v>0</v>
      </c>
      <c r="M371" s="209" t="str">
        <f t="shared" ref="M371:M372" si="50">IF(K371&gt;0,L371/K371*100,"-")</f>
        <v>-</v>
      </c>
      <c r="N371" s="616"/>
    </row>
    <row r="372" spans="1:14" ht="10.5" customHeight="1" outlineLevel="1">
      <c r="A372" s="203"/>
      <c r="B372" s="65"/>
      <c r="C372" s="69"/>
      <c r="D372" s="204"/>
      <c r="E372" s="591"/>
      <c r="F372" s="215" t="s">
        <v>25</v>
      </c>
      <c r="G372" s="208">
        <v>0</v>
      </c>
      <c r="H372" s="208">
        <f>ROUNDUP(0+L372,0)</f>
        <v>0</v>
      </c>
      <c r="I372" s="209" t="str">
        <f t="shared" si="49"/>
        <v>-</v>
      </c>
      <c r="J372" s="208">
        <v>0</v>
      </c>
      <c r="K372" s="208">
        <v>0</v>
      </c>
      <c r="L372" s="211">
        <v>0</v>
      </c>
      <c r="M372" s="209" t="str">
        <f t="shared" si="50"/>
        <v>-</v>
      </c>
      <c r="N372" s="616"/>
    </row>
    <row r="373" spans="1:14" ht="6.95" customHeight="1" outlineLevel="1">
      <c r="A373" s="203"/>
      <c r="B373" s="65"/>
      <c r="C373" s="69"/>
      <c r="D373" s="204"/>
      <c r="E373" s="204"/>
      <c r="F373" s="216"/>
      <c r="G373" s="213"/>
      <c r="H373" s="213"/>
      <c r="I373" s="214"/>
      <c r="J373" s="213"/>
      <c r="K373" s="212"/>
      <c r="L373" s="211"/>
      <c r="M373" s="209"/>
      <c r="N373" s="616"/>
    </row>
    <row r="374" spans="1:14" ht="10.5" customHeight="1" outlineLevel="1">
      <c r="A374" s="203"/>
      <c r="B374" s="65"/>
      <c r="C374" s="69"/>
      <c r="D374" s="204"/>
      <c r="E374" s="591" t="s">
        <v>150</v>
      </c>
      <c r="F374" s="215" t="s">
        <v>21</v>
      </c>
      <c r="G374" s="208">
        <v>282739</v>
      </c>
      <c r="H374" s="208">
        <f>ROUNDUP(147739+L374,0)</f>
        <v>280466</v>
      </c>
      <c r="I374" s="209">
        <f>IF(G374&gt;0,H374/G374*100,"-")</f>
        <v>99.196078362022917</v>
      </c>
      <c r="J374" s="208">
        <v>135000</v>
      </c>
      <c r="K374" s="208">
        <v>135000</v>
      </c>
      <c r="L374" s="210">
        <v>132726.21</v>
      </c>
      <c r="M374" s="209">
        <f>IF(K374&gt;0,L374/K374*100,"-")</f>
        <v>98.315711111111099</v>
      </c>
      <c r="N374" s="616"/>
    </row>
    <row r="375" spans="1:14" ht="10.5" customHeight="1" outlineLevel="1">
      <c r="A375" s="203"/>
      <c r="B375" s="65"/>
      <c r="C375" s="69"/>
      <c r="D375" s="204"/>
      <c r="E375" s="591"/>
      <c r="F375" s="215" t="s">
        <v>215</v>
      </c>
      <c r="G375" s="208">
        <v>0</v>
      </c>
      <c r="H375" s="208">
        <f>ROUNDUP(0+L375,0)</f>
        <v>0</v>
      </c>
      <c r="I375" s="209" t="str">
        <f t="shared" ref="I375:I376" si="51">IF(G375&gt;0,H375/G375*100,"-")</f>
        <v>-</v>
      </c>
      <c r="J375" s="208">
        <v>0</v>
      </c>
      <c r="K375" s="208">
        <v>0</v>
      </c>
      <c r="L375" s="211">
        <v>0</v>
      </c>
      <c r="M375" s="209" t="str">
        <f t="shared" ref="M375:M376" si="52">IF(K375&gt;0,L375/K375*100,"-")</f>
        <v>-</v>
      </c>
      <c r="N375" s="616"/>
    </row>
    <row r="376" spans="1:14" ht="10.5" customHeight="1" outlineLevel="1">
      <c r="A376" s="203"/>
      <c r="B376" s="65"/>
      <c r="C376" s="69"/>
      <c r="D376" s="204"/>
      <c r="E376" s="591"/>
      <c r="F376" s="215" t="s">
        <v>25</v>
      </c>
      <c r="G376" s="208">
        <v>0</v>
      </c>
      <c r="H376" s="208">
        <f>ROUNDUP(0+L376,0)</f>
        <v>0</v>
      </c>
      <c r="I376" s="209" t="str">
        <f t="shared" si="51"/>
        <v>-</v>
      </c>
      <c r="J376" s="208">
        <v>0</v>
      </c>
      <c r="K376" s="208">
        <v>0</v>
      </c>
      <c r="L376" s="211">
        <v>0</v>
      </c>
      <c r="M376" s="209" t="str">
        <f t="shared" si="52"/>
        <v>-</v>
      </c>
      <c r="N376" s="616"/>
    </row>
    <row r="377" spans="1:14" ht="3.95" customHeight="1" outlineLevel="1">
      <c r="A377" s="93"/>
      <c r="B377" s="72"/>
      <c r="C377" s="73"/>
      <c r="D377" s="164"/>
      <c r="E377" s="164"/>
      <c r="F377" s="72"/>
      <c r="G377" s="110"/>
      <c r="H377" s="110"/>
      <c r="I377" s="72"/>
      <c r="J377" s="110"/>
      <c r="K377" s="114"/>
      <c r="L377" s="74"/>
      <c r="M377" s="75"/>
      <c r="N377" s="236"/>
    </row>
    <row r="378" spans="1:14" ht="3.95" customHeight="1" outlineLevel="1">
      <c r="A378" s="92"/>
      <c r="B378" s="61"/>
      <c r="C378" s="62"/>
      <c r="D378" s="165"/>
      <c r="E378" s="165"/>
      <c r="F378" s="61"/>
      <c r="G378" s="108"/>
      <c r="H378" s="108"/>
      <c r="I378" s="64"/>
      <c r="J378" s="108"/>
      <c r="K378" s="113"/>
      <c r="L378" s="63"/>
      <c r="M378" s="64"/>
      <c r="N378" s="235"/>
    </row>
    <row r="379" spans="1:14" ht="11.1" customHeight="1" outlineLevel="1">
      <c r="A379" s="582" t="s">
        <v>53</v>
      </c>
      <c r="B379" s="65" t="s">
        <v>32</v>
      </c>
      <c r="C379" s="69" t="s">
        <v>49</v>
      </c>
      <c r="D379" s="583" t="s">
        <v>181</v>
      </c>
      <c r="E379" s="583"/>
      <c r="F379" s="66" t="s">
        <v>33</v>
      </c>
      <c r="G379" s="109">
        <f>SUM(G380:G382)</f>
        <v>3720879</v>
      </c>
      <c r="H379" s="109">
        <f>SUM(H380:H382)</f>
        <v>3167341</v>
      </c>
      <c r="I379" s="37">
        <f>IF(G379&gt;0,H379/G379*100,"-")</f>
        <v>85.123461418659403</v>
      </c>
      <c r="J379" s="109">
        <f>SUM(J380:J382)</f>
        <v>598436</v>
      </c>
      <c r="K379" s="109">
        <f>SUM(K380:K382)</f>
        <v>565936</v>
      </c>
      <c r="L379" s="36">
        <f>SUM(L380:L382)</f>
        <v>516704.71</v>
      </c>
      <c r="M379" s="37">
        <f>IF(K379&gt;0,L379/K379*100,"-")</f>
        <v>91.300908583302714</v>
      </c>
      <c r="N379" s="595" t="s">
        <v>357</v>
      </c>
    </row>
    <row r="380" spans="1:14" ht="11.1" customHeight="1" outlineLevel="1">
      <c r="A380" s="582"/>
      <c r="B380" s="65" t="s">
        <v>26</v>
      </c>
      <c r="C380" s="38" t="s">
        <v>50</v>
      </c>
      <c r="D380" s="583"/>
      <c r="E380" s="583"/>
      <c r="F380" s="67" t="s">
        <v>21</v>
      </c>
      <c r="G380" s="89">
        <f t="shared" ref="G380:H382" si="53">G384+G388</f>
        <v>3720879</v>
      </c>
      <c r="H380" s="89">
        <f t="shared" si="53"/>
        <v>3167341</v>
      </c>
      <c r="I380" s="68">
        <f>IF(G380&gt;0,H380/G380*100,"-")</f>
        <v>85.123461418659403</v>
      </c>
      <c r="J380" s="89">
        <f t="shared" ref="J380:L382" si="54">J384+J388</f>
        <v>598436</v>
      </c>
      <c r="K380" s="89">
        <f t="shared" si="54"/>
        <v>565936</v>
      </c>
      <c r="L380" s="70">
        <f t="shared" si="54"/>
        <v>516704.71</v>
      </c>
      <c r="M380" s="68">
        <f>IF(K380&gt;0,L380/K380*100,"-")</f>
        <v>91.300908583302714</v>
      </c>
      <c r="N380" s="595"/>
    </row>
    <row r="381" spans="1:14" ht="11.1" customHeight="1" outlineLevel="1">
      <c r="A381" s="582"/>
      <c r="B381" s="65"/>
      <c r="C381" s="38"/>
      <c r="D381" s="583"/>
      <c r="E381" s="583"/>
      <c r="F381" s="67" t="s">
        <v>215</v>
      </c>
      <c r="G381" s="89">
        <f t="shared" si="53"/>
        <v>0</v>
      </c>
      <c r="H381" s="89">
        <f t="shared" si="53"/>
        <v>0</v>
      </c>
      <c r="I381" s="68" t="str">
        <f t="shared" ref="I381:I382" si="55">IF(G381&gt;0,H381/G381*100,"-")</f>
        <v>-</v>
      </c>
      <c r="J381" s="89">
        <f t="shared" si="54"/>
        <v>0</v>
      </c>
      <c r="K381" s="89">
        <f t="shared" si="54"/>
        <v>0</v>
      </c>
      <c r="L381" s="70">
        <f t="shared" si="54"/>
        <v>0</v>
      </c>
      <c r="M381" s="68" t="str">
        <f t="shared" ref="M381:M382" si="56">IF(K381&gt;0,L381/K381*100,"-")</f>
        <v>-</v>
      </c>
      <c r="N381" s="595"/>
    </row>
    <row r="382" spans="1:14" ht="11.1" customHeight="1" outlineLevel="1">
      <c r="A382" s="582"/>
      <c r="B382" s="65"/>
      <c r="C382" s="38"/>
      <c r="D382" s="583"/>
      <c r="E382" s="583"/>
      <c r="F382" s="67" t="s">
        <v>25</v>
      </c>
      <c r="G382" s="89">
        <f t="shared" si="53"/>
        <v>0</v>
      </c>
      <c r="H382" s="89">
        <f t="shared" si="53"/>
        <v>0</v>
      </c>
      <c r="I382" s="68" t="str">
        <f t="shared" si="55"/>
        <v>-</v>
      </c>
      <c r="J382" s="89">
        <f t="shared" si="54"/>
        <v>0</v>
      </c>
      <c r="K382" s="89">
        <f t="shared" si="54"/>
        <v>0</v>
      </c>
      <c r="L382" s="70">
        <f t="shared" si="54"/>
        <v>0</v>
      </c>
      <c r="M382" s="68" t="str">
        <f t="shared" si="56"/>
        <v>-</v>
      </c>
      <c r="N382" s="595"/>
    </row>
    <row r="383" spans="1:14" ht="6.95" customHeight="1" outlineLevel="1">
      <c r="A383" s="203"/>
      <c r="B383" s="65"/>
      <c r="C383" s="69"/>
      <c r="D383" s="204"/>
      <c r="E383" s="204"/>
      <c r="F383" s="87"/>
      <c r="G383" s="112"/>
      <c r="H383" s="112"/>
      <c r="I383" s="88"/>
      <c r="J383" s="112"/>
      <c r="K383" s="115"/>
      <c r="L383" s="76"/>
      <c r="M383" s="68"/>
      <c r="N383" s="616"/>
    </row>
    <row r="384" spans="1:14" ht="10.5" customHeight="1" outlineLevel="1">
      <c r="A384" s="203"/>
      <c r="B384" s="65"/>
      <c r="C384" s="69"/>
      <c r="D384" s="204"/>
      <c r="E384" s="591" t="s">
        <v>179</v>
      </c>
      <c r="F384" s="215" t="s">
        <v>21</v>
      </c>
      <c r="G384" s="208">
        <v>3670879</v>
      </c>
      <c r="H384" s="212">
        <f>ROUNDUP(2650636+L384,0)</f>
        <v>3157501</v>
      </c>
      <c r="I384" s="209">
        <f>IF(G384&gt;0,H384/G384*100,"-")</f>
        <v>86.014848214828106</v>
      </c>
      <c r="J384" s="208">
        <v>548436</v>
      </c>
      <c r="K384" s="208">
        <v>515936</v>
      </c>
      <c r="L384" s="210">
        <v>506864.71</v>
      </c>
      <c r="M384" s="209">
        <f>IF(K384&gt;0,L384/K384*100,"-")</f>
        <v>98.241779988215598</v>
      </c>
      <c r="N384" s="616"/>
    </row>
    <row r="385" spans="1:14" ht="10.5" customHeight="1" outlineLevel="1">
      <c r="A385" s="203"/>
      <c r="B385" s="65"/>
      <c r="C385" s="69"/>
      <c r="D385" s="204"/>
      <c r="E385" s="591"/>
      <c r="F385" s="215" t="s">
        <v>215</v>
      </c>
      <c r="G385" s="208">
        <v>0</v>
      </c>
      <c r="H385" s="208">
        <f>ROUNDUP(0+L385,0)</f>
        <v>0</v>
      </c>
      <c r="I385" s="209" t="str">
        <f t="shared" ref="I385:I386" si="57">IF(G385&gt;0,H385/G385*100,"-")</f>
        <v>-</v>
      </c>
      <c r="J385" s="208">
        <v>0</v>
      </c>
      <c r="K385" s="208">
        <v>0</v>
      </c>
      <c r="L385" s="211">
        <v>0</v>
      </c>
      <c r="M385" s="209" t="str">
        <f t="shared" ref="M385:M386" si="58">IF(K385&gt;0,L385/K385*100,"-")</f>
        <v>-</v>
      </c>
      <c r="N385" s="616"/>
    </row>
    <row r="386" spans="1:14" ht="10.5" customHeight="1" outlineLevel="1">
      <c r="A386" s="203"/>
      <c r="B386" s="65"/>
      <c r="C386" s="69"/>
      <c r="D386" s="204"/>
      <c r="E386" s="591"/>
      <c r="F386" s="215" t="s">
        <v>25</v>
      </c>
      <c r="G386" s="208">
        <v>0</v>
      </c>
      <c r="H386" s="208">
        <f>ROUNDUP(0+L386,0)</f>
        <v>0</v>
      </c>
      <c r="I386" s="209" t="str">
        <f t="shared" si="57"/>
        <v>-</v>
      </c>
      <c r="J386" s="208">
        <v>0</v>
      </c>
      <c r="K386" s="208">
        <v>0</v>
      </c>
      <c r="L386" s="211">
        <v>0</v>
      </c>
      <c r="M386" s="209" t="str">
        <f t="shared" si="58"/>
        <v>-</v>
      </c>
      <c r="N386" s="616"/>
    </row>
    <row r="387" spans="1:14" ht="6.95" customHeight="1" outlineLevel="1">
      <c r="A387" s="203"/>
      <c r="B387" s="65"/>
      <c r="C387" s="69"/>
      <c r="D387" s="204"/>
      <c r="E387" s="204"/>
      <c r="F387" s="216"/>
      <c r="G387" s="213"/>
      <c r="H387" s="213"/>
      <c r="I387" s="214"/>
      <c r="J387" s="213"/>
      <c r="K387" s="212"/>
      <c r="L387" s="211"/>
      <c r="M387" s="209"/>
      <c r="N387" s="616"/>
    </row>
    <row r="388" spans="1:14" ht="10.5" customHeight="1" outlineLevel="1">
      <c r="A388" s="203"/>
      <c r="B388" s="65"/>
      <c r="C388" s="69"/>
      <c r="D388" s="204"/>
      <c r="E388" s="591" t="s">
        <v>150</v>
      </c>
      <c r="F388" s="215" t="s">
        <v>21</v>
      </c>
      <c r="G388" s="208">
        <v>50000</v>
      </c>
      <c r="H388" s="208">
        <f>0+L388</f>
        <v>9840</v>
      </c>
      <c r="I388" s="209">
        <f>IF(G388&gt;0,H388/G388*100,"-")</f>
        <v>19.68</v>
      </c>
      <c r="J388" s="208">
        <v>50000</v>
      </c>
      <c r="K388" s="208">
        <v>50000</v>
      </c>
      <c r="L388" s="210">
        <v>9840</v>
      </c>
      <c r="M388" s="209">
        <f>IF(K388&gt;0,L388/K388*100,"-")</f>
        <v>19.68</v>
      </c>
      <c r="N388" s="616"/>
    </row>
    <row r="389" spans="1:14" ht="10.5" customHeight="1" outlineLevel="1">
      <c r="A389" s="203"/>
      <c r="B389" s="65"/>
      <c r="C389" s="69"/>
      <c r="D389" s="204"/>
      <c r="E389" s="591"/>
      <c r="F389" s="215" t="s">
        <v>215</v>
      </c>
      <c r="G389" s="208">
        <v>0</v>
      </c>
      <c r="H389" s="208">
        <f>ROUNDUP(0+L389,0)</f>
        <v>0</v>
      </c>
      <c r="I389" s="209" t="str">
        <f t="shared" ref="I389:I390" si="59">IF(G389&gt;0,H389/G389*100,"-")</f>
        <v>-</v>
      </c>
      <c r="J389" s="208">
        <v>0</v>
      </c>
      <c r="K389" s="208">
        <v>0</v>
      </c>
      <c r="L389" s="211">
        <v>0</v>
      </c>
      <c r="M389" s="209" t="str">
        <f t="shared" ref="M389:M390" si="60">IF(K389&gt;0,L389/K389*100,"-")</f>
        <v>-</v>
      </c>
      <c r="N389" s="616"/>
    </row>
    <row r="390" spans="1:14" ht="10.5" customHeight="1" outlineLevel="1">
      <c r="A390" s="203"/>
      <c r="B390" s="65"/>
      <c r="C390" s="69"/>
      <c r="D390" s="204"/>
      <c r="E390" s="591"/>
      <c r="F390" s="215" t="s">
        <v>25</v>
      </c>
      <c r="G390" s="208">
        <v>0</v>
      </c>
      <c r="H390" s="208">
        <f>ROUNDUP(0+L390,0)</f>
        <v>0</v>
      </c>
      <c r="I390" s="209" t="str">
        <f t="shared" si="59"/>
        <v>-</v>
      </c>
      <c r="J390" s="208">
        <v>0</v>
      </c>
      <c r="K390" s="208">
        <v>0</v>
      </c>
      <c r="L390" s="211">
        <v>0</v>
      </c>
      <c r="M390" s="209" t="str">
        <f t="shared" si="60"/>
        <v>-</v>
      </c>
      <c r="N390" s="616"/>
    </row>
    <row r="391" spans="1:14" ht="3.95" customHeight="1" outlineLevel="1">
      <c r="A391" s="93"/>
      <c r="B391" s="72"/>
      <c r="C391" s="73"/>
      <c r="D391" s="156"/>
      <c r="E391" s="156"/>
      <c r="F391" s="72"/>
      <c r="G391" s="110"/>
      <c r="H391" s="110"/>
      <c r="I391" s="72"/>
      <c r="J391" s="110"/>
      <c r="K391" s="114"/>
      <c r="L391" s="74"/>
      <c r="M391" s="75"/>
      <c r="N391" s="617"/>
    </row>
    <row r="392" spans="1:14" ht="3.95" customHeight="1" outlineLevel="1">
      <c r="A392" s="92"/>
      <c r="B392" s="61"/>
      <c r="C392" s="62"/>
      <c r="D392" s="60"/>
      <c r="E392" s="60"/>
      <c r="F392" s="61"/>
      <c r="G392" s="108"/>
      <c r="H392" s="108"/>
      <c r="I392" s="64"/>
      <c r="J392" s="108"/>
      <c r="K392" s="113"/>
      <c r="L392" s="63"/>
      <c r="M392" s="64"/>
      <c r="N392" s="235"/>
    </row>
    <row r="393" spans="1:14" ht="11.1" customHeight="1" outlineLevel="1">
      <c r="A393" s="582" t="s">
        <v>58</v>
      </c>
      <c r="B393" s="65" t="s">
        <v>32</v>
      </c>
      <c r="C393" s="69" t="s">
        <v>302</v>
      </c>
      <c r="D393" s="583" t="s">
        <v>232</v>
      </c>
      <c r="E393" s="583" t="s">
        <v>233</v>
      </c>
      <c r="F393" s="66" t="s">
        <v>33</v>
      </c>
      <c r="G393" s="109">
        <f>SUM(G394:G397)</f>
        <v>105781</v>
      </c>
      <c r="H393" s="109">
        <f>SUM(H394:H397)</f>
        <v>81488</v>
      </c>
      <c r="I393" s="37">
        <f>IF(G393&gt;0,H393/G393*100,"-")</f>
        <v>77.034628146831665</v>
      </c>
      <c r="J393" s="109">
        <f>SUM(J394:J397)</f>
        <v>0</v>
      </c>
      <c r="K393" s="109">
        <f>SUM(K394:K397)</f>
        <v>0</v>
      </c>
      <c r="L393" s="36">
        <f>SUM(L394:L397)</f>
        <v>0</v>
      </c>
      <c r="M393" s="37" t="str">
        <f>IF(K393&gt;0,L393/K393*100,"-")</f>
        <v>-</v>
      </c>
      <c r="N393" s="595" t="s">
        <v>358</v>
      </c>
    </row>
    <row r="394" spans="1:14" ht="11.1" customHeight="1" outlineLevel="1">
      <c r="A394" s="582"/>
      <c r="B394" s="65"/>
      <c r="C394" s="38" t="s">
        <v>303</v>
      </c>
      <c r="D394" s="583"/>
      <c r="E394" s="583"/>
      <c r="F394" s="67" t="s">
        <v>21</v>
      </c>
      <c r="G394" s="89">
        <v>105781</v>
      </c>
      <c r="H394" s="115">
        <f>ROUNDUP(81488+L394,0)</f>
        <v>81488</v>
      </c>
      <c r="I394" s="68">
        <f>IF(G394&gt;0,H394/G394*100,"-")</f>
        <v>77.034628146831665</v>
      </c>
      <c r="J394" s="89">
        <v>0</v>
      </c>
      <c r="K394" s="89">
        <v>0</v>
      </c>
      <c r="L394" s="70">
        <v>0</v>
      </c>
      <c r="M394" s="68" t="str">
        <f>IF(K394&gt;0,L394/K394*100,"-")</f>
        <v>-</v>
      </c>
      <c r="N394" s="595"/>
    </row>
    <row r="395" spans="1:14" ht="11.1" customHeight="1" outlineLevel="1">
      <c r="A395" s="582"/>
      <c r="B395" s="65" t="s">
        <v>26</v>
      </c>
      <c r="C395" s="38" t="s">
        <v>304</v>
      </c>
      <c r="D395" s="583"/>
      <c r="E395" s="583"/>
      <c r="F395" s="67" t="s">
        <v>215</v>
      </c>
      <c r="G395" s="89">
        <v>0</v>
      </c>
      <c r="H395" s="89">
        <f>ROUNDUP(0+L395,0)</f>
        <v>0</v>
      </c>
      <c r="I395" s="68" t="str">
        <f t="shared" ref="I395:I396" si="61">IF(G395&gt;0,H395/G395*100,"-")</f>
        <v>-</v>
      </c>
      <c r="J395" s="89">
        <v>0</v>
      </c>
      <c r="K395" s="89">
        <v>0</v>
      </c>
      <c r="L395" s="76">
        <v>0</v>
      </c>
      <c r="M395" s="68" t="str">
        <f t="shared" ref="M395:M396" si="62">IF(K395&gt;0,L395/K395*100,"-")</f>
        <v>-</v>
      </c>
      <c r="N395" s="595"/>
    </row>
    <row r="396" spans="1:14" ht="11.1" customHeight="1" outlineLevel="1">
      <c r="A396" s="582"/>
      <c r="B396" s="65"/>
      <c r="C396" s="38" t="s">
        <v>303</v>
      </c>
      <c r="D396" s="583"/>
      <c r="E396" s="583"/>
      <c r="F396" s="67" t="s">
        <v>25</v>
      </c>
      <c r="G396" s="89">
        <v>0</v>
      </c>
      <c r="H396" s="89">
        <f>ROUNDUP(0+L396,0)</f>
        <v>0</v>
      </c>
      <c r="I396" s="68" t="str">
        <f t="shared" si="61"/>
        <v>-</v>
      </c>
      <c r="J396" s="89">
        <v>0</v>
      </c>
      <c r="K396" s="89">
        <v>0</v>
      </c>
      <c r="L396" s="76">
        <v>0</v>
      </c>
      <c r="M396" s="68" t="str">
        <f t="shared" si="62"/>
        <v>-</v>
      </c>
      <c r="N396" s="595"/>
    </row>
    <row r="397" spans="1:14" ht="11.1" customHeight="1" outlineLevel="1">
      <c r="A397" s="582"/>
      <c r="B397" s="65"/>
      <c r="C397" s="69"/>
      <c r="D397" s="583"/>
      <c r="E397" s="583"/>
      <c r="F397" s="67" t="s">
        <v>216</v>
      </c>
      <c r="G397" s="89">
        <v>0</v>
      </c>
      <c r="H397" s="89">
        <f>ROUNDUP(0+L397,0)</f>
        <v>0</v>
      </c>
      <c r="I397" s="68" t="str">
        <f>IF(G397&gt;0,H397/G397*100,"-")</f>
        <v>-</v>
      </c>
      <c r="J397" s="89">
        <v>0</v>
      </c>
      <c r="K397" s="115">
        <v>0</v>
      </c>
      <c r="L397" s="76">
        <v>0</v>
      </c>
      <c r="M397" s="68" t="str">
        <f>IF(K397&gt;0,L397/K397*100,"-")</f>
        <v>-</v>
      </c>
      <c r="N397" s="595"/>
    </row>
    <row r="398" spans="1:14" ht="3.95" customHeight="1" outlineLevel="1">
      <c r="A398" s="93"/>
      <c r="B398" s="72"/>
      <c r="C398" s="73"/>
      <c r="D398" s="71"/>
      <c r="E398" s="71"/>
      <c r="F398" s="72"/>
      <c r="G398" s="110"/>
      <c r="H398" s="110"/>
      <c r="I398" s="72"/>
      <c r="J398" s="110"/>
      <c r="K398" s="114"/>
      <c r="L398" s="74"/>
      <c r="M398" s="75"/>
      <c r="N398" s="190"/>
    </row>
    <row r="399" spans="1:14" ht="3.95" customHeight="1">
      <c r="A399" s="50"/>
      <c r="B399" s="51"/>
      <c r="C399" s="172"/>
      <c r="D399" s="52"/>
      <c r="E399" s="52"/>
      <c r="F399" s="50"/>
      <c r="G399" s="104"/>
      <c r="H399" s="104"/>
      <c r="I399" s="54"/>
      <c r="J399" s="104"/>
      <c r="K399" s="104"/>
      <c r="L399" s="53"/>
      <c r="M399" s="54"/>
      <c r="N399" s="186"/>
    </row>
    <row r="400" spans="1:14" ht="11.25" customHeight="1">
      <c r="A400" s="27" t="s">
        <v>41</v>
      </c>
      <c r="B400" s="588" t="s">
        <v>167</v>
      </c>
      <c r="C400" s="589"/>
      <c r="D400" s="28"/>
      <c r="E400" s="28"/>
      <c r="F400" s="29"/>
      <c r="G400" s="105">
        <f>SUM(G401:G403)</f>
        <v>23635752</v>
      </c>
      <c r="H400" s="105">
        <f>SUM(H401:H403)</f>
        <v>3953457</v>
      </c>
      <c r="I400" s="31">
        <f>IF(G400&gt;0,H400/G400*100,"-")</f>
        <v>16.726597063634784</v>
      </c>
      <c r="J400" s="105">
        <f>SUM(J401:J403)</f>
        <v>1603473</v>
      </c>
      <c r="K400" s="105">
        <f>SUM(K401:K403)</f>
        <v>1663473</v>
      </c>
      <c r="L400" s="30">
        <f>SUM(L401:L403)</f>
        <v>943237.81</v>
      </c>
      <c r="M400" s="31">
        <f>IF(K400&gt;0,L400/K400*100,"-")</f>
        <v>56.702922740555451</v>
      </c>
      <c r="N400" s="187"/>
    </row>
    <row r="401" spans="1:14" ht="11.25" customHeight="1">
      <c r="A401" s="29"/>
      <c r="B401" s="124"/>
      <c r="C401" s="175"/>
      <c r="D401" s="28"/>
      <c r="E401" s="28"/>
      <c r="F401" s="33" t="s">
        <v>21</v>
      </c>
      <c r="G401" s="106">
        <f t="shared" ref="G401:H403" si="63">G407+G414+G420+G427+G434+G440</f>
        <v>16635752</v>
      </c>
      <c r="H401" s="106">
        <f t="shared" si="63"/>
        <v>3953457</v>
      </c>
      <c r="I401" s="35">
        <f>IF(G401&gt;0,H401/G401*100,"-")</f>
        <v>23.764822894690905</v>
      </c>
      <c r="J401" s="106">
        <f t="shared" ref="J401:L403" si="64">J407+J414+J420+J427+J434+J440</f>
        <v>1603473</v>
      </c>
      <c r="K401" s="106">
        <f t="shared" si="64"/>
        <v>1663473</v>
      </c>
      <c r="L401" s="34">
        <f t="shared" si="64"/>
        <v>943237.81</v>
      </c>
      <c r="M401" s="35">
        <f>IF(K401&gt;0,L401/K401*100,"-")</f>
        <v>56.702922740555451</v>
      </c>
      <c r="N401" s="187"/>
    </row>
    <row r="402" spans="1:14" ht="11.25" customHeight="1">
      <c r="A402" s="29"/>
      <c r="B402" s="124"/>
      <c r="C402" s="175"/>
      <c r="D402" s="28"/>
      <c r="E402" s="28"/>
      <c r="F402" s="33" t="s">
        <v>215</v>
      </c>
      <c r="G402" s="106">
        <f t="shared" si="63"/>
        <v>0</v>
      </c>
      <c r="H402" s="106">
        <f t="shared" si="63"/>
        <v>0</v>
      </c>
      <c r="I402" s="35" t="str">
        <f t="shared" ref="I402:I403" si="65">IF(G402&gt;0,H402/G402*100,"-")</f>
        <v>-</v>
      </c>
      <c r="J402" s="106">
        <f t="shared" si="64"/>
        <v>0</v>
      </c>
      <c r="K402" s="106">
        <f t="shared" si="64"/>
        <v>0</v>
      </c>
      <c r="L402" s="34">
        <f t="shared" si="64"/>
        <v>0</v>
      </c>
      <c r="M402" s="35" t="str">
        <f t="shared" ref="M402:M403" si="66">IF(K402&gt;0,L402/K402*100,"-")</f>
        <v>-</v>
      </c>
      <c r="N402" s="187"/>
    </row>
    <row r="403" spans="1:14" ht="11.25" customHeight="1">
      <c r="A403" s="29"/>
      <c r="B403" s="124"/>
      <c r="C403" s="175"/>
      <c r="D403" s="28"/>
      <c r="E403" s="28"/>
      <c r="F403" s="33" t="s">
        <v>25</v>
      </c>
      <c r="G403" s="106">
        <f t="shared" si="63"/>
        <v>7000000</v>
      </c>
      <c r="H403" s="106">
        <f t="shared" si="63"/>
        <v>0</v>
      </c>
      <c r="I403" s="35">
        <f t="shared" si="65"/>
        <v>0</v>
      </c>
      <c r="J403" s="106">
        <f t="shared" si="64"/>
        <v>0</v>
      </c>
      <c r="K403" s="106">
        <f t="shared" si="64"/>
        <v>0</v>
      </c>
      <c r="L403" s="34">
        <f t="shared" si="64"/>
        <v>0</v>
      </c>
      <c r="M403" s="35" t="str">
        <f t="shared" si="66"/>
        <v>-</v>
      </c>
      <c r="N403" s="187"/>
    </row>
    <row r="404" spans="1:14" ht="3.95" customHeight="1">
      <c r="A404" s="55"/>
      <c r="B404" s="56"/>
      <c r="C404" s="174"/>
      <c r="D404" s="57"/>
      <c r="E404" s="57"/>
      <c r="F404" s="55"/>
      <c r="G404" s="107"/>
      <c r="H404" s="107"/>
      <c r="I404" s="59"/>
      <c r="J404" s="107"/>
      <c r="K404" s="107"/>
      <c r="L404" s="58"/>
      <c r="M404" s="59"/>
      <c r="N404" s="188"/>
    </row>
    <row r="405" spans="1:14" ht="3.95" customHeight="1" outlineLevel="1">
      <c r="A405" s="92"/>
      <c r="B405" s="61"/>
      <c r="C405" s="62"/>
      <c r="D405" s="571"/>
      <c r="E405" s="571"/>
      <c r="F405" s="61"/>
      <c r="G405" s="108"/>
      <c r="H405" s="108"/>
      <c r="I405" s="569"/>
      <c r="J405" s="108"/>
      <c r="K405" s="113"/>
      <c r="L405" s="63"/>
      <c r="M405" s="569"/>
      <c r="N405" s="166"/>
    </row>
    <row r="406" spans="1:14" ht="11.1" customHeight="1" outlineLevel="1">
      <c r="A406" s="582" t="s">
        <v>59</v>
      </c>
      <c r="B406" s="65" t="s">
        <v>32</v>
      </c>
      <c r="C406" s="69" t="s">
        <v>112</v>
      </c>
      <c r="D406" s="583" t="s">
        <v>108</v>
      </c>
      <c r="E406" s="583" t="s">
        <v>95</v>
      </c>
      <c r="F406" s="66" t="s">
        <v>33</v>
      </c>
      <c r="G406" s="109">
        <f>SUM(G407:G410)</f>
        <v>718135</v>
      </c>
      <c r="H406" s="109">
        <f>SUM(H407:H410)</f>
        <v>171772</v>
      </c>
      <c r="I406" s="37">
        <f>IF(G406&gt;0,H406/G406*100,"-")</f>
        <v>23.919179541451118</v>
      </c>
      <c r="J406" s="109">
        <f>SUM(J407:J410)</f>
        <v>0</v>
      </c>
      <c r="K406" s="109">
        <f>SUM(K407:K410)</f>
        <v>0</v>
      </c>
      <c r="L406" s="36">
        <f>SUM(L407:L410)</f>
        <v>0</v>
      </c>
      <c r="M406" s="37" t="str">
        <f>IF(K406&gt;0,L406/K406*100,"-")</f>
        <v>-</v>
      </c>
      <c r="N406" s="594" t="s">
        <v>359</v>
      </c>
    </row>
    <row r="407" spans="1:14" ht="11.1" customHeight="1" outlineLevel="1">
      <c r="A407" s="582"/>
      <c r="B407" s="65"/>
      <c r="C407" s="38" t="s">
        <v>113</v>
      </c>
      <c r="D407" s="583"/>
      <c r="E407" s="583"/>
      <c r="F407" s="67" t="s">
        <v>21</v>
      </c>
      <c r="G407" s="89">
        <v>718135</v>
      </c>
      <c r="H407" s="89">
        <f>ROUNDUP(171772+L407,0)</f>
        <v>171772</v>
      </c>
      <c r="I407" s="570">
        <f>IF(G407&gt;0,H407/G407*100,"-")</f>
        <v>23.919179541451118</v>
      </c>
      <c r="J407" s="89">
        <v>0</v>
      </c>
      <c r="K407" s="89">
        <v>0</v>
      </c>
      <c r="L407" s="70">
        <v>0</v>
      </c>
      <c r="M407" s="570" t="str">
        <f>IF(K407&gt;0,L407/K407*100,"-")</f>
        <v>-</v>
      </c>
      <c r="N407" s="594"/>
    </row>
    <row r="408" spans="1:14" ht="11.1" customHeight="1" outlineLevel="1">
      <c r="A408" s="582"/>
      <c r="B408" s="65"/>
      <c r="C408" s="38" t="s">
        <v>114</v>
      </c>
      <c r="D408" s="583"/>
      <c r="E408" s="583"/>
      <c r="F408" s="67" t="s">
        <v>215</v>
      </c>
      <c r="G408" s="89">
        <v>0</v>
      </c>
      <c r="H408" s="89">
        <f>ROUNDUP(0+L408,0)</f>
        <v>0</v>
      </c>
      <c r="I408" s="570" t="str">
        <f t="shared" ref="I408:I409" si="67">IF(G408&gt;0,H408/G408*100,"-")</f>
        <v>-</v>
      </c>
      <c r="J408" s="89">
        <v>0</v>
      </c>
      <c r="K408" s="89">
        <v>0</v>
      </c>
      <c r="L408" s="76">
        <v>0</v>
      </c>
      <c r="M408" s="570" t="str">
        <f t="shared" ref="M408:M409" si="68">IF(K408&gt;0,L408/K408*100,"-")</f>
        <v>-</v>
      </c>
      <c r="N408" s="594"/>
    </row>
    <row r="409" spans="1:14" ht="11.1" customHeight="1" outlineLevel="1">
      <c r="A409" s="582"/>
      <c r="B409" s="65" t="s">
        <v>26</v>
      </c>
      <c r="C409" s="69" t="s">
        <v>115</v>
      </c>
      <c r="D409" s="583"/>
      <c r="E409" s="583"/>
      <c r="F409" s="67" t="s">
        <v>25</v>
      </c>
      <c r="G409" s="89">
        <v>0</v>
      </c>
      <c r="H409" s="89">
        <f>ROUNDUP(0+L409,0)</f>
        <v>0</v>
      </c>
      <c r="I409" s="570" t="str">
        <f t="shared" si="67"/>
        <v>-</v>
      </c>
      <c r="J409" s="89">
        <v>0</v>
      </c>
      <c r="K409" s="89">
        <v>0</v>
      </c>
      <c r="L409" s="76">
        <v>0</v>
      </c>
      <c r="M409" s="570" t="str">
        <f t="shared" si="68"/>
        <v>-</v>
      </c>
      <c r="N409" s="594"/>
    </row>
    <row r="410" spans="1:14" ht="11.1" customHeight="1" outlineLevel="1">
      <c r="A410" s="620"/>
      <c r="B410" s="72"/>
      <c r="C410" s="73" t="s">
        <v>116</v>
      </c>
      <c r="D410" s="672"/>
      <c r="E410" s="672"/>
      <c r="F410" s="384"/>
      <c r="G410" s="114"/>
      <c r="H410" s="114"/>
      <c r="I410" s="75"/>
      <c r="J410" s="114"/>
      <c r="K410" s="219"/>
      <c r="L410" s="413"/>
      <c r="M410" s="75"/>
      <c r="N410" s="716"/>
    </row>
    <row r="411" spans="1:14" ht="3.95" customHeight="1" outlineLevel="1">
      <c r="A411" s="93"/>
      <c r="B411" s="72"/>
      <c r="C411" s="73"/>
      <c r="D411" s="71"/>
      <c r="E411" s="71"/>
      <c r="F411" s="72"/>
      <c r="G411" s="110"/>
      <c r="H411" s="110"/>
      <c r="I411" s="72"/>
      <c r="J411" s="110"/>
      <c r="K411" s="114"/>
      <c r="L411" s="74"/>
      <c r="M411" s="75"/>
      <c r="N411" s="122"/>
    </row>
    <row r="412" spans="1:14" ht="3.75" customHeight="1" outlineLevel="1">
      <c r="A412" s="92"/>
      <c r="B412" s="61"/>
      <c r="C412" s="62"/>
      <c r="D412" s="60"/>
      <c r="E412" s="60"/>
      <c r="F412" s="61"/>
      <c r="G412" s="108"/>
      <c r="H412" s="108"/>
      <c r="I412" s="64"/>
      <c r="J412" s="108"/>
      <c r="K412" s="113"/>
      <c r="L412" s="63"/>
      <c r="M412" s="64"/>
      <c r="N412" s="166"/>
    </row>
    <row r="413" spans="1:14" ht="11.1" customHeight="1" outlineLevel="1">
      <c r="A413" s="582" t="s">
        <v>60</v>
      </c>
      <c r="B413" s="65" t="s">
        <v>32</v>
      </c>
      <c r="C413" s="69" t="s">
        <v>109</v>
      </c>
      <c r="D413" s="583" t="s">
        <v>152</v>
      </c>
      <c r="E413" s="583" t="s">
        <v>107</v>
      </c>
      <c r="F413" s="66" t="s">
        <v>33</v>
      </c>
      <c r="G413" s="109">
        <f>SUM(G414:G416)</f>
        <v>14732009</v>
      </c>
      <c r="H413" s="109">
        <f>SUM(H414:H416)</f>
        <v>732009</v>
      </c>
      <c r="I413" s="37">
        <f>IF(G413&gt;0,H413/G413*100,"-")</f>
        <v>4.9688335107587838</v>
      </c>
      <c r="J413" s="109">
        <f>SUM(J414:J416)</f>
        <v>0</v>
      </c>
      <c r="K413" s="109">
        <f>SUM(K414:K416)</f>
        <v>0</v>
      </c>
      <c r="L413" s="36">
        <f>SUM(L414:L416)</f>
        <v>0</v>
      </c>
      <c r="M413" s="37" t="str">
        <f>IF(K413&gt;0,L413/K413*100,"-")</f>
        <v>-</v>
      </c>
      <c r="N413" s="594" t="s">
        <v>359</v>
      </c>
    </row>
    <row r="414" spans="1:14" ht="11.1" customHeight="1" outlineLevel="1">
      <c r="A414" s="582"/>
      <c r="B414" s="65" t="s">
        <v>26</v>
      </c>
      <c r="C414" s="38" t="s">
        <v>110</v>
      </c>
      <c r="D414" s="583"/>
      <c r="E414" s="583"/>
      <c r="F414" s="67" t="s">
        <v>21</v>
      </c>
      <c r="G414" s="89">
        <v>7732009</v>
      </c>
      <c r="H414" s="89">
        <f>ROUNDUP(732009+L414,0)</f>
        <v>732009</v>
      </c>
      <c r="I414" s="68">
        <f>IF(G414&gt;0,H414/G414*100,"-")</f>
        <v>9.4672548880892418</v>
      </c>
      <c r="J414" s="89">
        <v>0</v>
      </c>
      <c r="K414" s="89">
        <v>0</v>
      </c>
      <c r="L414" s="70">
        <v>0</v>
      </c>
      <c r="M414" s="68" t="str">
        <f>IF(K414&gt;0,L414/K414*100,"-")</f>
        <v>-</v>
      </c>
      <c r="N414" s="594"/>
    </row>
    <row r="415" spans="1:14" ht="11.1" customHeight="1" outlineLevel="1">
      <c r="A415" s="582"/>
      <c r="B415" s="65"/>
      <c r="C415" s="69" t="s">
        <v>111</v>
      </c>
      <c r="D415" s="583"/>
      <c r="E415" s="583"/>
      <c r="F415" s="67" t="s">
        <v>215</v>
      </c>
      <c r="G415" s="89">
        <v>0</v>
      </c>
      <c r="H415" s="89">
        <f>ROUNDUP(0+L415,0)</f>
        <v>0</v>
      </c>
      <c r="I415" s="68" t="str">
        <f t="shared" ref="I415:I416" si="69">IF(G415&gt;0,H415/G415*100,"-")</f>
        <v>-</v>
      </c>
      <c r="J415" s="89">
        <v>0</v>
      </c>
      <c r="K415" s="89">
        <v>0</v>
      </c>
      <c r="L415" s="76">
        <v>0</v>
      </c>
      <c r="M415" s="68" t="str">
        <f t="shared" ref="M415:M416" si="70">IF(K415&gt;0,L415/K415*100,"-")</f>
        <v>-</v>
      </c>
      <c r="N415" s="594"/>
    </row>
    <row r="416" spans="1:14" ht="11.1" customHeight="1" outlineLevel="1">
      <c r="A416" s="582"/>
      <c r="B416" s="65"/>
      <c r="C416" s="38"/>
      <c r="D416" s="583"/>
      <c r="E416" s="583"/>
      <c r="F416" s="67" t="s">
        <v>25</v>
      </c>
      <c r="G416" s="89">
        <v>7000000</v>
      </c>
      <c r="H416" s="89">
        <f>ROUNDUP(0+L416,0)</f>
        <v>0</v>
      </c>
      <c r="I416" s="68">
        <f t="shared" si="69"/>
        <v>0</v>
      </c>
      <c r="J416" s="89">
        <v>0</v>
      </c>
      <c r="K416" s="89">
        <v>0</v>
      </c>
      <c r="L416" s="76">
        <v>0</v>
      </c>
      <c r="M416" s="68" t="str">
        <f t="shared" si="70"/>
        <v>-</v>
      </c>
      <c r="N416" s="594"/>
    </row>
    <row r="417" spans="1:14" ht="3.95" customHeight="1" outlineLevel="1">
      <c r="A417" s="93"/>
      <c r="B417" s="72"/>
      <c r="C417" s="73"/>
      <c r="D417" s="71"/>
      <c r="E417" s="71"/>
      <c r="F417" s="72"/>
      <c r="G417" s="110"/>
      <c r="H417" s="110"/>
      <c r="I417" s="72"/>
      <c r="J417" s="110"/>
      <c r="K417" s="114"/>
      <c r="L417" s="74"/>
      <c r="M417" s="75"/>
      <c r="N417" s="122"/>
    </row>
    <row r="418" spans="1:14" ht="3" customHeight="1" outlineLevel="1">
      <c r="A418" s="92"/>
      <c r="B418" s="61"/>
      <c r="C418" s="62"/>
      <c r="D418" s="60"/>
      <c r="E418" s="60"/>
      <c r="F418" s="61"/>
      <c r="G418" s="108"/>
      <c r="H418" s="108"/>
      <c r="I418" s="64"/>
      <c r="J418" s="108"/>
      <c r="K418" s="113"/>
      <c r="L418" s="63"/>
      <c r="M418" s="64"/>
      <c r="N418" s="166"/>
    </row>
    <row r="419" spans="1:14" ht="11.1" customHeight="1" outlineLevel="1">
      <c r="A419" s="582" t="s">
        <v>61</v>
      </c>
      <c r="B419" s="65" t="s">
        <v>32</v>
      </c>
      <c r="C419" s="69" t="s">
        <v>102</v>
      </c>
      <c r="D419" s="583" t="s">
        <v>93</v>
      </c>
      <c r="E419" s="583" t="s">
        <v>106</v>
      </c>
      <c r="F419" s="66" t="s">
        <v>33</v>
      </c>
      <c r="G419" s="109">
        <f>SUM(G420:G422)</f>
        <v>3288192</v>
      </c>
      <c r="H419" s="109">
        <f>SUM(H420:H422)</f>
        <v>2578757</v>
      </c>
      <c r="I419" s="37">
        <f>IF(G419&gt;0,H419/G419*100,"-")</f>
        <v>78.424769599828721</v>
      </c>
      <c r="J419" s="109">
        <f>SUM(J420:J422)</f>
        <v>1603473</v>
      </c>
      <c r="K419" s="109">
        <f>SUM(K420:K422)</f>
        <v>1603473</v>
      </c>
      <c r="L419" s="36">
        <f>SUM(L420:L422)</f>
        <v>894037.81</v>
      </c>
      <c r="M419" s="37">
        <f>IF(K419&gt;0,L419/K419*100,"-")</f>
        <v>55.756337025943068</v>
      </c>
      <c r="N419" s="594" t="s">
        <v>360</v>
      </c>
    </row>
    <row r="420" spans="1:14" ht="11.1" customHeight="1" outlineLevel="1">
      <c r="A420" s="582"/>
      <c r="B420" s="65"/>
      <c r="C420" s="38" t="s">
        <v>103</v>
      </c>
      <c r="D420" s="583"/>
      <c r="E420" s="583"/>
      <c r="F420" s="67" t="s">
        <v>21</v>
      </c>
      <c r="G420" s="89">
        <v>3288192</v>
      </c>
      <c r="H420" s="89">
        <f>ROUNDUP(1684719+L420,0)</f>
        <v>2578757</v>
      </c>
      <c r="I420" s="68">
        <f>IF(G420&gt;0,H420/G420*100,"-")</f>
        <v>78.424769599828721</v>
      </c>
      <c r="J420" s="89">
        <v>1603473</v>
      </c>
      <c r="K420" s="89">
        <v>1603473</v>
      </c>
      <c r="L420" s="70">
        <v>894037.81</v>
      </c>
      <c r="M420" s="68">
        <f>IF(K420&gt;0,L420/K420*100,"-")</f>
        <v>55.756337025943068</v>
      </c>
      <c r="N420" s="594"/>
    </row>
    <row r="421" spans="1:14" ht="11.1" customHeight="1" outlineLevel="1">
      <c r="A421" s="582"/>
      <c r="B421" s="65" t="s">
        <v>26</v>
      </c>
      <c r="C421" s="38" t="s">
        <v>104</v>
      </c>
      <c r="D421" s="583"/>
      <c r="E421" s="583"/>
      <c r="F421" s="67" t="s">
        <v>215</v>
      </c>
      <c r="G421" s="89">
        <v>0</v>
      </c>
      <c r="H421" s="89">
        <f>ROUNDUP(0+L421,0)</f>
        <v>0</v>
      </c>
      <c r="I421" s="68" t="str">
        <f t="shared" ref="I421:I422" si="71">IF(G421&gt;0,H421/G421*100,"-")</f>
        <v>-</v>
      </c>
      <c r="J421" s="89">
        <v>0</v>
      </c>
      <c r="K421" s="89">
        <v>0</v>
      </c>
      <c r="L421" s="76">
        <v>0</v>
      </c>
      <c r="M421" s="68" t="str">
        <f t="shared" ref="M421:M422" si="72">IF(K421&gt;0,L421/K421*100,"-")</f>
        <v>-</v>
      </c>
      <c r="N421" s="594"/>
    </row>
    <row r="422" spans="1:14" ht="11.1" customHeight="1" outlineLevel="1">
      <c r="A422" s="582"/>
      <c r="B422" s="65"/>
      <c r="C422" s="69" t="s">
        <v>105</v>
      </c>
      <c r="D422" s="583"/>
      <c r="E422" s="583"/>
      <c r="F422" s="67" t="s">
        <v>25</v>
      </c>
      <c r="G422" s="89">
        <v>0</v>
      </c>
      <c r="H422" s="89">
        <f>ROUNDUP(0+L422,0)</f>
        <v>0</v>
      </c>
      <c r="I422" s="68" t="str">
        <f t="shared" si="71"/>
        <v>-</v>
      </c>
      <c r="J422" s="89">
        <v>0</v>
      </c>
      <c r="K422" s="89">
        <v>0</v>
      </c>
      <c r="L422" s="76">
        <v>0</v>
      </c>
      <c r="M422" s="68" t="str">
        <f t="shared" si="72"/>
        <v>-</v>
      </c>
      <c r="N422" s="594"/>
    </row>
    <row r="423" spans="1:14" ht="99" customHeight="1" outlineLevel="1">
      <c r="A423" s="232"/>
      <c r="B423" s="65"/>
      <c r="C423" s="69"/>
      <c r="D423" s="233"/>
      <c r="E423" s="233"/>
      <c r="F423" s="87"/>
      <c r="G423" s="112"/>
      <c r="H423" s="112"/>
      <c r="I423" s="88"/>
      <c r="J423" s="112"/>
      <c r="K423" s="89"/>
      <c r="L423" s="76"/>
      <c r="M423" s="68"/>
      <c r="N423" s="594"/>
    </row>
    <row r="424" spans="1:14" ht="3" customHeight="1" outlineLevel="1">
      <c r="A424" s="93"/>
      <c r="B424" s="72"/>
      <c r="C424" s="73"/>
      <c r="D424" s="71"/>
      <c r="E424" s="71"/>
      <c r="F424" s="72"/>
      <c r="G424" s="110"/>
      <c r="H424" s="110"/>
      <c r="I424" s="72"/>
      <c r="J424" s="110"/>
      <c r="K424" s="114"/>
      <c r="L424" s="74"/>
      <c r="M424" s="75"/>
      <c r="N424" s="122"/>
    </row>
    <row r="425" spans="1:14" ht="3" customHeight="1" outlineLevel="1">
      <c r="A425" s="92"/>
      <c r="B425" s="61"/>
      <c r="C425" s="62"/>
      <c r="D425" s="60"/>
      <c r="E425" s="60"/>
      <c r="F425" s="61"/>
      <c r="G425" s="108"/>
      <c r="H425" s="108"/>
      <c r="I425" s="64"/>
      <c r="J425" s="108"/>
      <c r="K425" s="113"/>
      <c r="L425" s="63"/>
      <c r="M425" s="64"/>
      <c r="N425" s="166"/>
    </row>
    <row r="426" spans="1:14" ht="11.1" customHeight="1" outlineLevel="1">
      <c r="A426" s="582" t="s">
        <v>62</v>
      </c>
      <c r="B426" s="65" t="s">
        <v>32</v>
      </c>
      <c r="C426" s="69" t="s">
        <v>96</v>
      </c>
      <c r="D426" s="583" t="s">
        <v>297</v>
      </c>
      <c r="E426" s="583" t="s">
        <v>95</v>
      </c>
      <c r="F426" s="66" t="s">
        <v>33</v>
      </c>
      <c r="G426" s="109">
        <f>SUM(G427:G430)</f>
        <v>1422416</v>
      </c>
      <c r="H426" s="109">
        <f>SUM(H427:H430)</f>
        <v>421719</v>
      </c>
      <c r="I426" s="37">
        <f>IF(G426&gt;0,H426/G426*100,"-")</f>
        <v>29.648077636921972</v>
      </c>
      <c r="J426" s="109">
        <f>SUM(J427:J430)</f>
        <v>0</v>
      </c>
      <c r="K426" s="109">
        <f>SUM(K427:K430)</f>
        <v>0</v>
      </c>
      <c r="L426" s="36">
        <f>SUM(L427:L430)</f>
        <v>0</v>
      </c>
      <c r="M426" s="37" t="str">
        <f>IF(K426&gt;0,L426/K426*100,"-")</f>
        <v>-</v>
      </c>
      <c r="N426" s="594" t="s">
        <v>359</v>
      </c>
    </row>
    <row r="427" spans="1:14" ht="11.1" customHeight="1" outlineLevel="1">
      <c r="A427" s="582"/>
      <c r="B427" s="65"/>
      <c r="C427" s="38" t="s">
        <v>97</v>
      </c>
      <c r="D427" s="583"/>
      <c r="E427" s="583"/>
      <c r="F427" s="67" t="s">
        <v>21</v>
      </c>
      <c r="G427" s="89">
        <v>1422416</v>
      </c>
      <c r="H427" s="89">
        <f>ROUNDUP(421719+L427,0)</f>
        <v>421719</v>
      </c>
      <c r="I427" s="563">
        <f>IF(G427&gt;0,H427/G427*100,"-")</f>
        <v>29.648077636921972</v>
      </c>
      <c r="J427" s="89">
        <v>0</v>
      </c>
      <c r="K427" s="89">
        <v>0</v>
      </c>
      <c r="L427" s="70">
        <v>0</v>
      </c>
      <c r="M427" s="563" t="str">
        <f>IF(K427&gt;0,L427/K427*100,"-")</f>
        <v>-</v>
      </c>
      <c r="N427" s="594"/>
    </row>
    <row r="428" spans="1:14" ht="11.1" customHeight="1" outlineLevel="1">
      <c r="A428" s="582"/>
      <c r="B428" s="65" t="s">
        <v>26</v>
      </c>
      <c r="C428" s="38" t="s">
        <v>98</v>
      </c>
      <c r="D428" s="583"/>
      <c r="E428" s="583"/>
      <c r="F428" s="67" t="s">
        <v>215</v>
      </c>
      <c r="G428" s="89">
        <v>0</v>
      </c>
      <c r="H428" s="89">
        <f>ROUNDUP(0+L428,0)</f>
        <v>0</v>
      </c>
      <c r="I428" s="563" t="str">
        <f t="shared" ref="I428:I429" si="73">IF(G428&gt;0,H428/G428*100,"-")</f>
        <v>-</v>
      </c>
      <c r="J428" s="89">
        <v>0</v>
      </c>
      <c r="K428" s="89">
        <v>0</v>
      </c>
      <c r="L428" s="76">
        <v>0</v>
      </c>
      <c r="M428" s="563" t="str">
        <f t="shared" ref="M428:M429" si="74">IF(K428&gt;0,L428/K428*100,"-")</f>
        <v>-</v>
      </c>
      <c r="N428" s="594"/>
    </row>
    <row r="429" spans="1:14" ht="11.1" customHeight="1" outlineLevel="1">
      <c r="A429" s="582"/>
      <c r="B429" s="65"/>
      <c r="C429" s="69" t="s">
        <v>99</v>
      </c>
      <c r="D429" s="583"/>
      <c r="E429" s="583"/>
      <c r="F429" s="67" t="s">
        <v>25</v>
      </c>
      <c r="G429" s="89">
        <v>0</v>
      </c>
      <c r="H429" s="89">
        <f>ROUNDUP(0+L429,0)</f>
        <v>0</v>
      </c>
      <c r="I429" s="563" t="str">
        <f t="shared" si="73"/>
        <v>-</v>
      </c>
      <c r="J429" s="89">
        <v>0</v>
      </c>
      <c r="K429" s="89">
        <v>0</v>
      </c>
      <c r="L429" s="76">
        <v>0</v>
      </c>
      <c r="M429" s="563" t="str">
        <f t="shared" si="74"/>
        <v>-</v>
      </c>
      <c r="N429" s="594"/>
    </row>
    <row r="430" spans="1:14" ht="11.1" customHeight="1" outlineLevel="1">
      <c r="A430" s="582"/>
      <c r="B430" s="65"/>
      <c r="C430" s="69" t="s">
        <v>100</v>
      </c>
      <c r="D430" s="583"/>
      <c r="E430" s="583"/>
      <c r="F430" s="67"/>
      <c r="G430" s="89"/>
      <c r="H430" s="89"/>
      <c r="I430" s="563"/>
      <c r="J430" s="89"/>
      <c r="K430" s="115"/>
      <c r="L430" s="76"/>
      <c r="M430" s="563"/>
      <c r="N430" s="594"/>
    </row>
    <row r="431" spans="1:14" ht="3" customHeight="1" outlineLevel="1">
      <c r="A431" s="93"/>
      <c r="B431" s="72"/>
      <c r="C431" s="73"/>
      <c r="D431" s="565"/>
      <c r="E431" s="565"/>
      <c r="F431" s="72"/>
      <c r="G431" s="110"/>
      <c r="H431" s="110"/>
      <c r="I431" s="72"/>
      <c r="J431" s="110"/>
      <c r="K431" s="114"/>
      <c r="L431" s="74"/>
      <c r="M431" s="75"/>
      <c r="N431" s="122"/>
    </row>
    <row r="432" spans="1:14" ht="3" customHeight="1" outlineLevel="1">
      <c r="A432" s="92"/>
      <c r="B432" s="61"/>
      <c r="C432" s="62"/>
      <c r="D432" s="60"/>
      <c r="E432" s="60"/>
      <c r="F432" s="61"/>
      <c r="G432" s="108"/>
      <c r="H432" s="108"/>
      <c r="I432" s="64"/>
      <c r="J432" s="108"/>
      <c r="K432" s="113"/>
      <c r="L432" s="63"/>
      <c r="M432" s="64"/>
      <c r="N432" s="166"/>
    </row>
    <row r="433" spans="1:14" ht="11.1" customHeight="1" outlineLevel="1">
      <c r="A433" s="582" t="s">
        <v>63</v>
      </c>
      <c r="B433" s="65" t="s">
        <v>32</v>
      </c>
      <c r="C433" s="69" t="s">
        <v>311</v>
      </c>
      <c r="D433" s="583" t="s">
        <v>315</v>
      </c>
      <c r="E433" s="583" t="s">
        <v>316</v>
      </c>
      <c r="F433" s="66" t="s">
        <v>33</v>
      </c>
      <c r="G433" s="109">
        <f>SUM(G434:G436)</f>
        <v>825000</v>
      </c>
      <c r="H433" s="109">
        <f>SUM(H434:H436)</f>
        <v>0</v>
      </c>
      <c r="I433" s="37">
        <f>IF(G433&gt;0,H433/G433*100,"-")</f>
        <v>0</v>
      </c>
      <c r="J433" s="109">
        <f>SUM(J434:J436)</f>
        <v>0</v>
      </c>
      <c r="K433" s="109">
        <f>SUM(K434:K436)</f>
        <v>10000</v>
      </c>
      <c r="L433" s="36">
        <f>SUM(L434:L436)</f>
        <v>0</v>
      </c>
      <c r="M433" s="37">
        <f>IF(K433&gt;0,L433/K433*100,"-")</f>
        <v>0</v>
      </c>
      <c r="N433" s="594" t="s">
        <v>361</v>
      </c>
    </row>
    <row r="434" spans="1:14" ht="11.1" customHeight="1" outlineLevel="1">
      <c r="A434" s="582"/>
      <c r="B434" s="65"/>
      <c r="C434" s="38" t="s">
        <v>312</v>
      </c>
      <c r="D434" s="583"/>
      <c r="E434" s="583"/>
      <c r="F434" s="67" t="s">
        <v>21</v>
      </c>
      <c r="G434" s="89">
        <v>825000</v>
      </c>
      <c r="H434" s="89">
        <f>ROUNDUP(0+L434,0)</f>
        <v>0</v>
      </c>
      <c r="I434" s="68">
        <f>IF(G434&gt;0,H434/G434*100,"-")</f>
        <v>0</v>
      </c>
      <c r="J434" s="89">
        <v>0</v>
      </c>
      <c r="K434" s="89">
        <v>10000</v>
      </c>
      <c r="L434" s="70">
        <v>0</v>
      </c>
      <c r="M434" s="68">
        <f>IF(K434&gt;0,L434/K434*100,"-")</f>
        <v>0</v>
      </c>
      <c r="N434" s="594"/>
    </row>
    <row r="435" spans="1:14" ht="11.1" customHeight="1" outlineLevel="1">
      <c r="A435" s="582"/>
      <c r="B435" s="65"/>
      <c r="C435" s="38" t="s">
        <v>313</v>
      </c>
      <c r="D435" s="583"/>
      <c r="E435" s="583"/>
      <c r="F435" s="67" t="s">
        <v>215</v>
      </c>
      <c r="G435" s="89">
        <v>0</v>
      </c>
      <c r="H435" s="89">
        <f>ROUNDUP(0+L435,0)</f>
        <v>0</v>
      </c>
      <c r="I435" s="68" t="str">
        <f t="shared" ref="I435:I436" si="75">IF(G435&gt;0,H435/G435*100,"-")</f>
        <v>-</v>
      </c>
      <c r="J435" s="89">
        <v>0</v>
      </c>
      <c r="K435" s="89">
        <v>0</v>
      </c>
      <c r="L435" s="76">
        <v>0</v>
      </c>
      <c r="M435" s="68" t="str">
        <f t="shared" ref="M435:M436" si="76">IF(K435&gt;0,L435/K435*100,"-")</f>
        <v>-</v>
      </c>
      <c r="N435" s="594"/>
    </row>
    <row r="436" spans="1:14" ht="11.1" customHeight="1" outlineLevel="1">
      <c r="A436" s="582"/>
      <c r="B436" s="65" t="s">
        <v>26</v>
      </c>
      <c r="C436" s="69" t="s">
        <v>314</v>
      </c>
      <c r="D436" s="583"/>
      <c r="E436" s="583"/>
      <c r="F436" s="67" t="s">
        <v>25</v>
      </c>
      <c r="G436" s="89">
        <v>0</v>
      </c>
      <c r="H436" s="89">
        <f>ROUNDUP(0+L436,0)</f>
        <v>0</v>
      </c>
      <c r="I436" s="68" t="str">
        <f t="shared" si="75"/>
        <v>-</v>
      </c>
      <c r="J436" s="89">
        <v>0</v>
      </c>
      <c r="K436" s="89">
        <v>0</v>
      </c>
      <c r="L436" s="76">
        <v>0</v>
      </c>
      <c r="M436" s="68" t="str">
        <f t="shared" si="76"/>
        <v>-</v>
      </c>
      <c r="N436" s="594"/>
    </row>
    <row r="437" spans="1:14" ht="3" customHeight="1" outlineLevel="1">
      <c r="A437" s="93"/>
      <c r="B437" s="72"/>
      <c r="C437" s="73"/>
      <c r="D437" s="71"/>
      <c r="E437" s="71"/>
      <c r="F437" s="72"/>
      <c r="G437" s="110"/>
      <c r="H437" s="110"/>
      <c r="I437" s="72"/>
      <c r="J437" s="110"/>
      <c r="K437" s="114"/>
      <c r="L437" s="74"/>
      <c r="M437" s="75"/>
      <c r="N437" s="122"/>
    </row>
    <row r="438" spans="1:14" ht="3" customHeight="1" outlineLevel="1">
      <c r="A438" s="92"/>
      <c r="B438" s="61"/>
      <c r="C438" s="62"/>
      <c r="D438" s="60"/>
      <c r="E438" s="60"/>
      <c r="F438" s="61"/>
      <c r="G438" s="108"/>
      <c r="H438" s="108"/>
      <c r="I438" s="64"/>
      <c r="J438" s="108"/>
      <c r="K438" s="113"/>
      <c r="L438" s="63"/>
      <c r="M438" s="64"/>
      <c r="N438" s="166"/>
    </row>
    <row r="439" spans="1:14" ht="11.1" customHeight="1" outlineLevel="1">
      <c r="A439" s="582" t="s">
        <v>64</v>
      </c>
      <c r="B439" s="65" t="s">
        <v>32</v>
      </c>
      <c r="C439" s="69" t="s">
        <v>319</v>
      </c>
      <c r="D439" s="583" t="s">
        <v>315</v>
      </c>
      <c r="E439" s="583" t="s">
        <v>316</v>
      </c>
      <c r="F439" s="66" t="s">
        <v>33</v>
      </c>
      <c r="G439" s="109">
        <f>SUM(G440:G443)</f>
        <v>2650000</v>
      </c>
      <c r="H439" s="109">
        <f>SUM(H440:H443)</f>
        <v>49200</v>
      </c>
      <c r="I439" s="37">
        <f>IF(G439&gt;0,H439/G439*100,"-")</f>
        <v>1.8566037735849057</v>
      </c>
      <c r="J439" s="109">
        <f>SUM(J440:J443)</f>
        <v>0</v>
      </c>
      <c r="K439" s="109">
        <f>SUM(K440:K443)</f>
        <v>50000</v>
      </c>
      <c r="L439" s="36">
        <f>SUM(L440:L443)</f>
        <v>49200</v>
      </c>
      <c r="M439" s="37">
        <f>IF(K439&gt;0,L439/K439*100,"-")</f>
        <v>98.4</v>
      </c>
      <c r="N439" s="594" t="s">
        <v>362</v>
      </c>
    </row>
    <row r="440" spans="1:14" ht="11.1" customHeight="1" outlineLevel="1">
      <c r="A440" s="582"/>
      <c r="B440" s="65"/>
      <c r="C440" s="38" t="s">
        <v>317</v>
      </c>
      <c r="D440" s="583"/>
      <c r="E440" s="583"/>
      <c r="F440" s="67" t="s">
        <v>21</v>
      </c>
      <c r="G440" s="89">
        <v>2650000</v>
      </c>
      <c r="H440" s="89">
        <f>ROUNDUP(0+L440,0)</f>
        <v>49200</v>
      </c>
      <c r="I440" s="68">
        <f>IF(G440&gt;0,H440/G440*100,"-")</f>
        <v>1.8566037735849057</v>
      </c>
      <c r="J440" s="89">
        <v>0</v>
      </c>
      <c r="K440" s="89">
        <v>50000</v>
      </c>
      <c r="L440" s="70">
        <v>49200</v>
      </c>
      <c r="M440" s="68">
        <f>IF(K440&gt;0,L440/K440*100,"-")</f>
        <v>98.4</v>
      </c>
      <c r="N440" s="594"/>
    </row>
    <row r="441" spans="1:14" ht="11.1" customHeight="1" outlineLevel="1">
      <c r="A441" s="582"/>
      <c r="B441" s="65"/>
      <c r="C441" s="38" t="s">
        <v>318</v>
      </c>
      <c r="D441" s="583"/>
      <c r="E441" s="583"/>
      <c r="F441" s="67" t="s">
        <v>215</v>
      </c>
      <c r="G441" s="89">
        <v>0</v>
      </c>
      <c r="H441" s="89">
        <f>ROUNDUP(0+L441,0)</f>
        <v>0</v>
      </c>
      <c r="I441" s="68" t="str">
        <f t="shared" ref="I441:I442" si="77">IF(G441&gt;0,H441/G441*100,"-")</f>
        <v>-</v>
      </c>
      <c r="J441" s="89">
        <v>0</v>
      </c>
      <c r="K441" s="89">
        <v>0</v>
      </c>
      <c r="L441" s="76">
        <v>0</v>
      </c>
      <c r="M441" s="68" t="str">
        <f t="shared" ref="M441:M442" si="78">IF(K441&gt;0,L441/K441*100,"-")</f>
        <v>-</v>
      </c>
      <c r="N441" s="594"/>
    </row>
    <row r="442" spans="1:14" ht="11.1" customHeight="1" outlineLevel="1">
      <c r="A442" s="582"/>
      <c r="B442" s="65"/>
      <c r="C442" s="69" t="s">
        <v>320</v>
      </c>
      <c r="D442" s="583"/>
      <c r="E442" s="583"/>
      <c r="F442" s="67" t="s">
        <v>25</v>
      </c>
      <c r="G442" s="89">
        <v>0</v>
      </c>
      <c r="H442" s="89">
        <f>ROUNDUP(0+L442,0)</f>
        <v>0</v>
      </c>
      <c r="I442" s="68" t="str">
        <f t="shared" si="77"/>
        <v>-</v>
      </c>
      <c r="J442" s="89">
        <v>0</v>
      </c>
      <c r="K442" s="89">
        <v>0</v>
      </c>
      <c r="L442" s="76">
        <v>0</v>
      </c>
      <c r="M442" s="68" t="str">
        <f t="shared" si="78"/>
        <v>-</v>
      </c>
      <c r="N442" s="594"/>
    </row>
    <row r="443" spans="1:14" ht="11.1" customHeight="1" outlineLevel="1">
      <c r="A443" s="582"/>
      <c r="B443" s="65" t="s">
        <v>26</v>
      </c>
      <c r="C443" s="69" t="s">
        <v>314</v>
      </c>
      <c r="D443" s="583"/>
      <c r="E443" s="583"/>
      <c r="F443" s="67"/>
      <c r="G443" s="89"/>
      <c r="H443" s="89"/>
      <c r="I443" s="68"/>
      <c r="J443" s="89"/>
      <c r="K443" s="115"/>
      <c r="L443" s="76"/>
      <c r="M443" s="68"/>
      <c r="N443" s="594"/>
    </row>
    <row r="444" spans="1:14" ht="3" customHeight="1" outlineLevel="1">
      <c r="A444" s="93"/>
      <c r="B444" s="72"/>
      <c r="C444" s="73"/>
      <c r="D444" s="71"/>
      <c r="E444" s="71"/>
      <c r="F444" s="72"/>
      <c r="G444" s="110"/>
      <c r="H444" s="110"/>
      <c r="I444" s="72"/>
      <c r="J444" s="110"/>
      <c r="K444" s="114"/>
      <c r="L444" s="74"/>
      <c r="M444" s="75"/>
      <c r="N444" s="122"/>
    </row>
    <row r="445" spans="1:14" ht="3" customHeight="1">
      <c r="A445" s="50"/>
      <c r="B445" s="51"/>
      <c r="C445" s="172"/>
      <c r="D445" s="52"/>
      <c r="E445" s="52"/>
      <c r="F445" s="50"/>
      <c r="G445" s="104"/>
      <c r="H445" s="104"/>
      <c r="I445" s="54"/>
      <c r="J445" s="104"/>
      <c r="K445" s="104"/>
      <c r="L445" s="53"/>
      <c r="M445" s="54"/>
      <c r="N445" s="186"/>
    </row>
    <row r="446" spans="1:14" ht="11.25" customHeight="1">
      <c r="A446" s="27" t="s">
        <v>42</v>
      </c>
      <c r="B446" s="592" t="s">
        <v>54</v>
      </c>
      <c r="C446" s="593"/>
      <c r="D446" s="28"/>
      <c r="E446" s="28"/>
      <c r="F446" s="29"/>
      <c r="G446" s="105">
        <f>SUM(G447:G449)</f>
        <v>97797963</v>
      </c>
      <c r="H446" s="105">
        <f>SUM(H447:H449)</f>
        <v>38800157</v>
      </c>
      <c r="I446" s="31">
        <f>IF(G446&gt;0,H446/G446*100,"-")</f>
        <v>39.673788502118391</v>
      </c>
      <c r="J446" s="126">
        <f>SUM(J447:J449)</f>
        <v>37133568</v>
      </c>
      <c r="K446" s="105">
        <f>SUM(K447:K449)</f>
        <v>37212396</v>
      </c>
      <c r="L446" s="30">
        <f>SUM(L447:L449)</f>
        <v>17873916.530000001</v>
      </c>
      <c r="M446" s="31">
        <f>IF(K446&gt;0,L446/K446*100,"-")</f>
        <v>48.03215716074827</v>
      </c>
      <c r="N446" s="187"/>
    </row>
    <row r="447" spans="1:14" ht="11.25" customHeight="1">
      <c r="A447" s="29"/>
      <c r="B447" s="32"/>
      <c r="C447" s="173"/>
      <c r="D447" s="28"/>
      <c r="E447" s="28"/>
      <c r="F447" s="33" t="s">
        <v>21</v>
      </c>
      <c r="G447" s="106">
        <f t="shared" ref="G447:H449" si="79">G453+G459+G465+G471+G477+G483+G489+G495+G501+G508+G515+G523+G530+G536+G543+G550+G556+G564+G571+G577+G583+G589+G595+G602+G608</f>
        <v>78094225</v>
      </c>
      <c r="H447" s="106">
        <f t="shared" si="79"/>
        <v>29233949</v>
      </c>
      <c r="I447" s="35">
        <f>IF(G447&gt;0,H447/G447*100,"-")</f>
        <v>37.434200800379287</v>
      </c>
      <c r="J447" s="106">
        <f t="shared" ref="J447:L449" si="80">J453+J459+J465+J471+J477+J483+J489+J495+J501+J508+J515+J523+J530+J536+J543+J550+J556+J564+J571+J577+J583+J589+J595+J602+J608</f>
        <v>23607098</v>
      </c>
      <c r="K447" s="106">
        <f t="shared" si="80"/>
        <v>25899887</v>
      </c>
      <c r="L447" s="34">
        <f t="shared" si="80"/>
        <v>12391532.93</v>
      </c>
      <c r="M447" s="35">
        <f>IF(K447&gt;0,L447/K447*100,"-")</f>
        <v>47.843965226566432</v>
      </c>
      <c r="N447" s="187"/>
    </row>
    <row r="448" spans="1:14" ht="11.25" customHeight="1">
      <c r="A448" s="29"/>
      <c r="B448" s="32"/>
      <c r="C448" s="173"/>
      <c r="D448" s="28"/>
      <c r="E448" s="28"/>
      <c r="F448" s="33" t="s">
        <v>215</v>
      </c>
      <c r="G448" s="106">
        <f t="shared" si="79"/>
        <v>275250</v>
      </c>
      <c r="H448" s="106">
        <f t="shared" si="79"/>
        <v>1705094</v>
      </c>
      <c r="I448" s="35">
        <f t="shared" ref="I448:I449" si="81">IF(G448&gt;0,H448/G448*100,"-")</f>
        <v>619.47102633969121</v>
      </c>
      <c r="J448" s="106">
        <f t="shared" si="80"/>
        <v>0</v>
      </c>
      <c r="K448" s="106">
        <f t="shared" si="80"/>
        <v>1429844</v>
      </c>
      <c r="L448" s="34">
        <f t="shared" si="80"/>
        <v>1429844</v>
      </c>
      <c r="M448" s="35">
        <f t="shared" ref="M448:M449" si="82">IF(K448&gt;0,L448/K448*100,"-")</f>
        <v>100</v>
      </c>
      <c r="N448" s="187"/>
    </row>
    <row r="449" spans="1:14" ht="11.25" customHeight="1">
      <c r="A449" s="29"/>
      <c r="B449" s="32"/>
      <c r="C449" s="173"/>
      <c r="D449" s="28"/>
      <c r="E449" s="28"/>
      <c r="F449" s="33" t="s">
        <v>25</v>
      </c>
      <c r="G449" s="106">
        <f t="shared" si="79"/>
        <v>19428488</v>
      </c>
      <c r="H449" s="106">
        <f t="shared" si="79"/>
        <v>7861114</v>
      </c>
      <c r="I449" s="35">
        <f t="shared" si="81"/>
        <v>40.461789924156733</v>
      </c>
      <c r="J449" s="106">
        <f t="shared" si="80"/>
        <v>13526470</v>
      </c>
      <c r="K449" s="106">
        <f t="shared" si="80"/>
        <v>9882665</v>
      </c>
      <c r="L449" s="34">
        <f t="shared" si="80"/>
        <v>4052539.6</v>
      </c>
      <c r="M449" s="35">
        <f t="shared" si="82"/>
        <v>41.006546311141783</v>
      </c>
      <c r="N449" s="187"/>
    </row>
    <row r="450" spans="1:14" ht="3" customHeight="1">
      <c r="A450" s="55"/>
      <c r="B450" s="56"/>
      <c r="C450" s="174"/>
      <c r="D450" s="57"/>
      <c r="E450" s="57"/>
      <c r="F450" s="55"/>
      <c r="G450" s="107"/>
      <c r="H450" s="107"/>
      <c r="I450" s="59"/>
      <c r="J450" s="107"/>
      <c r="K450" s="107"/>
      <c r="L450" s="58"/>
      <c r="M450" s="59"/>
      <c r="N450" s="188"/>
    </row>
    <row r="451" spans="1:14" ht="3" customHeight="1" outlineLevel="1">
      <c r="A451" s="180"/>
      <c r="B451" s="141"/>
      <c r="C451" s="142"/>
      <c r="D451" s="143"/>
      <c r="E451" s="143"/>
      <c r="F451" s="141"/>
      <c r="G451" s="113"/>
      <c r="H451" s="113"/>
      <c r="I451" s="569"/>
      <c r="J451" s="113"/>
      <c r="K451" s="113"/>
      <c r="L451" s="177"/>
      <c r="M451" s="144"/>
      <c r="N451" s="193"/>
    </row>
    <row r="452" spans="1:14" ht="11.1" customHeight="1" outlineLevel="1">
      <c r="A452" s="586" t="s">
        <v>65</v>
      </c>
      <c r="B452" s="145" t="s">
        <v>32</v>
      </c>
      <c r="C452" s="148" t="s">
        <v>235</v>
      </c>
      <c r="D452" s="587" t="s">
        <v>94</v>
      </c>
      <c r="E452" s="587" t="s">
        <v>237</v>
      </c>
      <c r="F452" s="176" t="s">
        <v>33</v>
      </c>
      <c r="G452" s="109">
        <f>SUM(G453:G455)</f>
        <v>1710163</v>
      </c>
      <c r="H452" s="109">
        <f>SUM(H453:H455)</f>
        <v>617587</v>
      </c>
      <c r="I452" s="37">
        <f>IF(G452&gt;0,H452/G452*100,"-")</f>
        <v>36.112756503327461</v>
      </c>
      <c r="J452" s="109">
        <f>SUM(J453:J455)</f>
        <v>2000000</v>
      </c>
      <c r="K452" s="109">
        <f>SUM(K453:K455)</f>
        <v>1644500</v>
      </c>
      <c r="L452" s="178">
        <f>SUM(L453:L455)</f>
        <v>551923.74</v>
      </c>
      <c r="M452" s="146">
        <f>IF(K452&gt;0,L452/K452*100,"-")</f>
        <v>33.56179629066586</v>
      </c>
      <c r="N452" s="585" t="s">
        <v>363</v>
      </c>
    </row>
    <row r="453" spans="1:14" ht="11.1" customHeight="1" outlineLevel="1">
      <c r="A453" s="586"/>
      <c r="B453" s="145"/>
      <c r="C453" s="147" t="s">
        <v>236</v>
      </c>
      <c r="D453" s="587"/>
      <c r="E453" s="587"/>
      <c r="F453" s="67" t="s">
        <v>21</v>
      </c>
      <c r="G453" s="115">
        <v>1710163</v>
      </c>
      <c r="H453" s="115">
        <f>ROUNDUP(65663+L453,0)</f>
        <v>617587</v>
      </c>
      <c r="I453" s="95">
        <f>IF(G453&gt;0,H453/G453*100,"-")</f>
        <v>36.112756503327461</v>
      </c>
      <c r="J453" s="115">
        <v>2000000</v>
      </c>
      <c r="K453" s="115">
        <v>1644500</v>
      </c>
      <c r="L453" s="70">
        <v>551923.74</v>
      </c>
      <c r="M453" s="95">
        <f>IF(K453&gt;0,L453/K453*100,"-")</f>
        <v>33.56179629066586</v>
      </c>
      <c r="N453" s="585"/>
    </row>
    <row r="454" spans="1:14" ht="11.1" customHeight="1" outlineLevel="1">
      <c r="A454" s="586"/>
      <c r="B454" s="145" t="s">
        <v>26</v>
      </c>
      <c r="C454" s="147" t="s">
        <v>55</v>
      </c>
      <c r="D454" s="587"/>
      <c r="E454" s="587"/>
      <c r="F454" s="67" t="s">
        <v>215</v>
      </c>
      <c r="G454" s="115">
        <v>0</v>
      </c>
      <c r="H454" s="89">
        <f>ROUNDUP(0+L454,0)</f>
        <v>0</v>
      </c>
      <c r="I454" s="95" t="str">
        <f t="shared" ref="I454:I455" si="83">IF(G454&gt;0,H454/G454*100,"-")</f>
        <v>-</v>
      </c>
      <c r="J454" s="115">
        <v>0</v>
      </c>
      <c r="K454" s="115">
        <v>0</v>
      </c>
      <c r="L454" s="76">
        <v>0</v>
      </c>
      <c r="M454" s="95" t="str">
        <f t="shared" ref="M454:M455" si="84">IF(K454&gt;0,L454/K454*100,"-")</f>
        <v>-</v>
      </c>
      <c r="N454" s="585"/>
    </row>
    <row r="455" spans="1:14" ht="11.1" customHeight="1" outlineLevel="1">
      <c r="A455" s="717"/>
      <c r="B455" s="718"/>
      <c r="C455" s="719"/>
      <c r="D455" s="720"/>
      <c r="E455" s="720"/>
      <c r="F455" s="384" t="s">
        <v>25</v>
      </c>
      <c r="G455" s="219">
        <v>0</v>
      </c>
      <c r="H455" s="114">
        <f>ROUNDUP(0+L455,0)</f>
        <v>0</v>
      </c>
      <c r="I455" s="96" t="str">
        <f t="shared" si="83"/>
        <v>-</v>
      </c>
      <c r="J455" s="219">
        <v>0</v>
      </c>
      <c r="K455" s="219">
        <v>0</v>
      </c>
      <c r="L455" s="413">
        <v>0</v>
      </c>
      <c r="M455" s="96" t="str">
        <f t="shared" si="84"/>
        <v>-</v>
      </c>
      <c r="N455" s="721"/>
    </row>
    <row r="456" spans="1:14" ht="3" customHeight="1" outlineLevel="1">
      <c r="A456" s="181"/>
      <c r="B456" s="149"/>
      <c r="C456" s="150"/>
      <c r="D456" s="151"/>
      <c r="E456" s="151"/>
      <c r="F456" s="149"/>
      <c r="G456" s="219"/>
      <c r="H456" s="219"/>
      <c r="I456" s="220"/>
      <c r="J456" s="219"/>
      <c r="K456" s="219"/>
      <c r="L456" s="221"/>
      <c r="M456" s="222"/>
      <c r="N456" s="237"/>
    </row>
    <row r="457" spans="1:14" ht="3.95" customHeight="1" outlineLevel="1">
      <c r="A457" s="180"/>
      <c r="B457" s="141"/>
      <c r="C457" s="142"/>
      <c r="D457" s="143"/>
      <c r="E457" s="143"/>
      <c r="F457" s="141"/>
      <c r="G457" s="223"/>
      <c r="H457" s="223"/>
      <c r="I457" s="94"/>
      <c r="J457" s="223"/>
      <c r="K457" s="223"/>
      <c r="L457" s="224"/>
      <c r="M457" s="225"/>
      <c r="N457" s="238"/>
    </row>
    <row r="458" spans="1:14" ht="11.1" customHeight="1" outlineLevel="1">
      <c r="A458" s="586" t="s">
        <v>66</v>
      </c>
      <c r="B458" s="145" t="s">
        <v>32</v>
      </c>
      <c r="C458" s="148" t="s">
        <v>321</v>
      </c>
      <c r="D458" s="587" t="s">
        <v>276</v>
      </c>
      <c r="E458" s="587" t="s">
        <v>237</v>
      </c>
      <c r="F458" s="176" t="s">
        <v>33</v>
      </c>
      <c r="G458" s="217">
        <f>SUM(G459:G461)</f>
        <v>1842300</v>
      </c>
      <c r="H458" s="217">
        <f>SUM(H459:H461)</f>
        <v>1220340</v>
      </c>
      <c r="I458" s="226">
        <f>IF(G458&gt;0,H458/G458*100,"-")</f>
        <v>66.240026054388537</v>
      </c>
      <c r="J458" s="217">
        <f>SUM(J459:J461)</f>
        <v>0</v>
      </c>
      <c r="K458" s="217">
        <f>SUM(K459:K461)</f>
        <v>1461152</v>
      </c>
      <c r="L458" s="227">
        <f>SUM(L459:L461)</f>
        <v>1220339.24</v>
      </c>
      <c r="M458" s="228">
        <f>IF(K458&gt;0,L458/K458*100,"-")</f>
        <v>83.51897954490704</v>
      </c>
      <c r="N458" s="585" t="s">
        <v>364</v>
      </c>
    </row>
    <row r="459" spans="1:14" ht="11.1" customHeight="1" outlineLevel="1">
      <c r="A459" s="586"/>
      <c r="B459" s="145"/>
      <c r="C459" s="147" t="s">
        <v>322</v>
      </c>
      <c r="D459" s="587"/>
      <c r="E459" s="587"/>
      <c r="F459" s="67" t="s">
        <v>21</v>
      </c>
      <c r="G459" s="115">
        <v>1842300</v>
      </c>
      <c r="H459" s="115">
        <f>ROUNDUP(0+L459,0)</f>
        <v>1220340</v>
      </c>
      <c r="I459" s="95">
        <f>IF(G459&gt;0,H459/G459*100,"-")</f>
        <v>66.240026054388537</v>
      </c>
      <c r="J459" s="115">
        <v>0</v>
      </c>
      <c r="K459" s="115">
        <v>1461152</v>
      </c>
      <c r="L459" s="70">
        <v>1220339.24</v>
      </c>
      <c r="M459" s="95">
        <f>IF(K459&gt;0,L459/K459*100,"-")</f>
        <v>83.51897954490704</v>
      </c>
      <c r="N459" s="585"/>
    </row>
    <row r="460" spans="1:14" ht="11.1" customHeight="1" outlineLevel="1">
      <c r="A460" s="586"/>
      <c r="B460" s="145" t="s">
        <v>26</v>
      </c>
      <c r="C460" s="147" t="s">
        <v>55</v>
      </c>
      <c r="D460" s="587"/>
      <c r="E460" s="587"/>
      <c r="F460" s="67" t="s">
        <v>215</v>
      </c>
      <c r="G460" s="115">
        <v>0</v>
      </c>
      <c r="H460" s="89">
        <f>ROUNDUP(0+L460,0)</f>
        <v>0</v>
      </c>
      <c r="I460" s="95" t="str">
        <f t="shared" ref="I460:I461" si="85">IF(G460&gt;0,H460/G460*100,"-")</f>
        <v>-</v>
      </c>
      <c r="J460" s="115">
        <v>0</v>
      </c>
      <c r="K460" s="115">
        <v>0</v>
      </c>
      <c r="L460" s="76">
        <v>0</v>
      </c>
      <c r="M460" s="95" t="str">
        <f t="shared" ref="M460:M461" si="86">IF(K460&gt;0,L460/K460*100,"-")</f>
        <v>-</v>
      </c>
      <c r="N460" s="585"/>
    </row>
    <row r="461" spans="1:14" ht="11.1" customHeight="1" outlineLevel="1">
      <c r="A461" s="586"/>
      <c r="B461" s="145"/>
      <c r="C461" s="147"/>
      <c r="D461" s="587"/>
      <c r="E461" s="587"/>
      <c r="F461" s="67" t="s">
        <v>25</v>
      </c>
      <c r="G461" s="115">
        <v>0</v>
      </c>
      <c r="H461" s="89">
        <f>ROUNDUP(0+L461,0)</f>
        <v>0</v>
      </c>
      <c r="I461" s="95" t="str">
        <f t="shared" si="85"/>
        <v>-</v>
      </c>
      <c r="J461" s="115">
        <v>0</v>
      </c>
      <c r="K461" s="115">
        <v>0</v>
      </c>
      <c r="L461" s="76">
        <v>0</v>
      </c>
      <c r="M461" s="95" t="str">
        <f t="shared" si="86"/>
        <v>-</v>
      </c>
      <c r="N461" s="585"/>
    </row>
    <row r="462" spans="1:14" ht="3" customHeight="1" outlineLevel="1">
      <c r="A462" s="181"/>
      <c r="B462" s="149"/>
      <c r="C462" s="150"/>
      <c r="D462" s="151"/>
      <c r="E462" s="151"/>
      <c r="F462" s="149"/>
      <c r="G462" s="219"/>
      <c r="H462" s="219"/>
      <c r="I462" s="220"/>
      <c r="J462" s="219"/>
      <c r="K462" s="219"/>
      <c r="L462" s="221"/>
      <c r="M462" s="222"/>
      <c r="N462" s="237"/>
    </row>
    <row r="463" spans="1:14" ht="3.95" customHeight="1" outlineLevel="1">
      <c r="A463" s="180"/>
      <c r="B463" s="141"/>
      <c r="C463" s="142"/>
      <c r="D463" s="143"/>
      <c r="E463" s="143"/>
      <c r="F463" s="141"/>
      <c r="G463" s="223"/>
      <c r="H463" s="223"/>
      <c r="I463" s="94"/>
      <c r="J463" s="223"/>
      <c r="K463" s="223"/>
      <c r="L463" s="224"/>
      <c r="M463" s="225"/>
      <c r="N463" s="238"/>
    </row>
    <row r="464" spans="1:14" ht="11.1" customHeight="1" outlineLevel="1">
      <c r="A464" s="586" t="s">
        <v>67</v>
      </c>
      <c r="B464" s="145" t="s">
        <v>32</v>
      </c>
      <c r="C464" s="148" t="s">
        <v>56</v>
      </c>
      <c r="D464" s="587" t="s">
        <v>238</v>
      </c>
      <c r="E464" s="587" t="s">
        <v>237</v>
      </c>
      <c r="F464" s="176" t="s">
        <v>33</v>
      </c>
      <c r="G464" s="217">
        <f>SUM(G465:G467)</f>
        <v>610866</v>
      </c>
      <c r="H464" s="217">
        <f>SUM(H465:H467)</f>
        <v>47211</v>
      </c>
      <c r="I464" s="226">
        <f>IF(G464&gt;0,H464/G464*100,"-")</f>
        <v>7.7285362092504739</v>
      </c>
      <c r="J464" s="217">
        <f>SUM(J465:J467)</f>
        <v>100000</v>
      </c>
      <c r="K464" s="217">
        <f>SUM(K465:K467)</f>
        <v>110124</v>
      </c>
      <c r="L464" s="227">
        <f>SUM(L465:L467)</f>
        <v>2468.37</v>
      </c>
      <c r="M464" s="228">
        <f>IF(K464&gt;0,L464/K464*100,"-")</f>
        <v>2.2414460063201478</v>
      </c>
      <c r="N464" s="585" t="s">
        <v>365</v>
      </c>
    </row>
    <row r="465" spans="1:14" ht="11.1" customHeight="1" outlineLevel="1">
      <c r="A465" s="586"/>
      <c r="B465" s="145" t="s">
        <v>26</v>
      </c>
      <c r="C465" s="147" t="s">
        <v>55</v>
      </c>
      <c r="D465" s="587"/>
      <c r="E465" s="587"/>
      <c r="F465" s="67" t="s">
        <v>21</v>
      </c>
      <c r="G465" s="115">
        <v>610866</v>
      </c>
      <c r="H465" s="115">
        <f>ROUNDUP(44742+L465,0)</f>
        <v>47211</v>
      </c>
      <c r="I465" s="95">
        <f>IF(G465&gt;0,H465/G465*100,"-")</f>
        <v>7.7285362092504739</v>
      </c>
      <c r="J465" s="115">
        <v>100000</v>
      </c>
      <c r="K465" s="115">
        <v>110124</v>
      </c>
      <c r="L465" s="70">
        <v>2468.37</v>
      </c>
      <c r="M465" s="95">
        <f>IF(K465&gt;0,L465/K465*100,"-")</f>
        <v>2.2414460063201478</v>
      </c>
      <c r="N465" s="585"/>
    </row>
    <row r="466" spans="1:14" ht="11.1" customHeight="1" outlineLevel="1">
      <c r="A466" s="586"/>
      <c r="B466" s="145"/>
      <c r="C466" s="147"/>
      <c r="D466" s="587"/>
      <c r="E466" s="587"/>
      <c r="F466" s="67" t="s">
        <v>215</v>
      </c>
      <c r="G466" s="115">
        <v>0</v>
      </c>
      <c r="H466" s="89">
        <f>ROUNDUP(0+L466,0)</f>
        <v>0</v>
      </c>
      <c r="I466" s="95" t="str">
        <f t="shared" ref="I466:I467" si="87">IF(G466&gt;0,H466/G466*100,"-")</f>
        <v>-</v>
      </c>
      <c r="J466" s="115">
        <v>0</v>
      </c>
      <c r="K466" s="115">
        <v>0</v>
      </c>
      <c r="L466" s="76">
        <v>0</v>
      </c>
      <c r="M466" s="95" t="str">
        <f t="shared" ref="M466:M467" si="88">IF(K466&gt;0,L466/K466*100,"-")</f>
        <v>-</v>
      </c>
      <c r="N466" s="585"/>
    </row>
    <row r="467" spans="1:14" ht="11.1" customHeight="1" outlineLevel="1">
      <c r="A467" s="586"/>
      <c r="B467" s="145"/>
      <c r="C467" s="147"/>
      <c r="D467" s="587"/>
      <c r="E467" s="587"/>
      <c r="F467" s="67" t="s">
        <v>25</v>
      </c>
      <c r="G467" s="115">
        <v>0</v>
      </c>
      <c r="H467" s="89">
        <f>ROUNDUP(0+L467,0)</f>
        <v>0</v>
      </c>
      <c r="I467" s="95" t="str">
        <f t="shared" si="87"/>
        <v>-</v>
      </c>
      <c r="J467" s="115">
        <v>0</v>
      </c>
      <c r="K467" s="115">
        <v>0</v>
      </c>
      <c r="L467" s="76">
        <v>0</v>
      </c>
      <c r="M467" s="95" t="str">
        <f t="shared" si="88"/>
        <v>-</v>
      </c>
      <c r="N467" s="585"/>
    </row>
    <row r="468" spans="1:14" ht="3" customHeight="1" outlineLevel="1">
      <c r="A468" s="181"/>
      <c r="B468" s="149"/>
      <c r="C468" s="150"/>
      <c r="D468" s="151"/>
      <c r="E468" s="151"/>
      <c r="F468" s="149"/>
      <c r="G468" s="219"/>
      <c r="H468" s="219"/>
      <c r="I468" s="220"/>
      <c r="J468" s="219"/>
      <c r="K468" s="219"/>
      <c r="L468" s="221"/>
      <c r="M468" s="222"/>
      <c r="N468" s="237"/>
    </row>
    <row r="469" spans="1:14" ht="3" customHeight="1" outlineLevel="1">
      <c r="A469" s="180"/>
      <c r="B469" s="141"/>
      <c r="C469" s="142"/>
      <c r="D469" s="143"/>
      <c r="E469" s="143"/>
      <c r="F469" s="141"/>
      <c r="G469" s="223"/>
      <c r="H469" s="223"/>
      <c r="I469" s="94"/>
      <c r="J469" s="223"/>
      <c r="K469" s="223"/>
      <c r="L469" s="224"/>
      <c r="M469" s="225"/>
      <c r="N469" s="238"/>
    </row>
    <row r="470" spans="1:14" ht="11.1" customHeight="1" outlineLevel="1">
      <c r="A470" s="586" t="s">
        <v>68</v>
      </c>
      <c r="B470" s="65" t="s">
        <v>32</v>
      </c>
      <c r="C470" s="69" t="s">
        <v>164</v>
      </c>
      <c r="D470" s="587" t="s">
        <v>293</v>
      </c>
      <c r="E470" s="587" t="s">
        <v>1</v>
      </c>
      <c r="F470" s="176" t="s">
        <v>33</v>
      </c>
      <c r="G470" s="217">
        <f>SUM(G471:G473)</f>
        <v>3202687</v>
      </c>
      <c r="H470" s="217">
        <f>SUM(H471:H473)</f>
        <v>148872</v>
      </c>
      <c r="I470" s="226">
        <f>IF(G470&gt;0,H470/G470*100,"-")</f>
        <v>4.6483468412617279</v>
      </c>
      <c r="J470" s="217">
        <f>SUM(J471:J473)</f>
        <v>16200</v>
      </c>
      <c r="K470" s="217">
        <f>SUM(K471:K473)</f>
        <v>18020</v>
      </c>
      <c r="L470" s="227">
        <f>SUM(L471:L473)</f>
        <v>16704.25</v>
      </c>
      <c r="M470" s="228">
        <f>IF(K470&gt;0,L470/K470*100,"-")</f>
        <v>92.698390677025515</v>
      </c>
      <c r="N470" s="585" t="s">
        <v>366</v>
      </c>
    </row>
    <row r="471" spans="1:14" ht="11.1" customHeight="1" outlineLevel="1">
      <c r="A471" s="586"/>
      <c r="B471" s="65"/>
      <c r="C471" s="38" t="s">
        <v>165</v>
      </c>
      <c r="D471" s="587"/>
      <c r="E471" s="587"/>
      <c r="F471" s="67" t="s">
        <v>21</v>
      </c>
      <c r="G471" s="115">
        <v>3202687</v>
      </c>
      <c r="H471" s="115">
        <f>ROUNDUP(132167+L471,0)</f>
        <v>148872</v>
      </c>
      <c r="I471" s="95">
        <f>IF(G471&gt;0,H471/G471*100,"-")</f>
        <v>4.6483468412617279</v>
      </c>
      <c r="J471" s="115">
        <v>16200</v>
      </c>
      <c r="K471" s="115">
        <v>18020</v>
      </c>
      <c r="L471" s="70">
        <v>16704.25</v>
      </c>
      <c r="M471" s="95">
        <f>IF(K471&gt;0,L471/K471*100,"-")</f>
        <v>92.698390677025515</v>
      </c>
      <c r="N471" s="585"/>
    </row>
    <row r="472" spans="1:14" ht="11.1" customHeight="1" outlineLevel="1">
      <c r="A472" s="586"/>
      <c r="B472" s="65"/>
      <c r="C472" s="38" t="s">
        <v>166</v>
      </c>
      <c r="D472" s="587"/>
      <c r="E472" s="587"/>
      <c r="F472" s="67" t="s">
        <v>215</v>
      </c>
      <c r="G472" s="115">
        <v>0</v>
      </c>
      <c r="H472" s="89">
        <f>ROUNDUP(0+L472,0)</f>
        <v>0</v>
      </c>
      <c r="I472" s="95" t="str">
        <f t="shared" ref="I472:I473" si="89">IF(G472&gt;0,H472/G472*100,"-")</f>
        <v>-</v>
      </c>
      <c r="J472" s="115">
        <v>0</v>
      </c>
      <c r="K472" s="115">
        <v>0</v>
      </c>
      <c r="L472" s="76">
        <v>0</v>
      </c>
      <c r="M472" s="95" t="str">
        <f t="shared" ref="M472:M473" si="90">IF(K472&gt;0,L472/K472*100,"-")</f>
        <v>-</v>
      </c>
      <c r="N472" s="585"/>
    </row>
    <row r="473" spans="1:14" ht="11.1" customHeight="1" outlineLevel="1">
      <c r="A473" s="586"/>
      <c r="B473" s="65" t="s">
        <v>26</v>
      </c>
      <c r="C473" s="38" t="s">
        <v>55</v>
      </c>
      <c r="D473" s="587"/>
      <c r="E473" s="587"/>
      <c r="F473" s="67" t="s">
        <v>25</v>
      </c>
      <c r="G473" s="115">
        <v>0</v>
      </c>
      <c r="H473" s="89">
        <f>ROUNDUP(0+L473,0)</f>
        <v>0</v>
      </c>
      <c r="I473" s="95" t="str">
        <f t="shared" si="89"/>
        <v>-</v>
      </c>
      <c r="J473" s="115">
        <v>0</v>
      </c>
      <c r="K473" s="115">
        <v>0</v>
      </c>
      <c r="L473" s="76">
        <v>0</v>
      </c>
      <c r="M473" s="95" t="str">
        <f t="shared" si="90"/>
        <v>-</v>
      </c>
      <c r="N473" s="585"/>
    </row>
    <row r="474" spans="1:14" ht="3" customHeight="1" outlineLevel="1">
      <c r="A474" s="181"/>
      <c r="B474" s="149"/>
      <c r="C474" s="150"/>
      <c r="D474" s="151"/>
      <c r="E474" s="151"/>
      <c r="F474" s="149"/>
      <c r="G474" s="219"/>
      <c r="H474" s="219"/>
      <c r="I474" s="220"/>
      <c r="J474" s="219"/>
      <c r="K474" s="219"/>
      <c r="L474" s="221"/>
      <c r="M474" s="222"/>
      <c r="N474" s="237"/>
    </row>
    <row r="475" spans="1:14" ht="3" customHeight="1" outlineLevel="1">
      <c r="A475" s="180"/>
      <c r="B475" s="141"/>
      <c r="C475" s="142"/>
      <c r="D475" s="143"/>
      <c r="E475" s="143"/>
      <c r="F475" s="141"/>
      <c r="G475" s="223"/>
      <c r="H475" s="223"/>
      <c r="I475" s="94"/>
      <c r="J475" s="223"/>
      <c r="K475" s="223"/>
      <c r="L475" s="224"/>
      <c r="M475" s="225"/>
      <c r="N475" s="238"/>
    </row>
    <row r="476" spans="1:14" ht="11.1" customHeight="1" outlineLevel="1">
      <c r="A476" s="586" t="s">
        <v>70</v>
      </c>
      <c r="B476" s="145" t="s">
        <v>32</v>
      </c>
      <c r="C476" s="148" t="s">
        <v>0</v>
      </c>
      <c r="D476" s="587" t="s">
        <v>324</v>
      </c>
      <c r="E476" s="587" t="s">
        <v>118</v>
      </c>
      <c r="F476" s="176" t="s">
        <v>33</v>
      </c>
      <c r="G476" s="217">
        <f>SUM(G477:G479)</f>
        <v>3686149</v>
      </c>
      <c r="H476" s="217">
        <f>SUM(H477:H479)</f>
        <v>3440468</v>
      </c>
      <c r="I476" s="226">
        <f>IF(G476&gt;0,H476/G476*100,"-")</f>
        <v>93.335022539783381</v>
      </c>
      <c r="J476" s="217">
        <f>SUM(J477:J479)</f>
        <v>332800</v>
      </c>
      <c r="K476" s="217">
        <f>SUM(K477:K479)</f>
        <v>286620</v>
      </c>
      <c r="L476" s="227">
        <f>SUM(L477:L479)</f>
        <v>40938.58</v>
      </c>
      <c r="M476" s="228">
        <f>IF(K476&gt;0,L476/K476*100,"-")</f>
        <v>14.283225176191475</v>
      </c>
      <c r="N476" s="585" t="s">
        <v>367</v>
      </c>
    </row>
    <row r="477" spans="1:14" ht="11.1" customHeight="1" outlineLevel="1">
      <c r="A477" s="586"/>
      <c r="B477" s="145" t="s">
        <v>26</v>
      </c>
      <c r="C477" s="147" t="s">
        <v>55</v>
      </c>
      <c r="D477" s="587"/>
      <c r="E477" s="587"/>
      <c r="F477" s="67" t="s">
        <v>21</v>
      </c>
      <c r="G477" s="115">
        <v>3686149</v>
      </c>
      <c r="H477" s="115">
        <f>ROUNDUP(3399529+L477,0)</f>
        <v>3440468</v>
      </c>
      <c r="I477" s="95">
        <f>IF(G477&gt;0,H477/G477*100,"-")</f>
        <v>93.335022539783381</v>
      </c>
      <c r="J477" s="115">
        <v>332800</v>
      </c>
      <c r="K477" s="115">
        <v>286620</v>
      </c>
      <c r="L477" s="70">
        <v>40938.58</v>
      </c>
      <c r="M477" s="95">
        <f>IF(K477&gt;0,L477/K477*100,"-")</f>
        <v>14.283225176191475</v>
      </c>
      <c r="N477" s="585"/>
    </row>
    <row r="478" spans="1:14" ht="11.1" customHeight="1" outlineLevel="1">
      <c r="A478" s="586"/>
      <c r="B478" s="65"/>
      <c r="C478" s="38"/>
      <c r="D478" s="587"/>
      <c r="E478" s="587"/>
      <c r="F478" s="67" t="s">
        <v>215</v>
      </c>
      <c r="G478" s="115">
        <v>0</v>
      </c>
      <c r="H478" s="89">
        <f>ROUNDUP(0+L478,0)</f>
        <v>0</v>
      </c>
      <c r="I478" s="95" t="str">
        <f t="shared" ref="I478:I479" si="91">IF(G478&gt;0,H478/G478*100,"-")</f>
        <v>-</v>
      </c>
      <c r="J478" s="115">
        <v>0</v>
      </c>
      <c r="K478" s="115">
        <v>0</v>
      </c>
      <c r="L478" s="76">
        <v>0</v>
      </c>
      <c r="M478" s="95" t="str">
        <f t="shared" ref="M478:M479" si="92">IF(K478&gt;0,L478/K478*100,"-")</f>
        <v>-</v>
      </c>
      <c r="N478" s="585"/>
    </row>
    <row r="479" spans="1:14" ht="11.1" customHeight="1" outlineLevel="1">
      <c r="A479" s="586"/>
      <c r="B479" s="65"/>
      <c r="C479" s="38"/>
      <c r="D479" s="587"/>
      <c r="E479" s="587"/>
      <c r="F479" s="67" t="s">
        <v>25</v>
      </c>
      <c r="G479" s="115">
        <v>0</v>
      </c>
      <c r="H479" s="89">
        <f>ROUNDUP(0+L479,0)</f>
        <v>0</v>
      </c>
      <c r="I479" s="95" t="str">
        <f t="shared" si="91"/>
        <v>-</v>
      </c>
      <c r="J479" s="115">
        <v>0</v>
      </c>
      <c r="K479" s="115">
        <v>0</v>
      </c>
      <c r="L479" s="76">
        <v>0</v>
      </c>
      <c r="M479" s="95" t="str">
        <f t="shared" si="92"/>
        <v>-</v>
      </c>
      <c r="N479" s="585"/>
    </row>
    <row r="480" spans="1:14" ht="3" customHeight="1" outlineLevel="1">
      <c r="A480" s="181"/>
      <c r="B480" s="149"/>
      <c r="C480" s="150"/>
      <c r="D480" s="151"/>
      <c r="E480" s="151"/>
      <c r="F480" s="149"/>
      <c r="G480" s="219"/>
      <c r="H480" s="219"/>
      <c r="I480" s="220"/>
      <c r="J480" s="219"/>
      <c r="K480" s="219"/>
      <c r="L480" s="221"/>
      <c r="M480" s="222"/>
      <c r="N480" s="237"/>
    </row>
    <row r="481" spans="1:14" ht="3" customHeight="1" outlineLevel="1">
      <c r="A481" s="180"/>
      <c r="B481" s="141"/>
      <c r="C481" s="142"/>
      <c r="D481" s="143"/>
      <c r="E481" s="143"/>
      <c r="F481" s="141"/>
      <c r="G481" s="223"/>
      <c r="H481" s="223"/>
      <c r="I481" s="94"/>
      <c r="J481" s="223"/>
      <c r="K481" s="223"/>
      <c r="L481" s="224"/>
      <c r="M481" s="225"/>
      <c r="N481" s="238"/>
    </row>
    <row r="482" spans="1:14" ht="11.1" customHeight="1" outlineLevel="1">
      <c r="A482" s="586" t="s">
        <v>71</v>
      </c>
      <c r="B482" s="145" t="s">
        <v>32</v>
      </c>
      <c r="C482" s="148" t="s">
        <v>57</v>
      </c>
      <c r="D482" s="587" t="s">
        <v>293</v>
      </c>
      <c r="E482" s="587" t="s">
        <v>117</v>
      </c>
      <c r="F482" s="176" t="s">
        <v>33</v>
      </c>
      <c r="G482" s="217">
        <f>SUM(G483:G485)</f>
        <v>2005020</v>
      </c>
      <c r="H482" s="217">
        <f>SUM(H483:H485)</f>
        <v>394477</v>
      </c>
      <c r="I482" s="226">
        <f>IF(G482&gt;0,H482/G482*100,"-")</f>
        <v>19.674467087610097</v>
      </c>
      <c r="J482" s="217">
        <f>SUM(J483:J485)</f>
        <v>1609400</v>
      </c>
      <c r="K482" s="217">
        <f>SUM(K483:K485)</f>
        <v>1612012</v>
      </c>
      <c r="L482" s="227">
        <f>SUM(L483:L485)</f>
        <v>1468.29</v>
      </c>
      <c r="M482" s="228">
        <f>IF(K482&gt;0,L482/K482*100,"-")</f>
        <v>9.1084309546082778E-2</v>
      </c>
      <c r="N482" s="585" t="s">
        <v>368</v>
      </c>
    </row>
    <row r="483" spans="1:14" ht="11.1" customHeight="1" outlineLevel="1">
      <c r="A483" s="586"/>
      <c r="B483" s="145" t="s">
        <v>26</v>
      </c>
      <c r="C483" s="147" t="s">
        <v>55</v>
      </c>
      <c r="D483" s="587"/>
      <c r="E483" s="587"/>
      <c r="F483" s="67" t="s">
        <v>21</v>
      </c>
      <c r="G483" s="115">
        <v>2005020</v>
      </c>
      <c r="H483" s="115">
        <f>ROUNDUP(393008+L483,0)</f>
        <v>394477</v>
      </c>
      <c r="I483" s="95">
        <f>IF(G483&gt;0,H483/G483*100,"-")</f>
        <v>19.674467087610097</v>
      </c>
      <c r="J483" s="115">
        <v>1609400</v>
      </c>
      <c r="K483" s="115">
        <v>1612012</v>
      </c>
      <c r="L483" s="70">
        <v>1468.29</v>
      </c>
      <c r="M483" s="95">
        <f>IF(K483&gt;0,L483/K483*100,"-")</f>
        <v>9.1084309546082778E-2</v>
      </c>
      <c r="N483" s="585"/>
    </row>
    <row r="484" spans="1:14" ht="11.1" customHeight="1" outlineLevel="1">
      <c r="A484" s="586"/>
      <c r="B484" s="65"/>
      <c r="C484" s="38"/>
      <c r="D484" s="587"/>
      <c r="E484" s="587"/>
      <c r="F484" s="67" t="s">
        <v>215</v>
      </c>
      <c r="G484" s="115">
        <v>0</v>
      </c>
      <c r="H484" s="89">
        <f>ROUNDUP(0+L484,0)</f>
        <v>0</v>
      </c>
      <c r="I484" s="95" t="str">
        <f t="shared" ref="I484:I485" si="93">IF(G484&gt;0,H484/G484*100,"-")</f>
        <v>-</v>
      </c>
      <c r="J484" s="115">
        <v>0</v>
      </c>
      <c r="K484" s="115">
        <v>0</v>
      </c>
      <c r="L484" s="76">
        <v>0</v>
      </c>
      <c r="M484" s="95" t="str">
        <f t="shared" ref="M484:M485" si="94">IF(K484&gt;0,L484/K484*100,"-")</f>
        <v>-</v>
      </c>
      <c r="N484" s="585"/>
    </row>
    <row r="485" spans="1:14" ht="11.1" customHeight="1" outlineLevel="1">
      <c r="A485" s="586"/>
      <c r="B485" s="65"/>
      <c r="C485" s="38"/>
      <c r="D485" s="587"/>
      <c r="E485" s="587"/>
      <c r="F485" s="67" t="s">
        <v>25</v>
      </c>
      <c r="G485" s="115">
        <v>0</v>
      </c>
      <c r="H485" s="89">
        <f>ROUNDUP(0+L485,0)</f>
        <v>0</v>
      </c>
      <c r="I485" s="95" t="str">
        <f t="shared" si="93"/>
        <v>-</v>
      </c>
      <c r="J485" s="115">
        <v>0</v>
      </c>
      <c r="K485" s="115">
        <v>0</v>
      </c>
      <c r="L485" s="76">
        <v>0</v>
      </c>
      <c r="M485" s="95" t="str">
        <f t="shared" si="94"/>
        <v>-</v>
      </c>
      <c r="N485" s="585"/>
    </row>
    <row r="486" spans="1:14" ht="3" customHeight="1" outlineLevel="1">
      <c r="A486" s="181"/>
      <c r="B486" s="149"/>
      <c r="C486" s="150"/>
      <c r="D486" s="151"/>
      <c r="E486" s="151"/>
      <c r="F486" s="149"/>
      <c r="G486" s="219"/>
      <c r="H486" s="219"/>
      <c r="I486" s="220"/>
      <c r="J486" s="219"/>
      <c r="K486" s="219"/>
      <c r="L486" s="221"/>
      <c r="M486" s="222"/>
      <c r="N486" s="237"/>
    </row>
    <row r="487" spans="1:14" ht="3" customHeight="1" outlineLevel="1">
      <c r="A487" s="180"/>
      <c r="B487" s="141"/>
      <c r="C487" s="142"/>
      <c r="D487" s="143"/>
      <c r="E487" s="143"/>
      <c r="F487" s="141"/>
      <c r="G487" s="223"/>
      <c r="H487" s="223"/>
      <c r="I487" s="94"/>
      <c r="J487" s="223"/>
      <c r="K487" s="223"/>
      <c r="L487" s="224"/>
      <c r="M487" s="225"/>
      <c r="N487" s="238"/>
    </row>
    <row r="488" spans="1:14" ht="11.1" customHeight="1" outlineLevel="1">
      <c r="A488" s="586" t="s">
        <v>72</v>
      </c>
      <c r="B488" s="145" t="s">
        <v>32</v>
      </c>
      <c r="C488" s="148" t="s">
        <v>325</v>
      </c>
      <c r="D488" s="587" t="s">
        <v>315</v>
      </c>
      <c r="E488" s="587" t="s">
        <v>117</v>
      </c>
      <c r="F488" s="176" t="s">
        <v>33</v>
      </c>
      <c r="G488" s="217">
        <f>SUM(G489:G491)</f>
        <v>1614800</v>
      </c>
      <c r="H488" s="217">
        <f>SUM(H489:H491)</f>
        <v>39367</v>
      </c>
      <c r="I488" s="226">
        <f>IF(G488&gt;0,H488/G488*100,"-")</f>
        <v>2.4378870448352736</v>
      </c>
      <c r="J488" s="217">
        <f>SUM(J489:J491)</f>
        <v>0</v>
      </c>
      <c r="K488" s="217">
        <f>SUM(K489:K491)</f>
        <v>46374</v>
      </c>
      <c r="L488" s="227">
        <f>SUM(L489:L491)</f>
        <v>39366.550000000003</v>
      </c>
      <c r="M488" s="228">
        <f>IF(K488&gt;0,L488/K488*100,"-")</f>
        <v>84.889269849484634</v>
      </c>
      <c r="N488" s="585" t="s">
        <v>369</v>
      </c>
    </row>
    <row r="489" spans="1:14" ht="11.1" customHeight="1" outlineLevel="1">
      <c r="A489" s="586"/>
      <c r="B489" s="145" t="s">
        <v>26</v>
      </c>
      <c r="C489" s="147" t="s">
        <v>55</v>
      </c>
      <c r="D489" s="587"/>
      <c r="E489" s="587"/>
      <c r="F489" s="67" t="s">
        <v>21</v>
      </c>
      <c r="G489" s="115">
        <v>1614800</v>
      </c>
      <c r="H489" s="115">
        <f>ROUNDUP(0+L489,0)</f>
        <v>39367</v>
      </c>
      <c r="I489" s="95">
        <f>IF(G489&gt;0,H489/G489*100,"-")</f>
        <v>2.4378870448352736</v>
      </c>
      <c r="J489" s="115">
        <v>0</v>
      </c>
      <c r="K489" s="115">
        <v>46374</v>
      </c>
      <c r="L489" s="70">
        <v>39366.550000000003</v>
      </c>
      <c r="M489" s="95">
        <f>IF(K489&gt;0,L489/K489*100,"-")</f>
        <v>84.889269849484634</v>
      </c>
      <c r="N489" s="585"/>
    </row>
    <row r="490" spans="1:14" ht="11.1" customHeight="1" outlineLevel="1">
      <c r="A490" s="586"/>
      <c r="B490" s="145"/>
      <c r="C490" s="147"/>
      <c r="D490" s="587"/>
      <c r="E490" s="587"/>
      <c r="F490" s="67" t="s">
        <v>215</v>
      </c>
      <c r="G490" s="115">
        <v>0</v>
      </c>
      <c r="H490" s="89">
        <f>ROUNDUP(0+L490,0)</f>
        <v>0</v>
      </c>
      <c r="I490" s="95" t="str">
        <f t="shared" ref="I490:I491" si="95">IF(G490&gt;0,H490/G490*100,"-")</f>
        <v>-</v>
      </c>
      <c r="J490" s="115">
        <v>0</v>
      </c>
      <c r="K490" s="115">
        <v>0</v>
      </c>
      <c r="L490" s="76">
        <v>0</v>
      </c>
      <c r="M490" s="95" t="str">
        <f t="shared" ref="M490:M491" si="96">IF(K490&gt;0,L490/K490*100,"-")</f>
        <v>-</v>
      </c>
      <c r="N490" s="585"/>
    </row>
    <row r="491" spans="1:14" ht="11.1" customHeight="1" outlineLevel="1">
      <c r="A491" s="586"/>
      <c r="B491" s="65"/>
      <c r="C491" s="38"/>
      <c r="D491" s="587"/>
      <c r="E491" s="587"/>
      <c r="F491" s="67" t="s">
        <v>25</v>
      </c>
      <c r="G491" s="115">
        <v>0</v>
      </c>
      <c r="H491" s="89">
        <f>ROUNDUP(0+L491,0)</f>
        <v>0</v>
      </c>
      <c r="I491" s="95" t="str">
        <f t="shared" si="95"/>
        <v>-</v>
      </c>
      <c r="J491" s="115">
        <v>0</v>
      </c>
      <c r="K491" s="115">
        <v>0</v>
      </c>
      <c r="L491" s="76">
        <v>0</v>
      </c>
      <c r="M491" s="95" t="str">
        <f t="shared" si="96"/>
        <v>-</v>
      </c>
      <c r="N491" s="585"/>
    </row>
    <row r="492" spans="1:14" ht="3" customHeight="1" outlineLevel="1">
      <c r="A492" s="181"/>
      <c r="B492" s="149"/>
      <c r="C492" s="150"/>
      <c r="D492" s="151"/>
      <c r="E492" s="151"/>
      <c r="F492" s="149"/>
      <c r="G492" s="219"/>
      <c r="H492" s="219"/>
      <c r="I492" s="220"/>
      <c r="J492" s="219"/>
      <c r="K492" s="219"/>
      <c r="L492" s="221"/>
      <c r="M492" s="222"/>
      <c r="N492" s="237"/>
    </row>
    <row r="493" spans="1:14" ht="3" customHeight="1" outlineLevel="1">
      <c r="A493" s="180"/>
      <c r="B493" s="141"/>
      <c r="C493" s="142"/>
      <c r="D493" s="143"/>
      <c r="E493" s="143"/>
      <c r="F493" s="141"/>
      <c r="G493" s="223"/>
      <c r="H493" s="223"/>
      <c r="I493" s="94"/>
      <c r="J493" s="223"/>
      <c r="K493" s="223"/>
      <c r="L493" s="224"/>
      <c r="M493" s="225"/>
      <c r="N493" s="238"/>
    </row>
    <row r="494" spans="1:14" ht="11.1" customHeight="1" outlineLevel="1">
      <c r="A494" s="586" t="s">
        <v>73</v>
      </c>
      <c r="B494" s="145" t="s">
        <v>32</v>
      </c>
      <c r="C494" s="148" t="s">
        <v>326</v>
      </c>
      <c r="D494" s="587" t="s">
        <v>315</v>
      </c>
      <c r="E494" s="587" t="s">
        <v>328</v>
      </c>
      <c r="F494" s="176" t="s">
        <v>33</v>
      </c>
      <c r="G494" s="217">
        <f>SUM(G495:G497)</f>
        <v>280000</v>
      </c>
      <c r="H494" s="217">
        <f>SUM(H495:H497)</f>
        <v>0</v>
      </c>
      <c r="I494" s="226">
        <f>IF(G494&gt;0,H494/G494*100,"-")</f>
        <v>0</v>
      </c>
      <c r="J494" s="217">
        <f>SUM(J495:J497)</f>
        <v>0</v>
      </c>
      <c r="K494" s="217">
        <f>SUM(K495:K497)</f>
        <v>10000</v>
      </c>
      <c r="L494" s="227">
        <f>SUM(L495:L497)</f>
        <v>0</v>
      </c>
      <c r="M494" s="228">
        <f>IF(K494&gt;0,L494/K494*100,"-")</f>
        <v>0</v>
      </c>
      <c r="N494" s="585" t="s">
        <v>370</v>
      </c>
    </row>
    <row r="495" spans="1:14" ht="11.1" customHeight="1" outlineLevel="1">
      <c r="A495" s="586"/>
      <c r="B495" s="145"/>
      <c r="C495" s="147" t="s">
        <v>327</v>
      </c>
      <c r="D495" s="587"/>
      <c r="E495" s="587"/>
      <c r="F495" s="67" t="s">
        <v>21</v>
      </c>
      <c r="G495" s="115">
        <v>280000</v>
      </c>
      <c r="H495" s="115">
        <f>ROUNDUP(0+L495,0)</f>
        <v>0</v>
      </c>
      <c r="I495" s="95">
        <f>IF(G495&gt;0,H495/G495*100,"-")</f>
        <v>0</v>
      </c>
      <c r="J495" s="115">
        <v>0</v>
      </c>
      <c r="K495" s="115">
        <v>10000</v>
      </c>
      <c r="L495" s="70">
        <v>0</v>
      </c>
      <c r="M495" s="95">
        <f>IF(K495&gt;0,L495/K495*100,"-")</f>
        <v>0</v>
      </c>
      <c r="N495" s="585"/>
    </row>
    <row r="496" spans="1:14" ht="11.1" customHeight="1" outlineLevel="1">
      <c r="A496" s="586"/>
      <c r="B496" s="145" t="s">
        <v>26</v>
      </c>
      <c r="C496" s="147" t="s">
        <v>55</v>
      </c>
      <c r="D496" s="587"/>
      <c r="E496" s="587"/>
      <c r="F496" s="67" t="s">
        <v>215</v>
      </c>
      <c r="G496" s="115">
        <v>0</v>
      </c>
      <c r="H496" s="89">
        <f>ROUNDUP(0+L496,0)</f>
        <v>0</v>
      </c>
      <c r="I496" s="95" t="str">
        <f t="shared" ref="I496:I497" si="97">IF(G496&gt;0,H496/G496*100,"-")</f>
        <v>-</v>
      </c>
      <c r="J496" s="115">
        <v>0</v>
      </c>
      <c r="K496" s="115">
        <v>0</v>
      </c>
      <c r="L496" s="76">
        <v>0</v>
      </c>
      <c r="M496" s="95" t="str">
        <f t="shared" ref="M496:M497" si="98">IF(K496&gt;0,L496/K496*100,"-")</f>
        <v>-</v>
      </c>
      <c r="N496" s="585"/>
    </row>
    <row r="497" spans="1:14" ht="11.1" customHeight="1" outlineLevel="1">
      <c r="A497" s="586"/>
      <c r="B497" s="65"/>
      <c r="C497" s="38"/>
      <c r="D497" s="587"/>
      <c r="E497" s="587"/>
      <c r="F497" s="67" t="s">
        <v>25</v>
      </c>
      <c r="G497" s="115">
        <v>0</v>
      </c>
      <c r="H497" s="89">
        <f>ROUNDUP(0+L497,0)</f>
        <v>0</v>
      </c>
      <c r="I497" s="95" t="str">
        <f t="shared" si="97"/>
        <v>-</v>
      </c>
      <c r="J497" s="115">
        <v>0</v>
      </c>
      <c r="K497" s="115">
        <v>0</v>
      </c>
      <c r="L497" s="76">
        <v>0</v>
      </c>
      <c r="M497" s="95" t="str">
        <f t="shared" si="98"/>
        <v>-</v>
      </c>
      <c r="N497" s="585"/>
    </row>
    <row r="498" spans="1:14" ht="3" customHeight="1" outlineLevel="1">
      <c r="A498" s="181"/>
      <c r="B498" s="149"/>
      <c r="C498" s="150"/>
      <c r="D498" s="151"/>
      <c r="E498" s="151"/>
      <c r="F498" s="149"/>
      <c r="G498" s="219"/>
      <c r="H498" s="219"/>
      <c r="I498" s="220"/>
      <c r="J498" s="219"/>
      <c r="K498" s="219"/>
      <c r="L498" s="221"/>
      <c r="M498" s="222"/>
      <c r="N498" s="237"/>
    </row>
    <row r="499" spans="1:14" ht="3" customHeight="1" outlineLevel="1">
      <c r="A499" s="180"/>
      <c r="B499" s="141"/>
      <c r="C499" s="142"/>
      <c r="D499" s="143"/>
      <c r="E499" s="143"/>
      <c r="F499" s="141"/>
      <c r="G499" s="223"/>
      <c r="H499" s="223"/>
      <c r="I499" s="94"/>
      <c r="J499" s="223"/>
      <c r="K499" s="223"/>
      <c r="L499" s="224"/>
      <c r="M499" s="225"/>
      <c r="N499" s="238"/>
    </row>
    <row r="500" spans="1:14" ht="11.1" customHeight="1" outlineLevel="1">
      <c r="A500" s="586" t="s">
        <v>74</v>
      </c>
      <c r="B500" s="145" t="s">
        <v>32</v>
      </c>
      <c r="C500" s="148" t="s">
        <v>199</v>
      </c>
      <c r="D500" s="587" t="s">
        <v>293</v>
      </c>
      <c r="E500" s="587" t="s">
        <v>117</v>
      </c>
      <c r="F500" s="176" t="s">
        <v>33</v>
      </c>
      <c r="G500" s="217">
        <f>SUM(G501:G503)</f>
        <v>1360217</v>
      </c>
      <c r="H500" s="217">
        <f>SUM(H501:H503)</f>
        <v>1248208</v>
      </c>
      <c r="I500" s="226">
        <f>IF(G500&gt;0,H500/G500*100,"-")</f>
        <v>91.765358027432384</v>
      </c>
      <c r="J500" s="217">
        <f>SUM(J501:J503)</f>
        <v>1784746</v>
      </c>
      <c r="K500" s="217">
        <f>SUM(K501:K503)</f>
        <v>1231390</v>
      </c>
      <c r="L500" s="227">
        <f>SUM(L501:L503)</f>
        <v>1119380.1100000001</v>
      </c>
      <c r="M500" s="228">
        <f>IF(K500&gt;0,L500/K500*100,"-")</f>
        <v>90.903784341272882</v>
      </c>
      <c r="N500" s="618" t="s">
        <v>371</v>
      </c>
    </row>
    <row r="501" spans="1:14" ht="11.1" customHeight="1" outlineLevel="1">
      <c r="A501" s="586"/>
      <c r="B501" s="145"/>
      <c r="C501" s="147" t="s">
        <v>200</v>
      </c>
      <c r="D501" s="587"/>
      <c r="E501" s="587"/>
      <c r="F501" s="67" t="s">
        <v>21</v>
      </c>
      <c r="G501" s="115">
        <v>1360217</v>
      </c>
      <c r="H501" s="115">
        <f>ROUNDUP(128827+L501,0)</f>
        <v>1248208</v>
      </c>
      <c r="I501" s="95">
        <f>IF(G501&gt;0,H501/G501*100,"-")</f>
        <v>91.765358027432384</v>
      </c>
      <c r="J501" s="115">
        <v>1784746</v>
      </c>
      <c r="K501" s="115">
        <v>1231390</v>
      </c>
      <c r="L501" s="70">
        <v>1119380.1100000001</v>
      </c>
      <c r="M501" s="95">
        <f>IF(K501&gt;0,L501/K501*100,"-")</f>
        <v>90.903784341272882</v>
      </c>
      <c r="N501" s="618"/>
    </row>
    <row r="502" spans="1:14" ht="11.1" customHeight="1" outlineLevel="1">
      <c r="A502" s="586"/>
      <c r="B502" s="145" t="s">
        <v>26</v>
      </c>
      <c r="C502" s="147" t="s">
        <v>55</v>
      </c>
      <c r="D502" s="587"/>
      <c r="E502" s="587"/>
      <c r="F502" s="67" t="s">
        <v>215</v>
      </c>
      <c r="G502" s="115">
        <v>0</v>
      </c>
      <c r="H502" s="89">
        <f>ROUNDUP(0+L502,0)</f>
        <v>0</v>
      </c>
      <c r="I502" s="95" t="str">
        <f t="shared" ref="I502:I503" si="99">IF(G502&gt;0,H502/G502*100,"-")</f>
        <v>-</v>
      </c>
      <c r="J502" s="115">
        <v>0</v>
      </c>
      <c r="K502" s="115">
        <v>0</v>
      </c>
      <c r="L502" s="76">
        <v>0</v>
      </c>
      <c r="M502" s="95" t="str">
        <f t="shared" ref="M502:M503" si="100">IF(K502&gt;0,L502/K502*100,"-")</f>
        <v>-</v>
      </c>
      <c r="N502" s="618"/>
    </row>
    <row r="503" spans="1:14" ht="11.1" customHeight="1" outlineLevel="1">
      <c r="A503" s="586"/>
      <c r="B503" s="65"/>
      <c r="C503" s="38"/>
      <c r="D503" s="587"/>
      <c r="E503" s="587"/>
      <c r="F503" s="67" t="s">
        <v>25</v>
      </c>
      <c r="G503" s="115">
        <v>0</v>
      </c>
      <c r="H503" s="89">
        <f>ROUNDUP(0+L503,0)</f>
        <v>0</v>
      </c>
      <c r="I503" s="95" t="str">
        <f t="shared" si="99"/>
        <v>-</v>
      </c>
      <c r="J503" s="115">
        <v>0</v>
      </c>
      <c r="K503" s="115">
        <v>0</v>
      </c>
      <c r="L503" s="76">
        <v>0</v>
      </c>
      <c r="M503" s="95" t="str">
        <f t="shared" si="100"/>
        <v>-</v>
      </c>
      <c r="N503" s="618"/>
    </row>
    <row r="504" spans="1:14" ht="42.75" customHeight="1" outlineLevel="1">
      <c r="A504" s="230"/>
      <c r="B504" s="239"/>
      <c r="C504" s="240"/>
      <c r="D504" s="231"/>
      <c r="E504" s="231"/>
      <c r="F504" s="241"/>
      <c r="G504" s="115"/>
      <c r="H504" s="89"/>
      <c r="I504" s="95"/>
      <c r="J504" s="115"/>
      <c r="K504" s="115"/>
      <c r="L504" s="70"/>
      <c r="M504" s="95"/>
      <c r="N504" s="618"/>
    </row>
    <row r="505" spans="1:14" ht="3" customHeight="1" outlineLevel="1">
      <c r="A505" s="181"/>
      <c r="B505" s="149"/>
      <c r="C505" s="150"/>
      <c r="D505" s="151"/>
      <c r="E505" s="151"/>
      <c r="F505" s="149"/>
      <c r="G505" s="219"/>
      <c r="H505" s="219"/>
      <c r="I505" s="220"/>
      <c r="J505" s="219"/>
      <c r="K505" s="219"/>
      <c r="L505" s="221"/>
      <c r="M505" s="222"/>
      <c r="N505" s="237"/>
    </row>
    <row r="506" spans="1:14" ht="3" customHeight="1" outlineLevel="1">
      <c r="A506" s="180"/>
      <c r="B506" s="141"/>
      <c r="C506" s="142"/>
      <c r="D506" s="143"/>
      <c r="E506" s="143"/>
      <c r="F506" s="141"/>
      <c r="G506" s="223"/>
      <c r="H506" s="223"/>
      <c r="I506" s="94"/>
      <c r="J506" s="223"/>
      <c r="K506" s="223"/>
      <c r="L506" s="224"/>
      <c r="M506" s="225"/>
      <c r="N506" s="238"/>
    </row>
    <row r="507" spans="1:14" ht="11.1" customHeight="1" outlineLevel="1">
      <c r="A507" s="586" t="s">
        <v>75</v>
      </c>
      <c r="B507" s="145" t="s">
        <v>32</v>
      </c>
      <c r="C507" s="148" t="s">
        <v>201</v>
      </c>
      <c r="D507" s="587" t="s">
        <v>108</v>
      </c>
      <c r="E507" s="587" t="s">
        <v>118</v>
      </c>
      <c r="F507" s="176" t="s">
        <v>33</v>
      </c>
      <c r="G507" s="217">
        <f>SUM(G508:G510)</f>
        <v>8672915</v>
      </c>
      <c r="H507" s="217">
        <f>SUM(H508:H510)</f>
        <v>5555651</v>
      </c>
      <c r="I507" s="226">
        <f>IF(G507&gt;0,H507/G507*100,"-")</f>
        <v>64.057482403551745</v>
      </c>
      <c r="J507" s="217">
        <f>SUM(J508:J510)</f>
        <v>315500</v>
      </c>
      <c r="K507" s="217">
        <f>SUM(K508:K510)</f>
        <v>589274</v>
      </c>
      <c r="L507" s="227">
        <f>SUM(L508:L510)</f>
        <v>15427.31</v>
      </c>
      <c r="M507" s="228">
        <f>IF(K507&gt;0,L507/K507*100,"-")</f>
        <v>2.6180198006360369</v>
      </c>
      <c r="N507" s="618" t="s">
        <v>409</v>
      </c>
    </row>
    <row r="508" spans="1:14" ht="11.1" customHeight="1" outlineLevel="1">
      <c r="A508" s="586"/>
      <c r="B508" s="145"/>
      <c r="C508" s="147" t="s">
        <v>202</v>
      </c>
      <c r="D508" s="587"/>
      <c r="E508" s="587"/>
      <c r="F508" s="67" t="s">
        <v>21</v>
      </c>
      <c r="G508" s="115">
        <v>6630447</v>
      </c>
      <c r="H508" s="115">
        <f>ROUNDUP(3497755+L508,0)</f>
        <v>3513183</v>
      </c>
      <c r="I508" s="95">
        <f>IF(G508&gt;0,H508/G508*100,"-")</f>
        <v>52.985613187165214</v>
      </c>
      <c r="J508" s="115">
        <v>315500</v>
      </c>
      <c r="K508" s="115">
        <v>589274</v>
      </c>
      <c r="L508" s="70">
        <v>15427.31</v>
      </c>
      <c r="M508" s="95">
        <f>IF(K508&gt;0,L508/K508*100,"-")</f>
        <v>2.6180198006360369</v>
      </c>
      <c r="N508" s="618"/>
    </row>
    <row r="509" spans="1:14" ht="11.1" customHeight="1" outlineLevel="1">
      <c r="A509" s="586"/>
      <c r="B509" s="145" t="s">
        <v>26</v>
      </c>
      <c r="C509" s="147" t="s">
        <v>55</v>
      </c>
      <c r="D509" s="587"/>
      <c r="E509" s="587"/>
      <c r="F509" s="67" t="s">
        <v>215</v>
      </c>
      <c r="G509" s="115">
        <v>0</v>
      </c>
      <c r="H509" s="89">
        <f>ROUNDUP(0+L509,0)</f>
        <v>0</v>
      </c>
      <c r="I509" s="95" t="str">
        <f t="shared" ref="I509:I510" si="101">IF(G509&gt;0,H509/G509*100,"-")</f>
        <v>-</v>
      </c>
      <c r="J509" s="115">
        <v>0</v>
      </c>
      <c r="K509" s="115">
        <v>0</v>
      </c>
      <c r="L509" s="76">
        <v>0</v>
      </c>
      <c r="M509" s="95" t="str">
        <f t="shared" ref="M509:M510" si="102">IF(K509&gt;0,L509/K509*100,"-")</f>
        <v>-</v>
      </c>
      <c r="N509" s="618"/>
    </row>
    <row r="510" spans="1:14" ht="11.1" customHeight="1" outlineLevel="1">
      <c r="A510" s="586"/>
      <c r="B510" s="65"/>
      <c r="C510" s="38"/>
      <c r="D510" s="587"/>
      <c r="E510" s="587"/>
      <c r="F510" s="67" t="s">
        <v>25</v>
      </c>
      <c r="G510" s="115">
        <v>2042468</v>
      </c>
      <c r="H510" s="115">
        <f>ROUNDUP(2042468+L510,0)</f>
        <v>2042468</v>
      </c>
      <c r="I510" s="95">
        <f t="shared" si="101"/>
        <v>100</v>
      </c>
      <c r="J510" s="115">
        <v>0</v>
      </c>
      <c r="K510" s="115">
        <v>0</v>
      </c>
      <c r="L510" s="76">
        <v>0</v>
      </c>
      <c r="M510" s="95" t="str">
        <f t="shared" si="102"/>
        <v>-</v>
      </c>
      <c r="N510" s="618"/>
    </row>
    <row r="511" spans="1:14" ht="11.1" customHeight="1" outlineLevel="1">
      <c r="A511" s="230"/>
      <c r="B511" s="239"/>
      <c r="C511" s="240"/>
      <c r="D511" s="231"/>
      <c r="E511" s="231"/>
      <c r="F511" s="241"/>
      <c r="G511" s="115"/>
      <c r="H511" s="115"/>
      <c r="I511" s="95"/>
      <c r="J511" s="115"/>
      <c r="K511" s="115"/>
      <c r="L511" s="70"/>
      <c r="M511" s="95"/>
      <c r="N511" s="618"/>
    </row>
    <row r="512" spans="1:14" ht="3" customHeight="1" outlineLevel="1">
      <c r="A512" s="181"/>
      <c r="B512" s="149"/>
      <c r="C512" s="150"/>
      <c r="D512" s="151"/>
      <c r="E512" s="151"/>
      <c r="F512" s="149"/>
      <c r="G512" s="219"/>
      <c r="H512" s="219"/>
      <c r="I512" s="220"/>
      <c r="J512" s="219"/>
      <c r="K512" s="219"/>
      <c r="L512" s="221"/>
      <c r="M512" s="222"/>
      <c r="N512" s="237"/>
    </row>
    <row r="513" spans="1:14" ht="3" customHeight="1" outlineLevel="1">
      <c r="A513" s="180"/>
      <c r="B513" s="141"/>
      <c r="C513" s="142"/>
      <c r="D513" s="143"/>
      <c r="E513" s="143"/>
      <c r="F513" s="141"/>
      <c r="G513" s="223"/>
      <c r="H513" s="223"/>
      <c r="I513" s="94"/>
      <c r="J513" s="223"/>
      <c r="K513" s="223"/>
      <c r="L513" s="224"/>
      <c r="M513" s="225"/>
      <c r="N513" s="238"/>
    </row>
    <row r="514" spans="1:14" ht="11.1" customHeight="1" outlineLevel="1">
      <c r="A514" s="586" t="s">
        <v>169</v>
      </c>
      <c r="B514" s="65" t="s">
        <v>32</v>
      </c>
      <c r="C514" s="69" t="s">
        <v>240</v>
      </c>
      <c r="D514" s="587" t="s">
        <v>244</v>
      </c>
      <c r="E514" s="587" t="s">
        <v>119</v>
      </c>
      <c r="F514" s="176" t="s">
        <v>33</v>
      </c>
      <c r="G514" s="217">
        <f>SUM(G515:G518)</f>
        <v>11119796</v>
      </c>
      <c r="H514" s="217">
        <f>SUM(H515:H518)</f>
        <v>4263349</v>
      </c>
      <c r="I514" s="226">
        <f>IF(G514&gt;0,H514/G514*100,"-")</f>
        <v>38.340172787342503</v>
      </c>
      <c r="J514" s="217">
        <f>SUM(J515:J518)</f>
        <v>2978182</v>
      </c>
      <c r="K514" s="217">
        <f>SUM(K515:K518)</f>
        <v>3821980</v>
      </c>
      <c r="L514" s="227">
        <f>SUM(L515:L518)</f>
        <v>965532.27</v>
      </c>
      <c r="M514" s="228">
        <f>IF(K514&gt;0,L514/K514*100,"-")</f>
        <v>25.262619636942109</v>
      </c>
      <c r="N514" s="618" t="s">
        <v>372</v>
      </c>
    </row>
    <row r="515" spans="1:14" ht="11.1" customHeight="1" outlineLevel="1">
      <c r="A515" s="586"/>
      <c r="B515" s="65"/>
      <c r="C515" s="38" t="s">
        <v>241</v>
      </c>
      <c r="D515" s="587"/>
      <c r="E515" s="587"/>
      <c r="F515" s="67" t="s">
        <v>21</v>
      </c>
      <c r="G515" s="115">
        <v>11119796</v>
      </c>
      <c r="H515" s="115">
        <f>ROUNDUP(3297816+L515,0)</f>
        <v>4263349</v>
      </c>
      <c r="I515" s="95">
        <f>IF(G515&gt;0,H515/G515*100,"-")</f>
        <v>38.340172787342503</v>
      </c>
      <c r="J515" s="115">
        <v>2978182</v>
      </c>
      <c r="K515" s="115">
        <v>3821980</v>
      </c>
      <c r="L515" s="70">
        <v>965532.27</v>
      </c>
      <c r="M515" s="95">
        <f>IF(K515&gt;0,L515/K515*100,"-")</f>
        <v>25.262619636942109</v>
      </c>
      <c r="N515" s="618"/>
    </row>
    <row r="516" spans="1:14" ht="11.1" customHeight="1" outlineLevel="1">
      <c r="A516" s="586"/>
      <c r="B516" s="65"/>
      <c r="C516" s="38" t="s">
        <v>242</v>
      </c>
      <c r="D516" s="587"/>
      <c r="E516" s="587"/>
      <c r="F516" s="67" t="s">
        <v>215</v>
      </c>
      <c r="G516" s="115">
        <v>0</v>
      </c>
      <c r="H516" s="89">
        <f>ROUNDUP(0+L516,0)</f>
        <v>0</v>
      </c>
      <c r="I516" s="95" t="str">
        <f t="shared" ref="I516:I517" si="103">IF(G516&gt;0,H516/G516*100,"-")</f>
        <v>-</v>
      </c>
      <c r="J516" s="115">
        <v>0</v>
      </c>
      <c r="K516" s="115">
        <v>0</v>
      </c>
      <c r="L516" s="76">
        <v>0</v>
      </c>
      <c r="M516" s="95" t="str">
        <f t="shared" ref="M516:M517" si="104">IF(K516&gt;0,L516/K516*100,"-")</f>
        <v>-</v>
      </c>
      <c r="N516" s="618"/>
    </row>
    <row r="517" spans="1:14" ht="11.1" customHeight="1" outlineLevel="1">
      <c r="A517" s="586"/>
      <c r="B517" s="65"/>
      <c r="C517" s="38" t="s">
        <v>243</v>
      </c>
      <c r="D517" s="587"/>
      <c r="E517" s="587"/>
      <c r="F517" s="67" t="s">
        <v>25</v>
      </c>
      <c r="G517" s="115">
        <v>0</v>
      </c>
      <c r="H517" s="89">
        <f>ROUNDUP(0+L517,0)</f>
        <v>0</v>
      </c>
      <c r="I517" s="95" t="str">
        <f t="shared" si="103"/>
        <v>-</v>
      </c>
      <c r="J517" s="115">
        <v>0</v>
      </c>
      <c r="K517" s="115">
        <v>0</v>
      </c>
      <c r="L517" s="76">
        <v>0</v>
      </c>
      <c r="M517" s="95" t="str">
        <f t="shared" si="104"/>
        <v>-</v>
      </c>
      <c r="N517" s="618"/>
    </row>
    <row r="518" spans="1:14" ht="11.1" customHeight="1" outlineLevel="1">
      <c r="A518" s="586"/>
      <c r="B518" s="145" t="s">
        <v>26</v>
      </c>
      <c r="C518" s="147" t="s">
        <v>55</v>
      </c>
      <c r="D518" s="587"/>
      <c r="E518" s="587"/>
      <c r="F518" s="67"/>
      <c r="G518" s="115"/>
      <c r="H518" s="89"/>
      <c r="I518" s="95"/>
      <c r="J518" s="115"/>
      <c r="K518" s="115"/>
      <c r="L518" s="76"/>
      <c r="M518" s="95"/>
      <c r="N518" s="618"/>
    </row>
    <row r="519" spans="1:14" ht="86.25" customHeight="1" outlineLevel="1">
      <c r="A519" s="230"/>
      <c r="B519" s="145"/>
      <c r="C519" s="147"/>
      <c r="D519" s="231"/>
      <c r="E519" s="231"/>
      <c r="F519" s="241"/>
      <c r="G519" s="115"/>
      <c r="H519" s="89"/>
      <c r="I519" s="95"/>
      <c r="J519" s="115"/>
      <c r="K519" s="115"/>
      <c r="L519" s="70"/>
      <c r="M519" s="95"/>
      <c r="N519" s="618"/>
    </row>
    <row r="520" spans="1:14" ht="3" customHeight="1" outlineLevel="1">
      <c r="A520" s="181"/>
      <c r="B520" s="149"/>
      <c r="C520" s="150"/>
      <c r="D520" s="151"/>
      <c r="E520" s="151"/>
      <c r="F520" s="149"/>
      <c r="G520" s="219"/>
      <c r="H520" s="219"/>
      <c r="I520" s="220"/>
      <c r="J520" s="219"/>
      <c r="K520" s="219"/>
      <c r="L520" s="221"/>
      <c r="M520" s="222"/>
      <c r="N520" s="237"/>
    </row>
    <row r="521" spans="1:14" ht="3.95" customHeight="1" outlineLevel="1">
      <c r="A521" s="180"/>
      <c r="B521" s="141"/>
      <c r="C521" s="142"/>
      <c r="D521" s="143"/>
      <c r="E521" s="143"/>
      <c r="F521" s="141"/>
      <c r="G521" s="223"/>
      <c r="H521" s="223"/>
      <c r="I521" s="94"/>
      <c r="J521" s="223"/>
      <c r="K521" s="223"/>
      <c r="L521" s="224"/>
      <c r="M521" s="225"/>
      <c r="N521" s="238"/>
    </row>
    <row r="522" spans="1:14" ht="11.1" customHeight="1" outlineLevel="1">
      <c r="A522" s="586" t="s">
        <v>76</v>
      </c>
      <c r="B522" s="145" t="s">
        <v>32</v>
      </c>
      <c r="C522" s="148" t="s">
        <v>203</v>
      </c>
      <c r="D522" s="587" t="s">
        <v>93</v>
      </c>
      <c r="E522" s="587" t="s">
        <v>117</v>
      </c>
      <c r="F522" s="176" t="s">
        <v>33</v>
      </c>
      <c r="G522" s="217">
        <f>SUM(G523:G525)</f>
        <v>1560758</v>
      </c>
      <c r="H522" s="217">
        <f>SUM(H523:H525)</f>
        <v>1507954</v>
      </c>
      <c r="I522" s="226">
        <f>IF(G522&gt;0,H522/G522*100,"-")</f>
        <v>96.616772106886529</v>
      </c>
      <c r="J522" s="217">
        <f>SUM(J523:J525)</f>
        <v>2000000</v>
      </c>
      <c r="K522" s="217">
        <f>SUM(K523:K525)</f>
        <v>1443476</v>
      </c>
      <c r="L522" s="227">
        <f>SUM(L523:L525)</f>
        <v>1390671.39</v>
      </c>
      <c r="M522" s="228">
        <f>IF(K522&gt;0,L522/K522*100,"-")</f>
        <v>96.341843577586317</v>
      </c>
      <c r="N522" s="618" t="s">
        <v>373</v>
      </c>
    </row>
    <row r="523" spans="1:14" ht="11.1" customHeight="1" outlineLevel="1">
      <c r="A523" s="586"/>
      <c r="B523" s="145"/>
      <c r="C523" s="147" t="s">
        <v>204</v>
      </c>
      <c r="D523" s="587"/>
      <c r="E523" s="587"/>
      <c r="F523" s="67" t="s">
        <v>21</v>
      </c>
      <c r="G523" s="115">
        <v>1560758</v>
      </c>
      <c r="H523" s="115">
        <f>ROUNDUP(117282+L523,0)</f>
        <v>1507954</v>
      </c>
      <c r="I523" s="95">
        <f>IF(G523&gt;0,H523/G523*100,"-")</f>
        <v>96.616772106886529</v>
      </c>
      <c r="J523" s="115">
        <v>2000000</v>
      </c>
      <c r="K523" s="115">
        <v>1443476</v>
      </c>
      <c r="L523" s="70">
        <v>1390671.39</v>
      </c>
      <c r="M523" s="95">
        <f>IF(K523&gt;0,L523/K523*100,"-")</f>
        <v>96.341843577586317</v>
      </c>
      <c r="N523" s="618"/>
    </row>
    <row r="524" spans="1:14" ht="11.1" customHeight="1" outlineLevel="1">
      <c r="A524" s="586"/>
      <c r="B524" s="145" t="s">
        <v>26</v>
      </c>
      <c r="C524" s="147" t="s">
        <v>55</v>
      </c>
      <c r="D524" s="587"/>
      <c r="E524" s="587"/>
      <c r="F524" s="67" t="s">
        <v>215</v>
      </c>
      <c r="G524" s="115">
        <v>0</v>
      </c>
      <c r="H524" s="89">
        <f>ROUNDUP(0+L524,0)</f>
        <v>0</v>
      </c>
      <c r="I524" s="95" t="str">
        <f t="shared" ref="I524:I525" si="105">IF(G524&gt;0,H524/G524*100,"-")</f>
        <v>-</v>
      </c>
      <c r="J524" s="115">
        <v>0</v>
      </c>
      <c r="K524" s="115">
        <v>0</v>
      </c>
      <c r="L524" s="76">
        <v>0</v>
      </c>
      <c r="M524" s="95" t="str">
        <f t="shared" ref="M524:M525" si="106">IF(K524&gt;0,L524/K524*100,"-")</f>
        <v>-</v>
      </c>
      <c r="N524" s="618"/>
    </row>
    <row r="525" spans="1:14" ht="11.1" customHeight="1" outlineLevel="1">
      <c r="A525" s="586"/>
      <c r="B525" s="65"/>
      <c r="C525" s="38"/>
      <c r="D525" s="587"/>
      <c r="E525" s="587"/>
      <c r="F525" s="67" t="s">
        <v>25</v>
      </c>
      <c r="G525" s="115">
        <v>0</v>
      </c>
      <c r="H525" s="89">
        <f>ROUNDUP(0+L525,0)</f>
        <v>0</v>
      </c>
      <c r="I525" s="95" t="str">
        <f t="shared" si="105"/>
        <v>-</v>
      </c>
      <c r="J525" s="115">
        <v>0</v>
      </c>
      <c r="K525" s="115">
        <v>0</v>
      </c>
      <c r="L525" s="76">
        <v>0</v>
      </c>
      <c r="M525" s="95" t="str">
        <f t="shared" si="106"/>
        <v>-</v>
      </c>
      <c r="N525" s="618"/>
    </row>
    <row r="526" spans="1:14" ht="27" customHeight="1" outlineLevel="1">
      <c r="A526" s="230"/>
      <c r="B526" s="239"/>
      <c r="C526" s="240"/>
      <c r="D526" s="231"/>
      <c r="E526" s="231"/>
      <c r="F526" s="241"/>
      <c r="G526" s="115"/>
      <c r="H526" s="89"/>
      <c r="I526" s="95"/>
      <c r="J526" s="115"/>
      <c r="K526" s="115"/>
      <c r="L526" s="70"/>
      <c r="M526" s="95"/>
      <c r="N526" s="618"/>
    </row>
    <row r="527" spans="1:14" ht="3.95" customHeight="1" outlineLevel="1">
      <c r="A527" s="181"/>
      <c r="B527" s="149"/>
      <c r="C527" s="150"/>
      <c r="D527" s="151"/>
      <c r="E527" s="151"/>
      <c r="F527" s="149"/>
      <c r="G527" s="219"/>
      <c r="H527" s="219"/>
      <c r="I527" s="220"/>
      <c r="J527" s="219"/>
      <c r="K527" s="219"/>
      <c r="L527" s="221"/>
      <c r="M527" s="222"/>
      <c r="N527" s="237"/>
    </row>
    <row r="528" spans="1:14" ht="3.95" customHeight="1" outlineLevel="1">
      <c r="A528" s="180"/>
      <c r="B528" s="141"/>
      <c r="C528" s="142"/>
      <c r="D528" s="143"/>
      <c r="E528" s="143"/>
      <c r="F528" s="141"/>
      <c r="G528" s="223"/>
      <c r="H528" s="223"/>
      <c r="I528" s="94"/>
      <c r="J528" s="223"/>
      <c r="K528" s="223"/>
      <c r="L528" s="224"/>
      <c r="M528" s="225"/>
      <c r="N528" s="238"/>
    </row>
    <row r="529" spans="1:14" ht="11.1" customHeight="1" outlineLevel="1">
      <c r="A529" s="586" t="s">
        <v>77</v>
      </c>
      <c r="B529" s="145" t="s">
        <v>32</v>
      </c>
      <c r="C529" s="148" t="s">
        <v>205</v>
      </c>
      <c r="D529" s="587" t="s">
        <v>120</v>
      </c>
      <c r="E529" s="587" t="s">
        <v>117</v>
      </c>
      <c r="F529" s="176" t="s">
        <v>33</v>
      </c>
      <c r="G529" s="217">
        <f>SUM(G530:G532)</f>
        <v>16301918</v>
      </c>
      <c r="H529" s="217">
        <f>SUM(H530:H532)</f>
        <v>528435</v>
      </c>
      <c r="I529" s="226">
        <f>IF(G529&gt;0,H529/G529*100,"-")</f>
        <v>3.241551086197342</v>
      </c>
      <c r="J529" s="217">
        <f>SUM(J530:J532)</f>
        <v>9489500</v>
      </c>
      <c r="K529" s="217">
        <f>SUM(K530:K532)</f>
        <v>9529500</v>
      </c>
      <c r="L529" s="227">
        <f>SUM(L530:L532)</f>
        <v>493266.31</v>
      </c>
      <c r="M529" s="228">
        <f>IF(K529&gt;0,L529/K529*100,"-")</f>
        <v>5.1762034734246285</v>
      </c>
      <c r="N529" s="585" t="s">
        <v>374</v>
      </c>
    </row>
    <row r="530" spans="1:14" ht="11.1" customHeight="1" outlineLevel="1">
      <c r="A530" s="586"/>
      <c r="B530" s="145"/>
      <c r="C530" s="147" t="s">
        <v>122</v>
      </c>
      <c r="D530" s="587"/>
      <c r="E530" s="587"/>
      <c r="F530" s="67" t="s">
        <v>21</v>
      </c>
      <c r="G530" s="115">
        <v>5819918</v>
      </c>
      <c r="H530" s="115">
        <f>ROUNDUP(35168+L530,0)</f>
        <v>97934</v>
      </c>
      <c r="I530" s="95">
        <f>IF(G530&gt;0,H530/G530*100,"-")</f>
        <v>1.6827384853188652</v>
      </c>
      <c r="J530" s="115">
        <v>4744750</v>
      </c>
      <c r="K530" s="115">
        <v>4784750</v>
      </c>
      <c r="L530" s="70">
        <v>62765.83</v>
      </c>
      <c r="M530" s="95">
        <f>IF(K530&gt;0,L530/K530*100,"-")</f>
        <v>1.3117891216886985</v>
      </c>
      <c r="N530" s="585"/>
    </row>
    <row r="531" spans="1:14" ht="11.1" customHeight="1" outlineLevel="1">
      <c r="A531" s="586"/>
      <c r="B531" s="145" t="s">
        <v>26</v>
      </c>
      <c r="C531" s="147" t="s">
        <v>55</v>
      </c>
      <c r="D531" s="587"/>
      <c r="E531" s="587"/>
      <c r="F531" s="67" t="s">
        <v>215</v>
      </c>
      <c r="G531" s="115">
        <v>0</v>
      </c>
      <c r="H531" s="89">
        <f>ROUNDUP(0+L531,0)</f>
        <v>0</v>
      </c>
      <c r="I531" s="95" t="str">
        <f t="shared" ref="I531:I532" si="107">IF(G531&gt;0,H531/G531*100,"-")</f>
        <v>-</v>
      </c>
      <c r="J531" s="115">
        <v>0</v>
      </c>
      <c r="K531" s="115">
        <v>0</v>
      </c>
      <c r="L531" s="76">
        <v>0</v>
      </c>
      <c r="M531" s="95" t="str">
        <f t="shared" ref="M531:M532" si="108">IF(K531&gt;0,L531/K531*100,"-")</f>
        <v>-</v>
      </c>
      <c r="N531" s="585"/>
    </row>
    <row r="532" spans="1:14" ht="11.1" customHeight="1" outlineLevel="1">
      <c r="A532" s="586"/>
      <c r="B532" s="65"/>
      <c r="C532" s="38"/>
      <c r="D532" s="587"/>
      <c r="E532" s="587"/>
      <c r="F532" s="67" t="s">
        <v>25</v>
      </c>
      <c r="G532" s="115">
        <v>10482000</v>
      </c>
      <c r="H532" s="89">
        <f>ROUNDUP(0+L532,0)</f>
        <v>430501</v>
      </c>
      <c r="I532" s="95">
        <f t="shared" si="107"/>
        <v>4.1070501812631184</v>
      </c>
      <c r="J532" s="115">
        <v>4744750</v>
      </c>
      <c r="K532" s="115">
        <v>4744750</v>
      </c>
      <c r="L532" s="76">
        <v>430500.48</v>
      </c>
      <c r="M532" s="95">
        <f t="shared" si="108"/>
        <v>9.0731962695610928</v>
      </c>
      <c r="N532" s="585"/>
    </row>
    <row r="533" spans="1:14" ht="3.95" customHeight="1" outlineLevel="1">
      <c r="A533" s="181"/>
      <c r="B533" s="149"/>
      <c r="C533" s="150"/>
      <c r="D533" s="151"/>
      <c r="E533" s="151"/>
      <c r="F533" s="149"/>
      <c r="G533" s="219"/>
      <c r="H533" s="219"/>
      <c r="I533" s="220"/>
      <c r="J533" s="219"/>
      <c r="K533" s="219"/>
      <c r="L533" s="221"/>
      <c r="M533" s="222"/>
      <c r="N533" s="237"/>
    </row>
    <row r="534" spans="1:14" ht="3.95" customHeight="1" outlineLevel="1">
      <c r="A534" s="180"/>
      <c r="B534" s="141"/>
      <c r="C534" s="142"/>
      <c r="D534" s="143"/>
      <c r="E534" s="143"/>
      <c r="F534" s="141"/>
      <c r="G534" s="223"/>
      <c r="H534" s="223"/>
      <c r="I534" s="94"/>
      <c r="J534" s="223"/>
      <c r="K534" s="223"/>
      <c r="L534" s="224"/>
      <c r="M534" s="225"/>
      <c r="N534" s="238"/>
    </row>
    <row r="535" spans="1:14" ht="11.1" customHeight="1" outlineLevel="1">
      <c r="A535" s="586" t="s">
        <v>170</v>
      </c>
      <c r="B535" s="65" t="s">
        <v>32</v>
      </c>
      <c r="C535" s="69" t="s">
        <v>123</v>
      </c>
      <c r="D535" s="587" t="s">
        <v>101</v>
      </c>
      <c r="E535" s="587" t="s">
        <v>117</v>
      </c>
      <c r="F535" s="176" t="s">
        <v>33</v>
      </c>
      <c r="G535" s="217">
        <f>SUM(G536:G538)</f>
        <v>7022877</v>
      </c>
      <c r="H535" s="217">
        <f>SUM(H536:H538)</f>
        <v>5500359</v>
      </c>
      <c r="I535" s="226">
        <f>IF(G535&gt;0,H535/G535*100,"-")</f>
        <v>78.320594252184677</v>
      </c>
      <c r="J535" s="217">
        <f>SUM(J536:J538)</f>
        <v>4207020</v>
      </c>
      <c r="K535" s="217">
        <f>SUM(K536:K538)</f>
        <v>5194115</v>
      </c>
      <c r="L535" s="227">
        <f>SUM(L536:L538)</f>
        <v>3671595.41</v>
      </c>
      <c r="M535" s="228">
        <f>IF(K535&gt;0,L535/K535*100,"-")</f>
        <v>70.687603374203306</v>
      </c>
      <c r="N535" s="618" t="s">
        <v>375</v>
      </c>
    </row>
    <row r="536" spans="1:14" ht="11.1" customHeight="1" outlineLevel="1">
      <c r="A536" s="586"/>
      <c r="B536" s="65"/>
      <c r="C536" s="38" t="s">
        <v>124</v>
      </c>
      <c r="D536" s="587"/>
      <c r="E536" s="587"/>
      <c r="F536" s="67" t="s">
        <v>21</v>
      </c>
      <c r="G536" s="115">
        <v>118857</v>
      </c>
      <c r="H536" s="115">
        <f>ROUNDUP(62657+L536,0)</f>
        <v>112214</v>
      </c>
      <c r="I536" s="95">
        <f>IF(G536&gt;0,H536/G536*100,"-")</f>
        <v>94.410930782368723</v>
      </c>
      <c r="J536" s="115">
        <v>0</v>
      </c>
      <c r="K536" s="115">
        <v>56200</v>
      </c>
      <c r="L536" s="70">
        <v>49556.29</v>
      </c>
      <c r="M536" s="95">
        <f>IF(K536&gt;0,L536/K536*100,"-")</f>
        <v>88.17845195729538</v>
      </c>
      <c r="N536" s="618"/>
    </row>
    <row r="537" spans="1:14" ht="11.1" customHeight="1" outlineLevel="1">
      <c r="A537" s="586"/>
      <c r="B537" s="65"/>
      <c r="C537" s="69" t="s">
        <v>125</v>
      </c>
      <c r="D537" s="587"/>
      <c r="E537" s="587"/>
      <c r="F537" s="67" t="s">
        <v>215</v>
      </c>
      <c r="G537" s="115">
        <v>0</v>
      </c>
      <c r="H537" s="89">
        <f>ROUNDUP(0+L537,0)</f>
        <v>0</v>
      </c>
      <c r="I537" s="95" t="str">
        <f t="shared" ref="I537:I538" si="109">IF(G537&gt;0,H537/G537*100,"-")</f>
        <v>-</v>
      </c>
      <c r="J537" s="115">
        <v>0</v>
      </c>
      <c r="K537" s="115">
        <v>0</v>
      </c>
      <c r="L537" s="76">
        <v>0</v>
      </c>
      <c r="M537" s="95" t="str">
        <f t="shared" ref="M537:M538" si="110">IF(K537&gt;0,L537/K537*100,"-")</f>
        <v>-</v>
      </c>
      <c r="N537" s="618"/>
    </row>
    <row r="538" spans="1:14" ht="11.1" customHeight="1" outlineLevel="1">
      <c r="A538" s="586"/>
      <c r="B538" s="65" t="s">
        <v>26</v>
      </c>
      <c r="C538" s="38" t="s">
        <v>55</v>
      </c>
      <c r="D538" s="587"/>
      <c r="E538" s="587"/>
      <c r="F538" s="67" t="s">
        <v>25</v>
      </c>
      <c r="G538" s="115">
        <v>6904020</v>
      </c>
      <c r="H538" s="115">
        <f>ROUNDUP(1766105+L538,0)</f>
        <v>5388145</v>
      </c>
      <c r="I538" s="95">
        <f t="shared" si="109"/>
        <v>78.043589097366464</v>
      </c>
      <c r="J538" s="115">
        <v>4207020</v>
      </c>
      <c r="K538" s="115">
        <v>5137915</v>
      </c>
      <c r="L538" s="76">
        <v>3622039.12</v>
      </c>
      <c r="M538" s="95">
        <f t="shared" si="110"/>
        <v>70.496283414575757</v>
      </c>
      <c r="N538" s="618"/>
    </row>
    <row r="539" spans="1:14" ht="28.5" customHeight="1" outlineLevel="1">
      <c r="A539" s="230"/>
      <c r="B539" s="239"/>
      <c r="C539" s="240"/>
      <c r="D539" s="231"/>
      <c r="E539" s="231"/>
      <c r="F539" s="241"/>
      <c r="G539" s="115"/>
      <c r="H539" s="115"/>
      <c r="I539" s="95"/>
      <c r="J539" s="115"/>
      <c r="K539" s="115"/>
      <c r="L539" s="70"/>
      <c r="M539" s="95"/>
      <c r="N539" s="618"/>
    </row>
    <row r="540" spans="1:14" ht="3.95" customHeight="1" outlineLevel="1">
      <c r="A540" s="181"/>
      <c r="B540" s="149"/>
      <c r="C540" s="150"/>
      <c r="D540" s="151"/>
      <c r="E540" s="151"/>
      <c r="F540" s="149"/>
      <c r="G540" s="219"/>
      <c r="H540" s="219"/>
      <c r="I540" s="220"/>
      <c r="J540" s="219"/>
      <c r="K540" s="219"/>
      <c r="L540" s="243"/>
      <c r="M540" s="242"/>
      <c r="N540" s="237"/>
    </row>
    <row r="541" spans="1:14" ht="3.95" customHeight="1" outlineLevel="1">
      <c r="A541" s="180"/>
      <c r="B541" s="141"/>
      <c r="C541" s="142"/>
      <c r="D541" s="143"/>
      <c r="E541" s="143"/>
      <c r="F541" s="141"/>
      <c r="G541" s="223"/>
      <c r="H541" s="223"/>
      <c r="I541" s="94"/>
      <c r="J541" s="223"/>
      <c r="K541" s="223"/>
      <c r="L541" s="224"/>
      <c r="M541" s="225"/>
      <c r="N541" s="238"/>
    </row>
    <row r="542" spans="1:14" ht="11.1" customHeight="1" outlineLevel="1">
      <c r="A542" s="586" t="s">
        <v>249</v>
      </c>
      <c r="B542" s="65" t="s">
        <v>32</v>
      </c>
      <c r="C542" s="69" t="s">
        <v>126</v>
      </c>
      <c r="D542" s="587" t="s">
        <v>329</v>
      </c>
      <c r="E542" s="587" t="s">
        <v>118</v>
      </c>
      <c r="F542" s="176" t="s">
        <v>33</v>
      </c>
      <c r="G542" s="217">
        <f>SUM(G543:G545)</f>
        <v>3486407</v>
      </c>
      <c r="H542" s="217">
        <f>SUM(H543:H545)</f>
        <v>1403245</v>
      </c>
      <c r="I542" s="226">
        <f>IF(G542&gt;0,H542/G542*100,"-")</f>
        <v>40.249030018583603</v>
      </c>
      <c r="J542" s="217">
        <f>SUM(J543:J545)</f>
        <v>224800</v>
      </c>
      <c r="K542" s="217">
        <f>SUM(K543:K545)</f>
        <v>248000</v>
      </c>
      <c r="L542" s="227">
        <f>SUM(L543:L545)</f>
        <v>18237.490000000002</v>
      </c>
      <c r="M542" s="228">
        <f>IF(K542&gt;0,L542/K542*100,"-")</f>
        <v>7.3538266129032266</v>
      </c>
      <c r="N542" s="618" t="s">
        <v>376</v>
      </c>
    </row>
    <row r="543" spans="1:14" ht="11.1" customHeight="1" outlineLevel="1">
      <c r="A543" s="586"/>
      <c r="B543" s="65"/>
      <c r="C543" s="38" t="s">
        <v>127</v>
      </c>
      <c r="D543" s="587"/>
      <c r="E543" s="587"/>
      <c r="F543" s="67" t="s">
        <v>21</v>
      </c>
      <c r="G543" s="115">
        <v>3486407</v>
      </c>
      <c r="H543" s="115">
        <f>ROUNDUP(1385007+L543,0)</f>
        <v>1403245</v>
      </c>
      <c r="I543" s="95">
        <f>IF(G543&gt;0,H543/G543*100,"-")</f>
        <v>40.249030018583603</v>
      </c>
      <c r="J543" s="115">
        <v>224800</v>
      </c>
      <c r="K543" s="115">
        <v>248000</v>
      </c>
      <c r="L543" s="70">
        <v>18237.490000000002</v>
      </c>
      <c r="M543" s="95">
        <f>IF(K543&gt;0,L543/K543*100,"-")</f>
        <v>7.3538266129032266</v>
      </c>
      <c r="N543" s="618"/>
    </row>
    <row r="544" spans="1:14" ht="11.1" customHeight="1" outlineLevel="1">
      <c r="A544" s="586"/>
      <c r="B544" s="65"/>
      <c r="C544" s="69" t="s">
        <v>128</v>
      </c>
      <c r="D544" s="587"/>
      <c r="E544" s="587"/>
      <c r="F544" s="67" t="s">
        <v>215</v>
      </c>
      <c r="G544" s="115">
        <v>0</v>
      </c>
      <c r="H544" s="89">
        <f>ROUNDUP(0+L544,0)</f>
        <v>0</v>
      </c>
      <c r="I544" s="95" t="str">
        <f t="shared" ref="I544:I545" si="111">IF(G544&gt;0,H544/G544*100,"-")</f>
        <v>-</v>
      </c>
      <c r="J544" s="115">
        <v>0</v>
      </c>
      <c r="K544" s="115">
        <v>0</v>
      </c>
      <c r="L544" s="76">
        <v>0</v>
      </c>
      <c r="M544" s="95" t="str">
        <f t="shared" ref="M544:M545" si="112">IF(K544&gt;0,L544/K544*100,"-")</f>
        <v>-</v>
      </c>
      <c r="N544" s="618"/>
    </row>
    <row r="545" spans="1:14" ht="11.1" customHeight="1" outlineLevel="1">
      <c r="A545" s="586"/>
      <c r="B545" s="65" t="s">
        <v>26</v>
      </c>
      <c r="C545" s="38" t="s">
        <v>55</v>
      </c>
      <c r="D545" s="587"/>
      <c r="E545" s="587"/>
      <c r="F545" s="67" t="s">
        <v>25</v>
      </c>
      <c r="G545" s="115">
        <v>0</v>
      </c>
      <c r="H545" s="89">
        <f>ROUNDUP(0+L545,0)</f>
        <v>0</v>
      </c>
      <c r="I545" s="95" t="str">
        <f t="shared" si="111"/>
        <v>-</v>
      </c>
      <c r="J545" s="115">
        <v>0</v>
      </c>
      <c r="K545" s="115">
        <v>0</v>
      </c>
      <c r="L545" s="76">
        <v>0</v>
      </c>
      <c r="M545" s="95" t="str">
        <f t="shared" si="112"/>
        <v>-</v>
      </c>
      <c r="N545" s="618"/>
    </row>
    <row r="546" spans="1:14" ht="21.75" customHeight="1" outlineLevel="1">
      <c r="A546" s="230"/>
      <c r="B546" s="239"/>
      <c r="C546" s="240"/>
      <c r="D546" s="231"/>
      <c r="E546" s="231"/>
      <c r="F546" s="241"/>
      <c r="G546" s="115"/>
      <c r="H546" s="89"/>
      <c r="I546" s="95"/>
      <c r="J546" s="115"/>
      <c r="K546" s="115"/>
      <c r="L546" s="70"/>
      <c r="M546" s="95"/>
      <c r="N546" s="618"/>
    </row>
    <row r="547" spans="1:14" ht="3.95" customHeight="1" outlineLevel="1">
      <c r="A547" s="181"/>
      <c r="B547" s="149"/>
      <c r="C547" s="150"/>
      <c r="D547" s="151"/>
      <c r="E547" s="151"/>
      <c r="F547" s="149"/>
      <c r="G547" s="219"/>
      <c r="H547" s="219"/>
      <c r="I547" s="220"/>
      <c r="J547" s="219"/>
      <c r="K547" s="219"/>
      <c r="L547" s="221"/>
      <c r="M547" s="222"/>
      <c r="N547" s="237"/>
    </row>
    <row r="548" spans="1:14" ht="3.95" customHeight="1" outlineLevel="1">
      <c r="A548" s="180"/>
      <c r="B548" s="141"/>
      <c r="C548" s="142"/>
      <c r="D548" s="143"/>
      <c r="E548" s="143"/>
      <c r="F548" s="141"/>
      <c r="G548" s="223"/>
      <c r="H548" s="223"/>
      <c r="I548" s="94"/>
      <c r="J548" s="223"/>
      <c r="K548" s="223"/>
      <c r="L548" s="224"/>
      <c r="M548" s="225"/>
      <c r="N548" s="238"/>
    </row>
    <row r="549" spans="1:14" ht="11.1" customHeight="1" outlineLevel="1">
      <c r="A549" s="586" t="s">
        <v>250</v>
      </c>
      <c r="B549" s="145" t="s">
        <v>32</v>
      </c>
      <c r="C549" s="148" t="s">
        <v>69</v>
      </c>
      <c r="D549" s="587" t="s">
        <v>330</v>
      </c>
      <c r="E549" s="587" t="s">
        <v>118</v>
      </c>
      <c r="F549" s="176" t="s">
        <v>33</v>
      </c>
      <c r="G549" s="217">
        <f>SUM(G550:G552)</f>
        <v>1308780</v>
      </c>
      <c r="H549" s="217">
        <f>SUM(H550:H552)</f>
        <v>593324</v>
      </c>
      <c r="I549" s="226">
        <f>IF(G549&gt;0,H549/G549*100,"-")</f>
        <v>45.334127966503161</v>
      </c>
      <c r="J549" s="217">
        <f>SUM(J550:J552)</f>
        <v>269720</v>
      </c>
      <c r="K549" s="217">
        <f>SUM(K550:K552)</f>
        <v>442999</v>
      </c>
      <c r="L549" s="227">
        <f>SUM(L550:L552)</f>
        <v>339442.16</v>
      </c>
      <c r="M549" s="228">
        <f>IF(K549&gt;0,L549/K549*100,"-")</f>
        <v>76.623685380779634</v>
      </c>
      <c r="N549" s="585" t="s">
        <v>377</v>
      </c>
    </row>
    <row r="550" spans="1:14" ht="11.1" customHeight="1" outlineLevel="1">
      <c r="A550" s="586"/>
      <c r="B550" s="145" t="s">
        <v>26</v>
      </c>
      <c r="C550" s="147" t="s">
        <v>55</v>
      </c>
      <c r="D550" s="587"/>
      <c r="E550" s="587"/>
      <c r="F550" s="67" t="s">
        <v>21</v>
      </c>
      <c r="G550" s="115">
        <v>1308780</v>
      </c>
      <c r="H550" s="115">
        <f>ROUNDUP(253881+L550,0)</f>
        <v>593324</v>
      </c>
      <c r="I550" s="95">
        <f>IF(G550&gt;0,H550/G550*100,"-")</f>
        <v>45.334127966503161</v>
      </c>
      <c r="J550" s="115">
        <v>269720</v>
      </c>
      <c r="K550" s="115">
        <v>442999</v>
      </c>
      <c r="L550" s="70">
        <v>339442.16</v>
      </c>
      <c r="M550" s="95">
        <f>IF(K550&gt;0,L550/K550*100,"-")</f>
        <v>76.623685380779634</v>
      </c>
      <c r="N550" s="585"/>
    </row>
    <row r="551" spans="1:14" ht="11.1" customHeight="1" outlineLevel="1">
      <c r="A551" s="586"/>
      <c r="B551" s="65"/>
      <c r="C551" s="38"/>
      <c r="D551" s="587"/>
      <c r="E551" s="587"/>
      <c r="F551" s="67" t="s">
        <v>215</v>
      </c>
      <c r="G551" s="115">
        <v>0</v>
      </c>
      <c r="H551" s="89">
        <f>ROUNDUP(0+L551,0)</f>
        <v>0</v>
      </c>
      <c r="I551" s="95" t="str">
        <f t="shared" ref="I551:I552" si="113">IF(G551&gt;0,H551/G551*100,"-")</f>
        <v>-</v>
      </c>
      <c r="J551" s="115">
        <v>0</v>
      </c>
      <c r="K551" s="115">
        <v>0</v>
      </c>
      <c r="L551" s="76">
        <v>0</v>
      </c>
      <c r="M551" s="95" t="str">
        <f t="shared" ref="M551:M552" si="114">IF(K551&gt;0,L551/K551*100,"-")</f>
        <v>-</v>
      </c>
      <c r="N551" s="585"/>
    </row>
    <row r="552" spans="1:14" ht="11.1" customHeight="1" outlineLevel="1">
      <c r="A552" s="586"/>
      <c r="B552" s="65"/>
      <c r="C552" s="38"/>
      <c r="D552" s="587"/>
      <c r="E552" s="587"/>
      <c r="F552" s="67" t="s">
        <v>25</v>
      </c>
      <c r="G552" s="115">
        <v>0</v>
      </c>
      <c r="H552" s="89">
        <f>ROUNDUP(0+L552,0)</f>
        <v>0</v>
      </c>
      <c r="I552" s="95" t="str">
        <f t="shared" si="113"/>
        <v>-</v>
      </c>
      <c r="J552" s="115">
        <v>0</v>
      </c>
      <c r="K552" s="115">
        <v>0</v>
      </c>
      <c r="L552" s="76">
        <v>0</v>
      </c>
      <c r="M552" s="95" t="str">
        <f t="shared" si="114"/>
        <v>-</v>
      </c>
      <c r="N552" s="585"/>
    </row>
    <row r="553" spans="1:14" ht="3.95" customHeight="1" outlineLevel="1">
      <c r="A553" s="181"/>
      <c r="B553" s="149"/>
      <c r="C553" s="150"/>
      <c r="D553" s="151"/>
      <c r="E553" s="151"/>
      <c r="F553" s="149"/>
      <c r="G553" s="219"/>
      <c r="H553" s="219"/>
      <c r="I553" s="220"/>
      <c r="J553" s="219"/>
      <c r="K553" s="219"/>
      <c r="L553" s="221"/>
      <c r="M553" s="222"/>
      <c r="N553" s="237"/>
    </row>
    <row r="554" spans="1:14" ht="3.95" customHeight="1" outlineLevel="1">
      <c r="A554" s="180"/>
      <c r="B554" s="141"/>
      <c r="C554" s="142"/>
      <c r="D554" s="143"/>
      <c r="E554" s="143"/>
      <c r="F554" s="141"/>
      <c r="G554" s="223"/>
      <c r="H554" s="223"/>
      <c r="I554" s="94"/>
      <c r="J554" s="223"/>
      <c r="K554" s="223"/>
      <c r="L554" s="224"/>
      <c r="M554" s="225"/>
      <c r="N554" s="238"/>
    </row>
    <row r="555" spans="1:14" ht="11.1" customHeight="1" outlineLevel="1">
      <c r="A555" s="586" t="s">
        <v>251</v>
      </c>
      <c r="B555" s="145" t="s">
        <v>32</v>
      </c>
      <c r="C555" s="69" t="s">
        <v>245</v>
      </c>
      <c r="D555" s="587" t="s">
        <v>331</v>
      </c>
      <c r="E555" s="587" t="s">
        <v>118</v>
      </c>
      <c r="F555" s="176" t="s">
        <v>33</v>
      </c>
      <c r="G555" s="217">
        <f>SUM(G556:G559)</f>
        <v>8280518</v>
      </c>
      <c r="H555" s="217">
        <f>SUM(H556:H559)</f>
        <v>1531680</v>
      </c>
      <c r="I555" s="226">
        <f>IF(G555&gt;0,H555/G555*100,"-")</f>
        <v>18.497393520550283</v>
      </c>
      <c r="J555" s="217">
        <f>SUM(J556:J559)</f>
        <v>115000</v>
      </c>
      <c r="K555" s="217">
        <f>SUM(K556:K559)</f>
        <v>173900</v>
      </c>
      <c r="L555" s="227">
        <f>SUM(L556:L559)</f>
        <v>168561.38</v>
      </c>
      <c r="M555" s="228">
        <f>IF(K555&gt;0,L555/K555*100,"-")</f>
        <v>96.930063254744098</v>
      </c>
      <c r="N555" s="618" t="s">
        <v>378</v>
      </c>
    </row>
    <row r="556" spans="1:14" ht="11.1" customHeight="1" outlineLevel="1">
      <c r="A556" s="586"/>
      <c r="B556" s="65"/>
      <c r="C556" s="38" t="s">
        <v>246</v>
      </c>
      <c r="D556" s="587"/>
      <c r="E556" s="587"/>
      <c r="F556" s="67" t="s">
        <v>21</v>
      </c>
      <c r="G556" s="115">
        <v>8005268</v>
      </c>
      <c r="H556" s="115">
        <f>ROUNDUP(1087868+L556,0)</f>
        <v>1256430</v>
      </c>
      <c r="I556" s="95">
        <f>IF(G556&gt;0,H556/G556*100,"-")</f>
        <v>15.695039816280978</v>
      </c>
      <c r="J556" s="115">
        <v>115000</v>
      </c>
      <c r="K556" s="115">
        <v>173900</v>
      </c>
      <c r="L556" s="70">
        <v>168561.38</v>
      </c>
      <c r="M556" s="95">
        <f>IF(K556&gt;0,L556/K556*100,"-")</f>
        <v>96.930063254744098</v>
      </c>
      <c r="N556" s="618"/>
    </row>
    <row r="557" spans="1:14" ht="11.1" customHeight="1" outlineLevel="1">
      <c r="A557" s="586"/>
      <c r="B557" s="65"/>
      <c r="C557" s="38" t="s">
        <v>247</v>
      </c>
      <c r="D557" s="587"/>
      <c r="E557" s="587"/>
      <c r="F557" s="67" t="s">
        <v>215</v>
      </c>
      <c r="G557" s="115">
        <v>275250</v>
      </c>
      <c r="H557" s="115">
        <f>ROUNDUP(275250+L557,0)</f>
        <v>275250</v>
      </c>
      <c r="I557" s="95">
        <f t="shared" ref="I557:I558" si="115">IF(G557&gt;0,H557/G557*100,"-")</f>
        <v>100</v>
      </c>
      <c r="J557" s="115">
        <v>0</v>
      </c>
      <c r="K557" s="115">
        <v>0</v>
      </c>
      <c r="L557" s="76">
        <v>0</v>
      </c>
      <c r="M557" s="95" t="str">
        <f t="shared" ref="M557:M558" si="116">IF(K557&gt;0,L557/K557*100,"-")</f>
        <v>-</v>
      </c>
      <c r="N557" s="618"/>
    </row>
    <row r="558" spans="1:14" ht="11.1" customHeight="1" outlineLevel="1">
      <c r="A558" s="586"/>
      <c r="B558" s="65"/>
      <c r="C558" s="38" t="s">
        <v>248</v>
      </c>
      <c r="D558" s="587"/>
      <c r="E558" s="587"/>
      <c r="F558" s="67" t="s">
        <v>25</v>
      </c>
      <c r="G558" s="115">
        <v>0</v>
      </c>
      <c r="H558" s="89">
        <f>ROUNDUP(0+L558,0)</f>
        <v>0</v>
      </c>
      <c r="I558" s="95" t="str">
        <f t="shared" si="115"/>
        <v>-</v>
      </c>
      <c r="J558" s="115">
        <v>0</v>
      </c>
      <c r="K558" s="115">
        <v>0</v>
      </c>
      <c r="L558" s="76">
        <v>0</v>
      </c>
      <c r="M558" s="95" t="str">
        <f t="shared" si="116"/>
        <v>-</v>
      </c>
      <c r="N558" s="618"/>
    </row>
    <row r="559" spans="1:14" ht="11.1" customHeight="1" outlineLevel="1">
      <c r="A559" s="586"/>
      <c r="B559" s="65" t="s">
        <v>26</v>
      </c>
      <c r="C559" s="38" t="s">
        <v>55</v>
      </c>
      <c r="D559" s="587"/>
      <c r="E559" s="587"/>
      <c r="F559" s="67"/>
      <c r="G559" s="115"/>
      <c r="H559" s="89"/>
      <c r="I559" s="95"/>
      <c r="J559" s="115"/>
      <c r="K559" s="115"/>
      <c r="L559" s="76"/>
      <c r="M559" s="95"/>
      <c r="N559" s="618"/>
    </row>
    <row r="560" spans="1:14" ht="6.75" customHeight="1" outlineLevel="1">
      <c r="A560" s="230"/>
      <c r="B560" s="239"/>
      <c r="C560" s="240"/>
      <c r="D560" s="231"/>
      <c r="E560" s="231"/>
      <c r="F560" s="241"/>
      <c r="G560" s="115"/>
      <c r="H560" s="89"/>
      <c r="I560" s="95"/>
      <c r="J560" s="115"/>
      <c r="K560" s="115"/>
      <c r="L560" s="70"/>
      <c r="M560" s="95"/>
      <c r="N560" s="618"/>
    </row>
    <row r="561" spans="1:14" ht="3.95" customHeight="1" outlineLevel="1">
      <c r="A561" s="181"/>
      <c r="B561" s="149"/>
      <c r="C561" s="150"/>
      <c r="D561" s="151"/>
      <c r="E561" s="151"/>
      <c r="F561" s="149"/>
      <c r="G561" s="219"/>
      <c r="H561" s="219"/>
      <c r="I561" s="220"/>
      <c r="J561" s="219"/>
      <c r="K561" s="219"/>
      <c r="L561" s="221"/>
      <c r="M561" s="222"/>
      <c r="N561" s="237"/>
    </row>
    <row r="562" spans="1:14" ht="3.95" customHeight="1" outlineLevel="1">
      <c r="A562" s="180"/>
      <c r="B562" s="141"/>
      <c r="C562" s="142"/>
      <c r="D562" s="143"/>
      <c r="E562" s="143"/>
      <c r="F562" s="141"/>
      <c r="G562" s="223"/>
      <c r="H562" s="223"/>
      <c r="I562" s="94"/>
      <c r="J562" s="223"/>
      <c r="K562" s="223"/>
      <c r="L562" s="224"/>
      <c r="M562" s="225"/>
      <c r="N562" s="238"/>
    </row>
    <row r="563" spans="1:14" ht="11.1" customHeight="1" outlineLevel="1">
      <c r="A563" s="586" t="s">
        <v>252</v>
      </c>
      <c r="B563" s="145" t="s">
        <v>32</v>
      </c>
      <c r="C563" s="148" t="s">
        <v>206</v>
      </c>
      <c r="D563" s="587" t="s">
        <v>121</v>
      </c>
      <c r="E563" s="587" t="s">
        <v>117</v>
      </c>
      <c r="F563" s="176" t="s">
        <v>33</v>
      </c>
      <c r="G563" s="217">
        <f>SUM(G564:G566)</f>
        <v>7014491</v>
      </c>
      <c r="H563" s="217">
        <f>SUM(H564:H566)</f>
        <v>4492556</v>
      </c>
      <c r="I563" s="226">
        <f>IF(G563&gt;0,H563/G563*100,"-")</f>
        <v>64.046785433183956</v>
      </c>
      <c r="J563" s="217">
        <f>SUM(J564:J566)</f>
        <v>4918500</v>
      </c>
      <c r="K563" s="217">
        <f>SUM(K564:K566)</f>
        <v>2933940</v>
      </c>
      <c r="L563" s="227">
        <f>SUM(L564:L566)</f>
        <v>2702004.48</v>
      </c>
      <c r="M563" s="228">
        <f>IF(K563&gt;0,L563/K563*100,"-")</f>
        <v>92.094742223767355</v>
      </c>
      <c r="N563" s="618" t="s">
        <v>379</v>
      </c>
    </row>
    <row r="564" spans="1:14" ht="11.1" customHeight="1" outlineLevel="1">
      <c r="A564" s="586"/>
      <c r="B564" s="145"/>
      <c r="C564" s="147" t="s">
        <v>207</v>
      </c>
      <c r="D564" s="587"/>
      <c r="E564" s="587"/>
      <c r="F564" s="67" t="s">
        <v>21</v>
      </c>
      <c r="G564" s="115">
        <v>7014491</v>
      </c>
      <c r="H564" s="115">
        <f>ROUNDUP(1790551+L564,0)</f>
        <v>4492556</v>
      </c>
      <c r="I564" s="95">
        <f>IF(G564&gt;0,H564/G564*100,"-")</f>
        <v>64.046785433183956</v>
      </c>
      <c r="J564" s="115">
        <v>4918500</v>
      </c>
      <c r="K564" s="115">
        <v>2933940</v>
      </c>
      <c r="L564" s="70">
        <v>2702004.48</v>
      </c>
      <c r="M564" s="95">
        <f>IF(K564&gt;0,L564/K564*100,"-")</f>
        <v>92.094742223767355</v>
      </c>
      <c r="N564" s="618"/>
    </row>
    <row r="565" spans="1:14" ht="11.1" customHeight="1" outlineLevel="1">
      <c r="A565" s="586"/>
      <c r="B565" s="145" t="s">
        <v>26</v>
      </c>
      <c r="C565" s="147" t="s">
        <v>55</v>
      </c>
      <c r="D565" s="587"/>
      <c r="E565" s="587"/>
      <c r="F565" s="67" t="s">
        <v>215</v>
      </c>
      <c r="G565" s="115">
        <v>0</v>
      </c>
      <c r="H565" s="89">
        <f>ROUNDUP(0+L565,0)</f>
        <v>0</v>
      </c>
      <c r="I565" s="95" t="str">
        <f t="shared" ref="I565:I566" si="117">IF(G565&gt;0,H565/G565*100,"-")</f>
        <v>-</v>
      </c>
      <c r="J565" s="115">
        <v>0</v>
      </c>
      <c r="K565" s="115">
        <v>0</v>
      </c>
      <c r="L565" s="76">
        <v>0</v>
      </c>
      <c r="M565" s="95" t="str">
        <f t="shared" ref="M565:M566" si="118">IF(K565&gt;0,L565/K565*100,"-")</f>
        <v>-</v>
      </c>
      <c r="N565" s="618"/>
    </row>
    <row r="566" spans="1:14" ht="11.1" customHeight="1" outlineLevel="1">
      <c r="A566" s="586"/>
      <c r="B566" s="65"/>
      <c r="C566" s="38"/>
      <c r="D566" s="587"/>
      <c r="E566" s="587"/>
      <c r="F566" s="67" t="s">
        <v>25</v>
      </c>
      <c r="G566" s="115">
        <v>0</v>
      </c>
      <c r="H566" s="89">
        <f>ROUNDUP(0+L566,0)</f>
        <v>0</v>
      </c>
      <c r="I566" s="95" t="str">
        <f t="shared" si="117"/>
        <v>-</v>
      </c>
      <c r="J566" s="115">
        <v>0</v>
      </c>
      <c r="K566" s="115">
        <v>0</v>
      </c>
      <c r="L566" s="76">
        <v>0</v>
      </c>
      <c r="M566" s="95" t="str">
        <f t="shared" si="118"/>
        <v>-</v>
      </c>
      <c r="N566" s="618"/>
    </row>
    <row r="567" spans="1:14" ht="18" customHeight="1" outlineLevel="1">
      <c r="A567" s="230"/>
      <c r="B567" s="239"/>
      <c r="C567" s="240"/>
      <c r="D567" s="231"/>
      <c r="E567" s="231"/>
      <c r="F567" s="241"/>
      <c r="G567" s="115"/>
      <c r="H567" s="89"/>
      <c r="I567" s="95"/>
      <c r="J567" s="115"/>
      <c r="K567" s="115"/>
      <c r="L567" s="70"/>
      <c r="M567" s="95"/>
      <c r="N567" s="618"/>
    </row>
    <row r="568" spans="1:14" ht="3.95" customHeight="1" outlineLevel="1">
      <c r="A568" s="181"/>
      <c r="B568" s="149"/>
      <c r="C568" s="150"/>
      <c r="D568" s="151"/>
      <c r="E568" s="151"/>
      <c r="F568" s="149"/>
      <c r="G568" s="219"/>
      <c r="H568" s="219"/>
      <c r="I568" s="220"/>
      <c r="J568" s="219"/>
      <c r="K568" s="219"/>
      <c r="L568" s="221"/>
      <c r="M568" s="222"/>
      <c r="N568" s="237"/>
    </row>
    <row r="569" spans="1:14" ht="3.95" customHeight="1" outlineLevel="1">
      <c r="A569" s="180"/>
      <c r="B569" s="141"/>
      <c r="C569" s="142"/>
      <c r="D569" s="143"/>
      <c r="E569" s="143"/>
      <c r="F569" s="141"/>
      <c r="G569" s="223"/>
      <c r="H569" s="223"/>
      <c r="I569" s="94"/>
      <c r="J569" s="223"/>
      <c r="K569" s="223"/>
      <c r="L569" s="224"/>
      <c r="M569" s="225"/>
      <c r="N569" s="238"/>
    </row>
    <row r="570" spans="1:14" ht="11.1" customHeight="1" outlineLevel="1">
      <c r="A570" s="586" t="s">
        <v>253</v>
      </c>
      <c r="B570" s="65" t="s">
        <v>32</v>
      </c>
      <c r="C570" s="69" t="s">
        <v>332</v>
      </c>
      <c r="D570" s="587" t="s">
        <v>315</v>
      </c>
      <c r="E570" s="587" t="s">
        <v>117</v>
      </c>
      <c r="F570" s="176" t="s">
        <v>33</v>
      </c>
      <c r="G570" s="217">
        <f>SUM(G571:G573)</f>
        <v>2924600</v>
      </c>
      <c r="H570" s="217">
        <f>SUM(H571:H573)</f>
        <v>2200</v>
      </c>
      <c r="I570" s="226">
        <f>IF(G570&gt;0,H570/G570*100,"-")</f>
        <v>7.5223962251248028E-2</v>
      </c>
      <c r="J570" s="217">
        <f>SUM(J571:J573)</f>
        <v>0</v>
      </c>
      <c r="K570" s="217">
        <f>SUM(K571:K573)</f>
        <v>4200</v>
      </c>
      <c r="L570" s="227">
        <f>SUM(L571:L573)</f>
        <v>2200</v>
      </c>
      <c r="M570" s="228">
        <f>IF(K570&gt;0,L570/K570*100,"-")</f>
        <v>52.380952380952387</v>
      </c>
      <c r="N570" s="585" t="s">
        <v>380</v>
      </c>
    </row>
    <row r="571" spans="1:14" ht="11.1" customHeight="1" outlineLevel="1">
      <c r="A571" s="586"/>
      <c r="B571" s="65" t="s">
        <v>26</v>
      </c>
      <c r="C571" s="38" t="s">
        <v>55</v>
      </c>
      <c r="D571" s="587"/>
      <c r="E571" s="587"/>
      <c r="F571" s="67" t="s">
        <v>21</v>
      </c>
      <c r="G571" s="115">
        <v>2924600</v>
      </c>
      <c r="H571" s="115">
        <f>ROUNDUP(0+L571,0)</f>
        <v>2200</v>
      </c>
      <c r="I571" s="95">
        <f>IF(G571&gt;0,H571/G571*100,"-")</f>
        <v>7.5223962251248028E-2</v>
      </c>
      <c r="J571" s="115">
        <v>0</v>
      </c>
      <c r="K571" s="115">
        <v>4200</v>
      </c>
      <c r="L571" s="70">
        <v>2200</v>
      </c>
      <c r="M571" s="95">
        <f>IF(K571&gt;0,L571/K571*100,"-")</f>
        <v>52.380952380952387</v>
      </c>
      <c r="N571" s="585"/>
    </row>
    <row r="572" spans="1:14" ht="11.1" customHeight="1" outlineLevel="1">
      <c r="A572" s="586"/>
      <c r="B572" s="65"/>
      <c r="C572" s="69"/>
      <c r="D572" s="587"/>
      <c r="E572" s="587"/>
      <c r="F572" s="67" t="s">
        <v>215</v>
      </c>
      <c r="G572" s="115">
        <v>0</v>
      </c>
      <c r="H572" s="89">
        <f>ROUNDUP(0+L572,0)</f>
        <v>0</v>
      </c>
      <c r="I572" s="95" t="str">
        <f t="shared" ref="I572:I573" si="119">IF(G572&gt;0,H572/G572*100,"-")</f>
        <v>-</v>
      </c>
      <c r="J572" s="115">
        <v>0</v>
      </c>
      <c r="K572" s="115">
        <v>0</v>
      </c>
      <c r="L572" s="76">
        <v>0</v>
      </c>
      <c r="M572" s="95" t="str">
        <f t="shared" ref="M572:M573" si="120">IF(K572&gt;0,L572/K572*100,"-")</f>
        <v>-</v>
      </c>
      <c r="N572" s="585"/>
    </row>
    <row r="573" spans="1:14" ht="11.1" customHeight="1" outlineLevel="1">
      <c r="A573" s="586"/>
      <c r="B573" s="65"/>
      <c r="C573" s="38"/>
      <c r="D573" s="587"/>
      <c r="E573" s="587"/>
      <c r="F573" s="67" t="s">
        <v>25</v>
      </c>
      <c r="G573" s="115">
        <v>0</v>
      </c>
      <c r="H573" s="89">
        <f>ROUNDUP(0+L573,0)</f>
        <v>0</v>
      </c>
      <c r="I573" s="95" t="str">
        <f t="shared" si="119"/>
        <v>-</v>
      </c>
      <c r="J573" s="115">
        <v>0</v>
      </c>
      <c r="K573" s="115">
        <v>0</v>
      </c>
      <c r="L573" s="76">
        <v>0</v>
      </c>
      <c r="M573" s="95" t="str">
        <f t="shared" si="120"/>
        <v>-</v>
      </c>
      <c r="N573" s="585"/>
    </row>
    <row r="574" spans="1:14" ht="3.95" customHeight="1" outlineLevel="1">
      <c r="A574" s="181"/>
      <c r="B574" s="149"/>
      <c r="C574" s="150"/>
      <c r="D574" s="151"/>
      <c r="E574" s="151"/>
      <c r="F574" s="149"/>
      <c r="G574" s="219"/>
      <c r="H574" s="219"/>
      <c r="I574" s="220"/>
      <c r="J574" s="219"/>
      <c r="K574" s="219"/>
      <c r="L574" s="221"/>
      <c r="M574" s="222"/>
      <c r="N574" s="237"/>
    </row>
    <row r="575" spans="1:14" ht="3.95" customHeight="1" outlineLevel="1">
      <c r="A575" s="180"/>
      <c r="B575" s="141"/>
      <c r="C575" s="142"/>
      <c r="D575" s="143"/>
      <c r="E575" s="143"/>
      <c r="F575" s="141"/>
      <c r="G575" s="223"/>
      <c r="H575" s="223"/>
      <c r="I575" s="94"/>
      <c r="J575" s="223"/>
      <c r="K575" s="223"/>
      <c r="L575" s="224"/>
      <c r="M575" s="225"/>
      <c r="N575" s="238"/>
    </row>
    <row r="576" spans="1:14" ht="11.1" customHeight="1" outlineLevel="1">
      <c r="A576" s="586" t="s">
        <v>259</v>
      </c>
      <c r="B576" s="65" t="s">
        <v>32</v>
      </c>
      <c r="C576" s="69" t="s">
        <v>129</v>
      </c>
      <c r="D576" s="587" t="s">
        <v>238</v>
      </c>
      <c r="E576" s="587" t="s">
        <v>118</v>
      </c>
      <c r="F576" s="176" t="s">
        <v>33</v>
      </c>
      <c r="G576" s="217">
        <f>SUM(G577:G579)</f>
        <v>1345589</v>
      </c>
      <c r="H576" s="217">
        <f>SUM(H577:H579)</f>
        <v>124583</v>
      </c>
      <c r="I576" s="226">
        <f>IF(G576&gt;0,H576/G576*100,"-")</f>
        <v>9.258622060673801</v>
      </c>
      <c r="J576" s="217">
        <f>SUM(J577:J579)</f>
        <v>49200</v>
      </c>
      <c r="K576" s="217">
        <f>SUM(K577:K579)</f>
        <v>91306</v>
      </c>
      <c r="L576" s="227">
        <f>SUM(L577:L579)</f>
        <v>5499.41</v>
      </c>
      <c r="M576" s="228">
        <f>IF(K576&gt;0,L576/K576*100,"-")</f>
        <v>6.0230543447309053</v>
      </c>
      <c r="N576" s="585" t="s">
        <v>381</v>
      </c>
    </row>
    <row r="577" spans="1:14" ht="11.1" customHeight="1" outlineLevel="1">
      <c r="A577" s="586"/>
      <c r="B577" s="65"/>
      <c r="C577" s="38" t="s">
        <v>130</v>
      </c>
      <c r="D577" s="587"/>
      <c r="E577" s="587"/>
      <c r="F577" s="67" t="s">
        <v>21</v>
      </c>
      <c r="G577" s="115">
        <v>1345589</v>
      </c>
      <c r="H577" s="115">
        <f>ROUNDUP(119083+L577,0)</f>
        <v>124583</v>
      </c>
      <c r="I577" s="95">
        <f>IF(G577&gt;0,H577/G577*100,"-")</f>
        <v>9.258622060673801</v>
      </c>
      <c r="J577" s="115">
        <v>49200</v>
      </c>
      <c r="K577" s="115">
        <v>91306</v>
      </c>
      <c r="L577" s="70">
        <v>5499.41</v>
      </c>
      <c r="M577" s="95">
        <f>IF(K577&gt;0,L577/K577*100,"-")</f>
        <v>6.0230543447309053</v>
      </c>
      <c r="N577" s="585"/>
    </row>
    <row r="578" spans="1:14" ht="11.1" customHeight="1" outlineLevel="1">
      <c r="A578" s="586"/>
      <c r="B578" s="65"/>
      <c r="C578" s="69" t="s">
        <v>131</v>
      </c>
      <c r="D578" s="587"/>
      <c r="E578" s="587"/>
      <c r="F578" s="67" t="s">
        <v>215</v>
      </c>
      <c r="G578" s="115">
        <v>0</v>
      </c>
      <c r="H578" s="89">
        <f>ROUNDUP(0+L578,0)</f>
        <v>0</v>
      </c>
      <c r="I578" s="95" t="str">
        <f t="shared" ref="I578:I579" si="121">IF(G578&gt;0,H578/G578*100,"-")</f>
        <v>-</v>
      </c>
      <c r="J578" s="115">
        <v>0</v>
      </c>
      <c r="K578" s="115">
        <v>0</v>
      </c>
      <c r="L578" s="76">
        <v>0</v>
      </c>
      <c r="M578" s="95" t="str">
        <f t="shared" ref="M578:M579" si="122">IF(K578&gt;0,L578/K578*100,"-")</f>
        <v>-</v>
      </c>
      <c r="N578" s="585"/>
    </row>
    <row r="579" spans="1:14" ht="11.1" customHeight="1" outlineLevel="1">
      <c r="A579" s="586"/>
      <c r="B579" s="65" t="s">
        <v>26</v>
      </c>
      <c r="C579" s="38" t="s">
        <v>55</v>
      </c>
      <c r="D579" s="587"/>
      <c r="E579" s="587"/>
      <c r="F579" s="67" t="s">
        <v>25</v>
      </c>
      <c r="G579" s="115">
        <v>0</v>
      </c>
      <c r="H579" s="89">
        <f>ROUNDUP(0+L579,0)</f>
        <v>0</v>
      </c>
      <c r="I579" s="95" t="str">
        <f t="shared" si="121"/>
        <v>-</v>
      </c>
      <c r="J579" s="115">
        <v>0</v>
      </c>
      <c r="K579" s="115">
        <v>0</v>
      </c>
      <c r="L579" s="76">
        <v>0</v>
      </c>
      <c r="M579" s="95" t="str">
        <f t="shared" si="122"/>
        <v>-</v>
      </c>
      <c r="N579" s="585"/>
    </row>
    <row r="580" spans="1:14" ht="3.95" customHeight="1" outlineLevel="1">
      <c r="A580" s="181"/>
      <c r="B580" s="149"/>
      <c r="C580" s="150"/>
      <c r="D580" s="151"/>
      <c r="E580" s="151"/>
      <c r="F580" s="149"/>
      <c r="G580" s="219"/>
      <c r="H580" s="219"/>
      <c r="I580" s="220"/>
      <c r="J580" s="219"/>
      <c r="K580" s="219"/>
      <c r="L580" s="221"/>
      <c r="M580" s="222"/>
      <c r="N580" s="237"/>
    </row>
    <row r="581" spans="1:14" ht="3.95" customHeight="1" outlineLevel="1">
      <c r="A581" s="180"/>
      <c r="B581" s="141"/>
      <c r="C581" s="142"/>
      <c r="D581" s="143"/>
      <c r="E581" s="143"/>
      <c r="F581" s="141"/>
      <c r="G581" s="223"/>
      <c r="H581" s="223"/>
      <c r="I581" s="94"/>
      <c r="J581" s="223"/>
      <c r="K581" s="223"/>
      <c r="L581" s="224"/>
      <c r="M581" s="225"/>
      <c r="N581" s="238"/>
    </row>
    <row r="582" spans="1:14" ht="11.1" customHeight="1" outlineLevel="1">
      <c r="A582" s="586" t="s">
        <v>260</v>
      </c>
      <c r="B582" s="65" t="s">
        <v>32</v>
      </c>
      <c r="C582" s="69" t="s">
        <v>254</v>
      </c>
      <c r="D582" s="587" t="s">
        <v>234</v>
      </c>
      <c r="E582" s="587" t="s">
        <v>117</v>
      </c>
      <c r="F582" s="176" t="s">
        <v>33</v>
      </c>
      <c r="G582" s="217">
        <f>SUM(G583:G585)</f>
        <v>1354111</v>
      </c>
      <c r="H582" s="217">
        <f>SUM(H583:H585)</f>
        <v>457388</v>
      </c>
      <c r="I582" s="226">
        <f>IF(G582&gt;0,H582/G582*100,"-")</f>
        <v>33.777733140045385</v>
      </c>
      <c r="J582" s="217">
        <f>SUM(J583:J585)</f>
        <v>500000</v>
      </c>
      <c r="K582" s="217">
        <f>SUM(K583:K585)</f>
        <v>508100</v>
      </c>
      <c r="L582" s="227">
        <f>SUM(L583:L585)</f>
        <v>25176.799999999999</v>
      </c>
      <c r="M582" s="228">
        <f>IF(K582&gt;0,L582/K582*100,"-")</f>
        <v>4.9550875811848059</v>
      </c>
      <c r="N582" s="585" t="s">
        <v>382</v>
      </c>
    </row>
    <row r="583" spans="1:14" ht="11.1" customHeight="1" outlineLevel="1">
      <c r="A583" s="586"/>
      <c r="B583" s="65"/>
      <c r="C583" s="38" t="s">
        <v>255</v>
      </c>
      <c r="D583" s="587"/>
      <c r="E583" s="587"/>
      <c r="F583" s="67" t="s">
        <v>21</v>
      </c>
      <c r="G583" s="115">
        <v>1354111</v>
      </c>
      <c r="H583" s="115">
        <f>ROUNDUP(432211+L583,0)</f>
        <v>457388</v>
      </c>
      <c r="I583" s="95">
        <f>IF(G583&gt;0,H583/G583*100,"-")</f>
        <v>33.777733140045385</v>
      </c>
      <c r="J583" s="115">
        <v>500000</v>
      </c>
      <c r="K583" s="115">
        <v>508100</v>
      </c>
      <c r="L583" s="70">
        <v>25176.799999999999</v>
      </c>
      <c r="M583" s="95">
        <f>IF(K583&gt;0,L583/K583*100,"-")</f>
        <v>4.9550875811848059</v>
      </c>
      <c r="N583" s="585"/>
    </row>
    <row r="584" spans="1:14" ht="11.1" customHeight="1" outlineLevel="1">
      <c r="A584" s="586"/>
      <c r="B584" s="65"/>
      <c r="C584" s="69" t="s">
        <v>256</v>
      </c>
      <c r="D584" s="587"/>
      <c r="E584" s="587"/>
      <c r="F584" s="67" t="s">
        <v>215</v>
      </c>
      <c r="G584" s="115">
        <v>0</v>
      </c>
      <c r="H584" s="89">
        <f>ROUNDUP(0+L584,0)</f>
        <v>0</v>
      </c>
      <c r="I584" s="95" t="str">
        <f t="shared" ref="I584:I585" si="123">IF(G584&gt;0,H584/G584*100,"-")</f>
        <v>-</v>
      </c>
      <c r="J584" s="115">
        <v>0</v>
      </c>
      <c r="K584" s="115">
        <v>0</v>
      </c>
      <c r="L584" s="76">
        <v>0</v>
      </c>
      <c r="M584" s="95" t="str">
        <f t="shared" ref="M584:M585" si="124">IF(K584&gt;0,L584/K584*100,"-")</f>
        <v>-</v>
      </c>
      <c r="N584" s="585"/>
    </row>
    <row r="585" spans="1:14" ht="11.1" customHeight="1" outlineLevel="1">
      <c r="A585" s="586"/>
      <c r="B585" s="65" t="s">
        <v>26</v>
      </c>
      <c r="C585" s="38" t="s">
        <v>55</v>
      </c>
      <c r="D585" s="587"/>
      <c r="E585" s="587"/>
      <c r="F585" s="67" t="s">
        <v>25</v>
      </c>
      <c r="G585" s="115">
        <v>0</v>
      </c>
      <c r="H585" s="89">
        <f>ROUNDUP(0+L585,0)</f>
        <v>0</v>
      </c>
      <c r="I585" s="95" t="str">
        <f t="shared" si="123"/>
        <v>-</v>
      </c>
      <c r="J585" s="115">
        <v>0</v>
      </c>
      <c r="K585" s="115">
        <v>0</v>
      </c>
      <c r="L585" s="76">
        <v>0</v>
      </c>
      <c r="M585" s="95" t="str">
        <f t="shared" si="124"/>
        <v>-</v>
      </c>
      <c r="N585" s="585"/>
    </row>
    <row r="586" spans="1:14" ht="3.95" customHeight="1" outlineLevel="1">
      <c r="A586" s="181"/>
      <c r="B586" s="149"/>
      <c r="C586" s="150"/>
      <c r="D586" s="151"/>
      <c r="E586" s="151"/>
      <c r="F586" s="149"/>
      <c r="G586" s="219"/>
      <c r="H586" s="219"/>
      <c r="I586" s="220"/>
      <c r="J586" s="219"/>
      <c r="K586" s="219"/>
      <c r="L586" s="221"/>
      <c r="M586" s="222"/>
      <c r="N586" s="237"/>
    </row>
    <row r="587" spans="1:14" ht="3.95" customHeight="1" outlineLevel="1">
      <c r="A587" s="180"/>
      <c r="B587" s="141"/>
      <c r="C587" s="142"/>
      <c r="D587" s="143"/>
      <c r="E587" s="143"/>
      <c r="F587" s="141"/>
      <c r="G587" s="223"/>
      <c r="H587" s="223"/>
      <c r="I587" s="94"/>
      <c r="J587" s="223"/>
      <c r="K587" s="223"/>
      <c r="L587" s="224"/>
      <c r="M587" s="225"/>
      <c r="N587" s="238"/>
    </row>
    <row r="588" spans="1:14" ht="11.1" customHeight="1" outlineLevel="1">
      <c r="A588" s="586" t="s">
        <v>261</v>
      </c>
      <c r="B588" s="145" t="s">
        <v>32</v>
      </c>
      <c r="C588" s="148" t="s">
        <v>257</v>
      </c>
      <c r="D588" s="587" t="s">
        <v>333</v>
      </c>
      <c r="E588" s="587" t="s">
        <v>117</v>
      </c>
      <c r="F588" s="176" t="s">
        <v>33</v>
      </c>
      <c r="G588" s="217">
        <f>SUM(G589:G591)</f>
        <v>1763925</v>
      </c>
      <c r="H588" s="217">
        <f>SUM(H589:H591)</f>
        <v>104428</v>
      </c>
      <c r="I588" s="226">
        <f>IF(G588&gt;0,H588/G588*100,"-")</f>
        <v>5.9202063579800726</v>
      </c>
      <c r="J588" s="217">
        <f>SUM(J589:J591)</f>
        <v>25200</v>
      </c>
      <c r="K588" s="217">
        <f>SUM(K589:K591)</f>
        <v>19624</v>
      </c>
      <c r="L588" s="227">
        <f>SUM(L589:L591)</f>
        <v>18326.2</v>
      </c>
      <c r="M588" s="228">
        <f>IF(K588&gt;0,L588/K588*100,"-")</f>
        <v>93.386669384427236</v>
      </c>
      <c r="N588" s="585" t="s">
        <v>383</v>
      </c>
    </row>
    <row r="589" spans="1:14" ht="11.1" customHeight="1" outlineLevel="1">
      <c r="A589" s="586"/>
      <c r="B589" s="145"/>
      <c r="C589" s="147" t="s">
        <v>258</v>
      </c>
      <c r="D589" s="587"/>
      <c r="E589" s="587"/>
      <c r="F589" s="67" t="s">
        <v>21</v>
      </c>
      <c r="G589" s="115">
        <v>1763925</v>
      </c>
      <c r="H589" s="115">
        <f>ROUNDUP(86101+L589,0)</f>
        <v>104428</v>
      </c>
      <c r="I589" s="95">
        <f>IF(G589&gt;0,H589/G589*100,"-")</f>
        <v>5.9202063579800726</v>
      </c>
      <c r="J589" s="115">
        <v>25200</v>
      </c>
      <c r="K589" s="115">
        <v>19624</v>
      </c>
      <c r="L589" s="70">
        <v>18326.2</v>
      </c>
      <c r="M589" s="95">
        <f>IF(K589&gt;0,L589/K589*100,"-")</f>
        <v>93.386669384427236</v>
      </c>
      <c r="N589" s="585"/>
    </row>
    <row r="590" spans="1:14" ht="11.1" customHeight="1" outlineLevel="1">
      <c r="A590" s="586"/>
      <c r="B590" s="145" t="s">
        <v>26</v>
      </c>
      <c r="C590" s="147" t="s">
        <v>55</v>
      </c>
      <c r="D590" s="587"/>
      <c r="E590" s="587"/>
      <c r="F590" s="67" t="s">
        <v>215</v>
      </c>
      <c r="G590" s="115">
        <v>0</v>
      </c>
      <c r="H590" s="89">
        <f>ROUNDUP(0+L590,0)</f>
        <v>0</v>
      </c>
      <c r="I590" s="95" t="str">
        <f t="shared" ref="I590:I591" si="125">IF(G590&gt;0,H590/G590*100,"-")</f>
        <v>-</v>
      </c>
      <c r="J590" s="115">
        <v>0</v>
      </c>
      <c r="K590" s="115">
        <v>0</v>
      </c>
      <c r="L590" s="76">
        <v>0</v>
      </c>
      <c r="M590" s="95" t="str">
        <f t="shared" ref="M590:M591" si="126">IF(K590&gt;0,L590/K590*100,"-")</f>
        <v>-</v>
      </c>
      <c r="N590" s="585"/>
    </row>
    <row r="591" spans="1:14" ht="11.1" customHeight="1" outlineLevel="1">
      <c r="A591" s="586"/>
      <c r="B591" s="65"/>
      <c r="C591" s="38"/>
      <c r="D591" s="587"/>
      <c r="E591" s="587"/>
      <c r="F591" s="67" t="s">
        <v>25</v>
      </c>
      <c r="G591" s="115">
        <v>0</v>
      </c>
      <c r="H591" s="89">
        <f>ROUNDUP(0+L591,0)</f>
        <v>0</v>
      </c>
      <c r="I591" s="95" t="str">
        <f t="shared" si="125"/>
        <v>-</v>
      </c>
      <c r="J591" s="115">
        <v>0</v>
      </c>
      <c r="K591" s="115">
        <v>0</v>
      </c>
      <c r="L591" s="76">
        <v>0</v>
      </c>
      <c r="M591" s="95" t="str">
        <f t="shared" si="126"/>
        <v>-</v>
      </c>
      <c r="N591" s="585"/>
    </row>
    <row r="592" spans="1:14" ht="3.95" customHeight="1" outlineLevel="1">
      <c r="A592" s="181"/>
      <c r="B592" s="149"/>
      <c r="C592" s="150"/>
      <c r="D592" s="151"/>
      <c r="E592" s="151"/>
      <c r="F592" s="149"/>
      <c r="G592" s="219"/>
      <c r="H592" s="219"/>
      <c r="I592" s="220"/>
      <c r="J592" s="219"/>
      <c r="K592" s="219"/>
      <c r="L592" s="221"/>
      <c r="M592" s="222"/>
      <c r="N592" s="237"/>
    </row>
    <row r="593" spans="1:14" ht="3.95" customHeight="1" outlineLevel="1">
      <c r="A593" s="180"/>
      <c r="B593" s="141"/>
      <c r="C593" s="142"/>
      <c r="D593" s="143"/>
      <c r="E593" s="143"/>
      <c r="F593" s="141"/>
      <c r="G593" s="223"/>
      <c r="H593" s="223"/>
      <c r="I593" s="94"/>
      <c r="J593" s="223"/>
      <c r="K593" s="223"/>
      <c r="L593" s="224"/>
      <c r="M593" s="225"/>
      <c r="N593" s="238"/>
    </row>
    <row r="594" spans="1:14" ht="11.1" customHeight="1" outlineLevel="1">
      <c r="A594" s="586" t="s">
        <v>262</v>
      </c>
      <c r="B594" s="145" t="s">
        <v>32</v>
      </c>
      <c r="C594" s="148" t="s">
        <v>334</v>
      </c>
      <c r="D594" s="587" t="s">
        <v>93</v>
      </c>
      <c r="E594" s="587" t="s">
        <v>117</v>
      </c>
      <c r="F594" s="176" t="s">
        <v>33</v>
      </c>
      <c r="G594" s="217">
        <f>SUM(G595:G597)</f>
        <v>578877</v>
      </c>
      <c r="H594" s="217">
        <f>SUM(H595:H597)</f>
        <v>577523</v>
      </c>
      <c r="I594" s="226">
        <f>IF(G594&gt;0,H594/G594*100,"-")</f>
        <v>99.766098843104842</v>
      </c>
      <c r="J594" s="217">
        <f>SUM(J595:J597)</f>
        <v>768000</v>
      </c>
      <c r="K594" s="217">
        <f>SUM(K595:K597)</f>
        <v>507801</v>
      </c>
      <c r="L594" s="227">
        <f>SUM(L595:L597)</f>
        <v>506446.11</v>
      </c>
      <c r="M594" s="228">
        <f>IF(K594&gt;0,L594/K594*100,"-")</f>
        <v>99.733184849970755</v>
      </c>
      <c r="N594" s="618" t="s">
        <v>384</v>
      </c>
    </row>
    <row r="595" spans="1:14" ht="11.1" customHeight="1" outlineLevel="1">
      <c r="A595" s="586"/>
      <c r="B595" s="145" t="s">
        <v>26</v>
      </c>
      <c r="C595" s="147" t="s">
        <v>55</v>
      </c>
      <c r="D595" s="587"/>
      <c r="E595" s="587"/>
      <c r="F595" s="67" t="s">
        <v>21</v>
      </c>
      <c r="G595" s="115">
        <v>578877</v>
      </c>
      <c r="H595" s="115">
        <f>ROUNDUP(71076+L595,0)</f>
        <v>577523</v>
      </c>
      <c r="I595" s="95">
        <f>IF(G595&gt;0,H595/G595*100,"-")</f>
        <v>99.766098843104842</v>
      </c>
      <c r="J595" s="115">
        <v>768000</v>
      </c>
      <c r="K595" s="115">
        <v>507801</v>
      </c>
      <c r="L595" s="70">
        <v>506446.11</v>
      </c>
      <c r="M595" s="95">
        <f>IF(K595&gt;0,L595/K595*100,"-")</f>
        <v>99.733184849970755</v>
      </c>
      <c r="N595" s="618"/>
    </row>
    <row r="596" spans="1:14" ht="11.1" customHeight="1" outlineLevel="1">
      <c r="A596" s="586"/>
      <c r="B596" s="65"/>
      <c r="C596" s="38"/>
      <c r="D596" s="587"/>
      <c r="E596" s="587"/>
      <c r="F596" s="67" t="s">
        <v>215</v>
      </c>
      <c r="G596" s="115">
        <v>0</v>
      </c>
      <c r="H596" s="89">
        <f>ROUNDUP(0+L596,0)</f>
        <v>0</v>
      </c>
      <c r="I596" s="95" t="str">
        <f t="shared" ref="I596:I597" si="127">IF(G596&gt;0,H596/G596*100,"-")</f>
        <v>-</v>
      </c>
      <c r="J596" s="115">
        <v>0</v>
      </c>
      <c r="K596" s="115">
        <v>0</v>
      </c>
      <c r="L596" s="76">
        <v>0</v>
      </c>
      <c r="M596" s="95" t="str">
        <f t="shared" ref="M596:M597" si="128">IF(K596&gt;0,L596/K596*100,"-")</f>
        <v>-</v>
      </c>
      <c r="N596" s="618"/>
    </row>
    <row r="597" spans="1:14" ht="11.1" customHeight="1" outlineLevel="1">
      <c r="A597" s="586"/>
      <c r="B597" s="65"/>
      <c r="C597" s="38"/>
      <c r="D597" s="587"/>
      <c r="E597" s="587"/>
      <c r="F597" s="67" t="s">
        <v>25</v>
      </c>
      <c r="G597" s="115">
        <v>0</v>
      </c>
      <c r="H597" s="89">
        <f>ROUNDUP(0+L597,0)</f>
        <v>0</v>
      </c>
      <c r="I597" s="95" t="str">
        <f t="shared" si="127"/>
        <v>-</v>
      </c>
      <c r="J597" s="115">
        <v>0</v>
      </c>
      <c r="K597" s="115">
        <v>0</v>
      </c>
      <c r="L597" s="76">
        <v>0</v>
      </c>
      <c r="M597" s="95" t="str">
        <f t="shared" si="128"/>
        <v>-</v>
      </c>
      <c r="N597" s="618"/>
    </row>
    <row r="598" spans="1:14" ht="18.75" customHeight="1" outlineLevel="1">
      <c r="A598" s="230"/>
      <c r="B598" s="239"/>
      <c r="C598" s="240"/>
      <c r="D598" s="231"/>
      <c r="E598" s="231"/>
      <c r="F598" s="241"/>
      <c r="G598" s="115"/>
      <c r="H598" s="89"/>
      <c r="I598" s="95"/>
      <c r="J598" s="115"/>
      <c r="K598" s="115"/>
      <c r="L598" s="70"/>
      <c r="M598" s="95"/>
      <c r="N598" s="618"/>
    </row>
    <row r="599" spans="1:14" ht="3.95" customHeight="1" outlineLevel="1">
      <c r="A599" s="181"/>
      <c r="B599" s="149"/>
      <c r="C599" s="150"/>
      <c r="D599" s="151"/>
      <c r="E599" s="151"/>
      <c r="F599" s="149"/>
      <c r="G599" s="219"/>
      <c r="H599" s="219"/>
      <c r="I599" s="220"/>
      <c r="J599" s="219"/>
      <c r="K599" s="219"/>
      <c r="L599" s="221"/>
      <c r="M599" s="222"/>
      <c r="N599" s="237"/>
    </row>
    <row r="600" spans="1:14" ht="3.95" customHeight="1" outlineLevel="1">
      <c r="A600" s="180"/>
      <c r="B600" s="141"/>
      <c r="C600" s="142"/>
      <c r="D600" s="143"/>
      <c r="E600" s="143"/>
      <c r="F600" s="141"/>
      <c r="G600" s="223"/>
      <c r="H600" s="223"/>
      <c r="I600" s="94"/>
      <c r="J600" s="223"/>
      <c r="K600" s="223"/>
      <c r="L600" s="224"/>
      <c r="M600" s="225"/>
      <c r="N600" s="238"/>
    </row>
    <row r="601" spans="1:14" ht="11.1" customHeight="1" outlineLevel="1">
      <c r="A601" s="586" t="s">
        <v>264</v>
      </c>
      <c r="B601" s="65" t="s">
        <v>32</v>
      </c>
      <c r="C601" s="69" t="s">
        <v>132</v>
      </c>
      <c r="D601" s="587" t="s">
        <v>238</v>
      </c>
      <c r="E601" s="587" t="s">
        <v>117</v>
      </c>
      <c r="F601" s="176" t="s">
        <v>33</v>
      </c>
      <c r="G601" s="217">
        <f>SUM(G602:G604)</f>
        <v>3352378</v>
      </c>
      <c r="H601" s="217">
        <f>SUM(H602:H604)</f>
        <v>214576</v>
      </c>
      <c r="I601" s="226">
        <f>IF(G601&gt;0,H601/G601*100,"-")</f>
        <v>6.4007101824436266</v>
      </c>
      <c r="J601" s="217">
        <f>SUM(J602:J604)</f>
        <v>47800</v>
      </c>
      <c r="K601" s="217">
        <f>SUM(K602:K604)</f>
        <v>114689</v>
      </c>
      <c r="L601" s="227">
        <f>SUM(L602:L604)</f>
        <v>1086.32</v>
      </c>
      <c r="M601" s="228">
        <f>IF(K601&gt;0,L601/K601*100,"-")</f>
        <v>0.94718761171516019</v>
      </c>
      <c r="N601" s="585" t="s">
        <v>385</v>
      </c>
    </row>
    <row r="602" spans="1:14" ht="11.1" customHeight="1" outlineLevel="1">
      <c r="A602" s="586"/>
      <c r="B602" s="65"/>
      <c r="C602" s="38" t="s">
        <v>133</v>
      </c>
      <c r="D602" s="587"/>
      <c r="E602" s="587"/>
      <c r="F602" s="67" t="s">
        <v>21</v>
      </c>
      <c r="G602" s="115">
        <v>3352378</v>
      </c>
      <c r="H602" s="115">
        <f>ROUNDUP(213489+L602,0)</f>
        <v>214576</v>
      </c>
      <c r="I602" s="95">
        <f>IF(G602&gt;0,H602/G602*100,"-")</f>
        <v>6.4007101824436266</v>
      </c>
      <c r="J602" s="115">
        <v>47800</v>
      </c>
      <c r="K602" s="115">
        <v>114689</v>
      </c>
      <c r="L602" s="70">
        <v>1086.32</v>
      </c>
      <c r="M602" s="95">
        <f>IF(K602&gt;0,L602/K602*100,"-")</f>
        <v>0.94718761171516019</v>
      </c>
      <c r="N602" s="585"/>
    </row>
    <row r="603" spans="1:14" ht="11.1" customHeight="1" outlineLevel="1">
      <c r="A603" s="586"/>
      <c r="B603" s="65" t="s">
        <v>26</v>
      </c>
      <c r="C603" s="38" t="s">
        <v>55</v>
      </c>
      <c r="D603" s="587"/>
      <c r="E603" s="587"/>
      <c r="F603" s="67" t="s">
        <v>215</v>
      </c>
      <c r="G603" s="115">
        <v>0</v>
      </c>
      <c r="H603" s="89">
        <f>ROUNDUP(0+L603,0)</f>
        <v>0</v>
      </c>
      <c r="I603" s="95" t="str">
        <f t="shared" ref="I603:I604" si="129">IF(G603&gt;0,H603/G603*100,"-")</f>
        <v>-</v>
      </c>
      <c r="J603" s="115">
        <v>0</v>
      </c>
      <c r="K603" s="115">
        <v>0</v>
      </c>
      <c r="L603" s="76">
        <v>0</v>
      </c>
      <c r="M603" s="95" t="str">
        <f t="shared" ref="M603:M604" si="130">IF(K603&gt;0,L603/K603*100,"-")</f>
        <v>-</v>
      </c>
      <c r="N603" s="585"/>
    </row>
    <row r="604" spans="1:14" ht="11.1" customHeight="1" outlineLevel="1">
      <c r="A604" s="586"/>
      <c r="B604" s="65"/>
      <c r="C604" s="38"/>
      <c r="D604" s="587"/>
      <c r="E604" s="587"/>
      <c r="F604" s="67" t="s">
        <v>25</v>
      </c>
      <c r="G604" s="115">
        <v>0</v>
      </c>
      <c r="H604" s="89">
        <f>ROUNDUP(0+L604,0)</f>
        <v>0</v>
      </c>
      <c r="I604" s="95" t="str">
        <f t="shared" si="129"/>
        <v>-</v>
      </c>
      <c r="J604" s="115">
        <v>0</v>
      </c>
      <c r="K604" s="115">
        <v>0</v>
      </c>
      <c r="L604" s="76">
        <v>0</v>
      </c>
      <c r="M604" s="95" t="str">
        <f t="shared" si="130"/>
        <v>-</v>
      </c>
      <c r="N604" s="585"/>
    </row>
    <row r="605" spans="1:14" ht="3.95" customHeight="1" outlineLevel="1">
      <c r="A605" s="181"/>
      <c r="B605" s="149"/>
      <c r="C605" s="150"/>
      <c r="D605" s="151"/>
      <c r="E605" s="151"/>
      <c r="F605" s="149"/>
      <c r="G605" s="219"/>
      <c r="H605" s="219"/>
      <c r="I605" s="220"/>
      <c r="J605" s="219"/>
      <c r="K605" s="219"/>
      <c r="L605" s="221"/>
      <c r="M605" s="222"/>
      <c r="N605" s="237"/>
    </row>
    <row r="606" spans="1:14" ht="3.95" customHeight="1" outlineLevel="1">
      <c r="A606" s="180"/>
      <c r="B606" s="141"/>
      <c r="C606" s="142"/>
      <c r="D606" s="143"/>
      <c r="E606" s="143"/>
      <c r="F606" s="141"/>
      <c r="G606" s="223"/>
      <c r="H606" s="223"/>
      <c r="I606" s="94"/>
      <c r="J606" s="223"/>
      <c r="K606" s="223"/>
      <c r="L606" s="224"/>
      <c r="M606" s="225"/>
      <c r="N606" s="238"/>
    </row>
    <row r="607" spans="1:14" ht="11.1" customHeight="1" outlineLevel="1">
      <c r="A607" s="586" t="s">
        <v>265</v>
      </c>
      <c r="B607" s="145" t="s">
        <v>32</v>
      </c>
      <c r="C607" s="148" t="s">
        <v>208</v>
      </c>
      <c r="D607" s="587" t="s">
        <v>108</v>
      </c>
      <c r="E607" s="587" t="s">
        <v>117</v>
      </c>
      <c r="F607" s="176" t="s">
        <v>33</v>
      </c>
      <c r="G607" s="217">
        <f>SUM(G608:G610)</f>
        <v>5397821</v>
      </c>
      <c r="H607" s="217">
        <f>SUM(H608:H610)</f>
        <v>4786376</v>
      </c>
      <c r="I607" s="226">
        <f>IF(G607&gt;0,H607/G607*100,"-")</f>
        <v>88.672373537395927</v>
      </c>
      <c r="J607" s="217">
        <f>SUM(J608:J610)</f>
        <v>5382000</v>
      </c>
      <c r="K607" s="217">
        <f>SUM(K608:K610)</f>
        <v>5169300</v>
      </c>
      <c r="L607" s="227">
        <f>SUM(L608:L610)</f>
        <v>4557854.3599999994</v>
      </c>
      <c r="M607" s="228">
        <f>IF(K607&gt;0,L607/K607*100,"-")</f>
        <v>88.171596928017323</v>
      </c>
      <c r="N607" s="618" t="s">
        <v>386</v>
      </c>
    </row>
    <row r="608" spans="1:14" ht="11.1" customHeight="1" outlineLevel="1">
      <c r="A608" s="586"/>
      <c r="B608" s="145" t="s">
        <v>26</v>
      </c>
      <c r="C608" s="147" t="s">
        <v>55</v>
      </c>
      <c r="D608" s="587"/>
      <c r="E608" s="587"/>
      <c r="F608" s="67" t="s">
        <v>21</v>
      </c>
      <c r="G608" s="115">
        <v>5397821</v>
      </c>
      <c r="H608" s="115">
        <f>ROUNDUP(228521+L608,0)</f>
        <v>3356532</v>
      </c>
      <c r="I608" s="95">
        <f>IF(G608&gt;0,H608/G608*100,"-")</f>
        <v>62.183092029172514</v>
      </c>
      <c r="J608" s="115">
        <v>807300</v>
      </c>
      <c r="K608" s="115">
        <v>3739456</v>
      </c>
      <c r="L608" s="70">
        <v>3128010.36</v>
      </c>
      <c r="M608" s="95">
        <f>IF(K608&gt;0,L608/K608*100,"-")</f>
        <v>83.648807741019013</v>
      </c>
      <c r="N608" s="618"/>
    </row>
    <row r="609" spans="1:14" ht="11.1" customHeight="1" outlineLevel="1">
      <c r="A609" s="586"/>
      <c r="B609" s="145"/>
      <c r="C609" s="147"/>
      <c r="D609" s="587"/>
      <c r="E609" s="587"/>
      <c r="F609" s="67" t="s">
        <v>215</v>
      </c>
      <c r="G609" s="115">
        <v>0</v>
      </c>
      <c r="H609" s="89">
        <f>ROUNDUP(0+L609,0)</f>
        <v>1429844</v>
      </c>
      <c r="I609" s="95" t="str">
        <f t="shared" ref="I609:I610" si="131">IF(G609&gt;0,H609/G609*100,"-")</f>
        <v>-</v>
      </c>
      <c r="J609" s="115">
        <v>0</v>
      </c>
      <c r="K609" s="115">
        <v>1429844</v>
      </c>
      <c r="L609" s="76">
        <v>1429844</v>
      </c>
      <c r="M609" s="95">
        <f t="shared" ref="M609:M610" si="132">IF(K609&gt;0,L609/K609*100,"-")</f>
        <v>100</v>
      </c>
      <c r="N609" s="618"/>
    </row>
    <row r="610" spans="1:14" ht="11.1" customHeight="1" outlineLevel="1">
      <c r="A610" s="586"/>
      <c r="B610" s="65"/>
      <c r="C610" s="38"/>
      <c r="D610" s="587"/>
      <c r="E610" s="587"/>
      <c r="F610" s="67" t="s">
        <v>25</v>
      </c>
      <c r="G610" s="115">
        <v>0</v>
      </c>
      <c r="H610" s="89">
        <f>ROUNDUP(0+L610,0)</f>
        <v>0</v>
      </c>
      <c r="I610" s="95" t="str">
        <f t="shared" si="131"/>
        <v>-</v>
      </c>
      <c r="J610" s="115">
        <v>4574700</v>
      </c>
      <c r="K610" s="115">
        <v>0</v>
      </c>
      <c r="L610" s="76">
        <v>0</v>
      </c>
      <c r="M610" s="95" t="str">
        <f t="shared" si="132"/>
        <v>-</v>
      </c>
      <c r="N610" s="618"/>
    </row>
    <row r="611" spans="1:14" ht="11.1" customHeight="1" outlineLevel="1">
      <c r="A611" s="230"/>
      <c r="B611" s="239"/>
      <c r="C611" s="240"/>
      <c r="D611" s="231"/>
      <c r="E611" s="231"/>
      <c r="F611" s="241"/>
      <c r="G611" s="115"/>
      <c r="H611" s="89"/>
      <c r="I611" s="95"/>
      <c r="J611" s="115"/>
      <c r="K611" s="115"/>
      <c r="L611" s="70"/>
      <c r="M611" s="95"/>
      <c r="N611" s="618"/>
    </row>
    <row r="612" spans="1:14" ht="3.95" customHeight="1" outlineLevel="1">
      <c r="A612" s="181"/>
      <c r="B612" s="149"/>
      <c r="C612" s="150"/>
      <c r="D612" s="151"/>
      <c r="E612" s="151"/>
      <c r="F612" s="149"/>
      <c r="G612" s="114"/>
      <c r="H612" s="114"/>
      <c r="I612" s="93"/>
      <c r="J612" s="114"/>
      <c r="K612" s="114"/>
      <c r="L612" s="179"/>
      <c r="M612" s="152"/>
      <c r="N612" s="237"/>
    </row>
    <row r="613" spans="1:14" ht="3.95" customHeight="1">
      <c r="A613" s="132"/>
      <c r="B613" s="133"/>
      <c r="C613" s="134"/>
      <c r="D613" s="132"/>
      <c r="E613" s="132"/>
      <c r="F613" s="133"/>
      <c r="G613" s="135"/>
      <c r="H613" s="135"/>
      <c r="I613" s="133"/>
      <c r="J613" s="135"/>
      <c r="K613" s="137"/>
      <c r="L613" s="136"/>
      <c r="M613" s="138"/>
      <c r="N613" s="195"/>
    </row>
    <row r="614" spans="1:14" ht="11.25" customHeight="1">
      <c r="A614" s="27" t="s">
        <v>43</v>
      </c>
      <c r="B614" s="588" t="s">
        <v>86</v>
      </c>
      <c r="C614" s="589"/>
      <c r="D614" s="28"/>
      <c r="E614" s="28"/>
      <c r="F614" s="29"/>
      <c r="G614" s="105">
        <f>SUM(G615:G617)</f>
        <v>8062259</v>
      </c>
      <c r="H614" s="105">
        <f>SUM(H615:H617)</f>
        <v>8061189</v>
      </c>
      <c r="I614" s="31">
        <f>IF(G614&gt;0,H614/G614*100,"-")</f>
        <v>99.986728285459449</v>
      </c>
      <c r="J614" s="126">
        <f>SUM(J615:J617)</f>
        <v>6773965</v>
      </c>
      <c r="K614" s="105">
        <f>SUM(K615:K617)</f>
        <v>6967933</v>
      </c>
      <c r="L614" s="30">
        <f>SUM(L615:L617)</f>
        <v>6966861.6799999997</v>
      </c>
      <c r="M614" s="31">
        <f>IF(K614&gt;0,L614/K614*100,"-")</f>
        <v>99.984624995676626</v>
      </c>
      <c r="N614" s="187"/>
    </row>
    <row r="615" spans="1:14" ht="11.25" customHeight="1">
      <c r="A615" s="29"/>
      <c r="B615" s="32"/>
      <c r="C615" s="173"/>
      <c r="D615" s="28"/>
      <c r="E615" s="28"/>
      <c r="F615" s="33" t="s">
        <v>21</v>
      </c>
      <c r="G615" s="106">
        <f t="shared" ref="G615:H617" si="133">G621+G628</f>
        <v>8062259</v>
      </c>
      <c r="H615" s="106">
        <f t="shared" si="133"/>
        <v>8061189</v>
      </c>
      <c r="I615" s="35">
        <f>IF(G615&gt;0,H615/G615*100,"-")</f>
        <v>99.986728285459449</v>
      </c>
      <c r="J615" s="106">
        <f t="shared" ref="J615:L617" si="134">J621+J628</f>
        <v>6773965</v>
      </c>
      <c r="K615" s="106">
        <f t="shared" si="134"/>
        <v>6967933</v>
      </c>
      <c r="L615" s="34">
        <f t="shared" si="134"/>
        <v>6966861.6799999997</v>
      </c>
      <c r="M615" s="35">
        <f>IF(K615&gt;0,L615/K615*100,"-")</f>
        <v>99.984624995676626</v>
      </c>
      <c r="N615" s="187"/>
    </row>
    <row r="616" spans="1:14" ht="11.25" customHeight="1">
      <c r="A616" s="29"/>
      <c r="B616" s="32"/>
      <c r="C616" s="173"/>
      <c r="D616" s="28"/>
      <c r="E616" s="28"/>
      <c r="F616" s="33" t="s">
        <v>215</v>
      </c>
      <c r="G616" s="106">
        <f t="shared" si="133"/>
        <v>0</v>
      </c>
      <c r="H616" s="106">
        <f t="shared" si="133"/>
        <v>0</v>
      </c>
      <c r="I616" s="35" t="str">
        <f t="shared" ref="I616:I617" si="135">IF(G616&gt;0,H616/G616*100,"-")</f>
        <v>-</v>
      </c>
      <c r="J616" s="106">
        <f t="shared" si="134"/>
        <v>0</v>
      </c>
      <c r="K616" s="106">
        <f t="shared" si="134"/>
        <v>0</v>
      </c>
      <c r="L616" s="34">
        <f t="shared" si="134"/>
        <v>0</v>
      </c>
      <c r="M616" s="35" t="str">
        <f t="shared" ref="M616:M617" si="136">IF(K616&gt;0,L616/K616*100,"-")</f>
        <v>-</v>
      </c>
      <c r="N616" s="187"/>
    </row>
    <row r="617" spans="1:14" ht="11.25" customHeight="1">
      <c r="A617" s="29"/>
      <c r="B617" s="32"/>
      <c r="C617" s="173"/>
      <c r="D617" s="28"/>
      <c r="E617" s="28"/>
      <c r="F617" s="33" t="s">
        <v>25</v>
      </c>
      <c r="G617" s="106">
        <f t="shared" si="133"/>
        <v>0</v>
      </c>
      <c r="H617" s="106">
        <f t="shared" si="133"/>
        <v>0</v>
      </c>
      <c r="I617" s="35" t="str">
        <f t="shared" si="135"/>
        <v>-</v>
      </c>
      <c r="J617" s="106">
        <f t="shared" si="134"/>
        <v>0</v>
      </c>
      <c r="K617" s="106">
        <f t="shared" si="134"/>
        <v>0</v>
      </c>
      <c r="L617" s="34">
        <f t="shared" si="134"/>
        <v>0</v>
      </c>
      <c r="M617" s="35" t="str">
        <f t="shared" si="136"/>
        <v>-</v>
      </c>
      <c r="N617" s="187"/>
    </row>
    <row r="618" spans="1:14" ht="3.95" customHeight="1">
      <c r="A618" s="55"/>
      <c r="B618" s="56"/>
      <c r="C618" s="174"/>
      <c r="D618" s="57"/>
      <c r="E618" s="57"/>
      <c r="F618" s="55"/>
      <c r="G618" s="107"/>
      <c r="H618" s="107"/>
      <c r="I618" s="59"/>
      <c r="J618" s="107"/>
      <c r="K618" s="107"/>
      <c r="L618" s="58"/>
      <c r="M618" s="59"/>
      <c r="N618" s="188"/>
    </row>
    <row r="619" spans="1:14" ht="3.95" customHeight="1" outlineLevel="1">
      <c r="A619" s="92"/>
      <c r="B619" s="61"/>
      <c r="C619" s="62"/>
      <c r="D619" s="60"/>
      <c r="E619" s="60"/>
      <c r="F619" s="61"/>
      <c r="G619" s="108"/>
      <c r="H619" s="108"/>
      <c r="I619" s="64"/>
      <c r="J619" s="108"/>
      <c r="K619" s="113"/>
      <c r="L619" s="63"/>
      <c r="M619" s="64"/>
      <c r="N619" s="166"/>
    </row>
    <row r="620" spans="1:14" ht="11.1" customHeight="1" outlineLevel="1">
      <c r="A620" s="582" t="s">
        <v>266</v>
      </c>
      <c r="B620" s="65" t="s">
        <v>32</v>
      </c>
      <c r="C620" s="69" t="s">
        <v>87</v>
      </c>
      <c r="D620" s="590" t="s">
        <v>101</v>
      </c>
      <c r="E620" s="583" t="s">
        <v>134</v>
      </c>
      <c r="F620" s="66" t="s">
        <v>33</v>
      </c>
      <c r="G620" s="109">
        <f>SUM(G621:G623)</f>
        <v>3918821</v>
      </c>
      <c r="H620" s="109">
        <f>SUM(H621:H623)</f>
        <v>3918297</v>
      </c>
      <c r="I620" s="37">
        <f>IF(G620&gt;0,H620/G620*100,"-")</f>
        <v>99.98662863141746</v>
      </c>
      <c r="J620" s="109">
        <f>SUM(J621:J623)</f>
        <v>3823109</v>
      </c>
      <c r="K620" s="109">
        <f>SUM(K621:K623)</f>
        <v>3823109</v>
      </c>
      <c r="L620" s="36">
        <f>SUM(L621:L623)</f>
        <v>3822584.08</v>
      </c>
      <c r="M620" s="37">
        <f>IF(K620&gt;0,L620/K620*100,"-")</f>
        <v>99.986269813390095</v>
      </c>
      <c r="N620" s="584" t="s">
        <v>387</v>
      </c>
    </row>
    <row r="621" spans="1:14" ht="11.1" customHeight="1" outlineLevel="1">
      <c r="A621" s="582"/>
      <c r="B621" s="65" t="s">
        <v>26</v>
      </c>
      <c r="C621" s="38" t="s">
        <v>88</v>
      </c>
      <c r="D621" s="583"/>
      <c r="E621" s="583"/>
      <c r="F621" s="67" t="s">
        <v>21</v>
      </c>
      <c r="G621" s="89">
        <v>3918821</v>
      </c>
      <c r="H621" s="115">
        <f>ROUNDUP(95712+L621,0)</f>
        <v>3918297</v>
      </c>
      <c r="I621" s="68">
        <f>IF(G621&gt;0,H621/G621*100,"-")</f>
        <v>99.98662863141746</v>
      </c>
      <c r="J621" s="89">
        <v>3823109</v>
      </c>
      <c r="K621" s="89">
        <v>3823109</v>
      </c>
      <c r="L621" s="70">
        <v>3822584.08</v>
      </c>
      <c r="M621" s="68">
        <f>IF(K621&gt;0,L621/K621*100,"-")</f>
        <v>99.986269813390095</v>
      </c>
      <c r="N621" s="584"/>
    </row>
    <row r="622" spans="1:14" ht="11.1" customHeight="1" outlineLevel="1">
      <c r="A622" s="582"/>
      <c r="B622" s="65"/>
      <c r="C622" s="38"/>
      <c r="D622" s="583"/>
      <c r="E622" s="583"/>
      <c r="F622" s="67" t="s">
        <v>215</v>
      </c>
      <c r="G622" s="89">
        <v>0</v>
      </c>
      <c r="H622" s="89">
        <f>ROUNDUP(0+L622,0)</f>
        <v>0</v>
      </c>
      <c r="I622" s="68" t="str">
        <f t="shared" ref="I622:I623" si="137">IF(G622&gt;0,H622/G622*100,"-")</f>
        <v>-</v>
      </c>
      <c r="J622" s="89">
        <v>0</v>
      </c>
      <c r="K622" s="89">
        <v>0</v>
      </c>
      <c r="L622" s="76">
        <v>0</v>
      </c>
      <c r="M622" s="68" t="str">
        <f t="shared" ref="M622:M623" si="138">IF(K622&gt;0,L622/K622*100,"-")</f>
        <v>-</v>
      </c>
      <c r="N622" s="584"/>
    </row>
    <row r="623" spans="1:14" ht="11.1" customHeight="1" outlineLevel="1">
      <c r="A623" s="582"/>
      <c r="B623" s="65"/>
      <c r="C623" s="38"/>
      <c r="D623" s="583"/>
      <c r="E623" s="583"/>
      <c r="F623" s="67" t="s">
        <v>25</v>
      </c>
      <c r="G623" s="89">
        <v>0</v>
      </c>
      <c r="H623" s="89">
        <f>ROUNDUP(0+L623,0)</f>
        <v>0</v>
      </c>
      <c r="I623" s="68" t="str">
        <f t="shared" si="137"/>
        <v>-</v>
      </c>
      <c r="J623" s="89">
        <v>0</v>
      </c>
      <c r="K623" s="89">
        <v>0</v>
      </c>
      <c r="L623" s="76">
        <v>0</v>
      </c>
      <c r="M623" s="68" t="str">
        <f t="shared" si="138"/>
        <v>-</v>
      </c>
      <c r="N623" s="584"/>
    </row>
    <row r="624" spans="1:14" ht="28.5" customHeight="1" outlineLevel="1">
      <c r="A624" s="232"/>
      <c r="B624" s="65"/>
      <c r="C624" s="38"/>
      <c r="D624" s="233"/>
      <c r="E624" s="233"/>
      <c r="F624" s="87"/>
      <c r="G624" s="112"/>
      <c r="H624" s="112"/>
      <c r="I624" s="88"/>
      <c r="J624" s="112"/>
      <c r="K624" s="89"/>
      <c r="L624" s="76"/>
      <c r="M624" s="68"/>
      <c r="N624" s="584"/>
    </row>
    <row r="625" spans="1:14" ht="3.95" customHeight="1" outlineLevel="1">
      <c r="A625" s="93"/>
      <c r="B625" s="72"/>
      <c r="C625" s="73"/>
      <c r="D625" s="71"/>
      <c r="E625" s="71"/>
      <c r="F625" s="72"/>
      <c r="G625" s="110"/>
      <c r="H625" s="110"/>
      <c r="I625" s="72"/>
      <c r="J625" s="110"/>
      <c r="K625" s="114"/>
      <c r="L625" s="74"/>
      <c r="M625" s="75"/>
      <c r="N625" s="122"/>
    </row>
    <row r="626" spans="1:14" ht="3.95" customHeight="1" outlineLevel="1">
      <c r="A626" s="92"/>
      <c r="B626" s="61"/>
      <c r="C626" s="62"/>
      <c r="D626" s="60"/>
      <c r="E626" s="60"/>
      <c r="F626" s="61"/>
      <c r="G626" s="108"/>
      <c r="H626" s="108"/>
      <c r="I626" s="64"/>
      <c r="J626" s="108"/>
      <c r="K626" s="113"/>
      <c r="L626" s="63"/>
      <c r="M626" s="64"/>
      <c r="N626" s="166"/>
    </row>
    <row r="627" spans="1:14" ht="11.1" customHeight="1" outlineLevel="1">
      <c r="A627" s="582" t="s">
        <v>267</v>
      </c>
      <c r="B627" s="65" t="s">
        <v>32</v>
      </c>
      <c r="C627" s="69" t="s">
        <v>305</v>
      </c>
      <c r="D627" s="590" t="s">
        <v>101</v>
      </c>
      <c r="E627" s="583" t="s">
        <v>175</v>
      </c>
      <c r="F627" s="66" t="s">
        <v>33</v>
      </c>
      <c r="G627" s="109">
        <f>SUM(G628:G630)</f>
        <v>4143438</v>
      </c>
      <c r="H627" s="109">
        <f>SUM(H628:H630)</f>
        <v>4142892</v>
      </c>
      <c r="I627" s="37">
        <f>IF(G627&gt;0,H627/G627*100,"-")</f>
        <v>99.986822537226331</v>
      </c>
      <c r="J627" s="109">
        <f>SUM(J628:J630)</f>
        <v>2950856</v>
      </c>
      <c r="K627" s="109">
        <f>SUM(K628:K630)</f>
        <v>3144824</v>
      </c>
      <c r="L627" s="36">
        <f>SUM(L628:L630)</f>
        <v>3144277.6</v>
      </c>
      <c r="M627" s="37">
        <f>IF(K627&gt;0,L627/K627*100,"-")</f>
        <v>99.982625418783371</v>
      </c>
      <c r="N627" s="584" t="s">
        <v>410</v>
      </c>
    </row>
    <row r="628" spans="1:14" ht="11.1" customHeight="1" outlineLevel="1">
      <c r="A628" s="582"/>
      <c r="B628" s="65"/>
      <c r="C628" s="229" t="s">
        <v>306</v>
      </c>
      <c r="D628" s="583"/>
      <c r="E628" s="583"/>
      <c r="F628" s="67" t="s">
        <v>21</v>
      </c>
      <c r="G628" s="89">
        <v>4143438</v>
      </c>
      <c r="H628" s="89">
        <f>ROUNDUP(998614+L628,0)</f>
        <v>4142892</v>
      </c>
      <c r="I628" s="68">
        <f>IF(G628&gt;0,H628/G628*100,"-")</f>
        <v>99.986822537226331</v>
      </c>
      <c r="J628" s="89">
        <v>2950856</v>
      </c>
      <c r="K628" s="89">
        <v>3144824</v>
      </c>
      <c r="L628" s="70">
        <f>3049277.6+95000</f>
        <v>3144277.6</v>
      </c>
      <c r="M628" s="68">
        <f>IF(K628&gt;0,L628/K628*100,"-")</f>
        <v>99.982625418783371</v>
      </c>
      <c r="N628" s="584"/>
    </row>
    <row r="629" spans="1:14" ht="11.1" customHeight="1" outlineLevel="1">
      <c r="A629" s="582"/>
      <c r="B629" s="65" t="s">
        <v>26</v>
      </c>
      <c r="C629" s="229" t="s">
        <v>174</v>
      </c>
      <c r="D629" s="583"/>
      <c r="E629" s="583"/>
      <c r="F629" s="67" t="s">
        <v>215</v>
      </c>
      <c r="G629" s="89">
        <v>0</v>
      </c>
      <c r="H629" s="89">
        <f>ROUNDUP(0+L629,0)</f>
        <v>0</v>
      </c>
      <c r="I629" s="68" t="str">
        <f t="shared" ref="I629:I630" si="139">IF(G629&gt;0,H629/G629*100,"-")</f>
        <v>-</v>
      </c>
      <c r="J629" s="89">
        <v>0</v>
      </c>
      <c r="K629" s="89">
        <v>0</v>
      </c>
      <c r="L629" s="76">
        <v>0</v>
      </c>
      <c r="M629" s="68" t="str">
        <f t="shared" ref="M629:M630" si="140">IF(K629&gt;0,L629/K629*100,"-")</f>
        <v>-</v>
      </c>
      <c r="N629" s="584"/>
    </row>
    <row r="630" spans="1:14" ht="11.1" customHeight="1" outlineLevel="1">
      <c r="A630" s="582"/>
      <c r="B630" s="65"/>
      <c r="C630" s="38"/>
      <c r="D630" s="583"/>
      <c r="E630" s="583"/>
      <c r="F630" s="67" t="s">
        <v>25</v>
      </c>
      <c r="G630" s="89">
        <v>0</v>
      </c>
      <c r="H630" s="89">
        <f>ROUNDUP(0+L630,0)</f>
        <v>0</v>
      </c>
      <c r="I630" s="68" t="str">
        <f t="shared" si="139"/>
        <v>-</v>
      </c>
      <c r="J630" s="89">
        <v>0</v>
      </c>
      <c r="K630" s="89">
        <v>0</v>
      </c>
      <c r="L630" s="76">
        <v>0</v>
      </c>
      <c r="M630" s="68" t="str">
        <f t="shared" si="140"/>
        <v>-</v>
      </c>
      <c r="N630" s="584"/>
    </row>
    <row r="631" spans="1:14" ht="46.5" customHeight="1" outlineLevel="1">
      <c r="A631" s="232"/>
      <c r="B631" s="65"/>
      <c r="C631" s="38"/>
      <c r="D631" s="233"/>
      <c r="E631" s="233"/>
      <c r="F631" s="87"/>
      <c r="G631" s="112"/>
      <c r="H631" s="112"/>
      <c r="I631" s="88"/>
      <c r="J631" s="112"/>
      <c r="K631" s="89"/>
      <c r="L631" s="76"/>
      <c r="M631" s="68"/>
      <c r="N631" s="584"/>
    </row>
    <row r="632" spans="1:14" ht="3.95" customHeight="1" outlineLevel="1">
      <c r="A632" s="93"/>
      <c r="B632" s="72"/>
      <c r="C632" s="73"/>
      <c r="D632" s="71"/>
      <c r="E632" s="71"/>
      <c r="F632" s="72"/>
      <c r="G632" s="110"/>
      <c r="H632" s="110"/>
      <c r="I632" s="72"/>
      <c r="J632" s="110"/>
      <c r="K632" s="114"/>
      <c r="L632" s="74"/>
      <c r="M632" s="75"/>
      <c r="N632" s="122"/>
    </row>
    <row r="633" spans="1:14" ht="3.95" customHeight="1">
      <c r="A633" s="128"/>
      <c r="B633" s="124"/>
      <c r="C633" s="127"/>
      <c r="D633" s="128"/>
      <c r="E633" s="128"/>
      <c r="F633" s="124"/>
      <c r="G633" s="129"/>
      <c r="H633" s="129"/>
      <c r="I633" s="124"/>
      <c r="J633" s="129"/>
      <c r="K633" s="125"/>
      <c r="L633" s="130"/>
      <c r="M633" s="131"/>
      <c r="N633" s="187"/>
    </row>
    <row r="634" spans="1:14" ht="11.25" customHeight="1">
      <c r="A634" s="27" t="s">
        <v>51</v>
      </c>
      <c r="B634" s="588" t="s">
        <v>78</v>
      </c>
      <c r="C634" s="589"/>
      <c r="D634" s="28"/>
      <c r="E634" s="28"/>
      <c r="F634" s="29"/>
      <c r="G634" s="105">
        <f>SUM(G635:G637)</f>
        <v>32729183</v>
      </c>
      <c r="H634" s="105">
        <f>SUM(H635:H637)</f>
        <v>28746065</v>
      </c>
      <c r="I634" s="31">
        <f>IF(G634&gt;0,H634/G634*100,"-")</f>
        <v>87.830072018601868</v>
      </c>
      <c r="J634" s="105">
        <f>SUM(J635:J637)</f>
        <v>3708000</v>
      </c>
      <c r="K634" s="105">
        <f>SUM(K635:K637)</f>
        <v>3188000</v>
      </c>
      <c r="L634" s="30">
        <f>SUM(L635:L637)</f>
        <v>2832881.04</v>
      </c>
      <c r="M634" s="31">
        <f>IF(K634&gt;0,L634/K634*100,"-")</f>
        <v>88.860760351317452</v>
      </c>
      <c r="N634" s="187"/>
    </row>
    <row r="635" spans="1:14" ht="11.25" customHeight="1">
      <c r="A635" s="29"/>
      <c r="B635" s="32"/>
      <c r="C635" s="173"/>
      <c r="D635" s="28"/>
      <c r="E635" s="28"/>
      <c r="F635" s="33" t="s">
        <v>21</v>
      </c>
      <c r="G635" s="106">
        <f t="shared" ref="G635:H637" si="141">G648+G641</f>
        <v>32729183</v>
      </c>
      <c r="H635" s="106">
        <f t="shared" si="141"/>
        <v>28746065</v>
      </c>
      <c r="I635" s="35">
        <f>IF(G635&gt;0,H635/G635*100,"-")</f>
        <v>87.830072018601868</v>
      </c>
      <c r="J635" s="106">
        <f t="shared" ref="J635:L637" si="142">J648+J641</f>
        <v>3708000</v>
      </c>
      <c r="K635" s="106">
        <f t="shared" si="142"/>
        <v>3188000</v>
      </c>
      <c r="L635" s="34">
        <f t="shared" si="142"/>
        <v>2832881.04</v>
      </c>
      <c r="M635" s="35">
        <f>IF(K635&gt;0,L635/K635*100,"-")</f>
        <v>88.860760351317452</v>
      </c>
      <c r="N635" s="187"/>
    </row>
    <row r="636" spans="1:14" ht="11.25" customHeight="1">
      <c r="A636" s="29"/>
      <c r="B636" s="32"/>
      <c r="C636" s="173"/>
      <c r="D636" s="28"/>
      <c r="E636" s="28"/>
      <c r="F636" s="33" t="s">
        <v>215</v>
      </c>
      <c r="G636" s="106">
        <f t="shared" si="141"/>
        <v>0</v>
      </c>
      <c r="H636" s="106">
        <f t="shared" si="141"/>
        <v>0</v>
      </c>
      <c r="I636" s="35" t="str">
        <f t="shared" ref="I636:I637" si="143">IF(G636&gt;0,H636/G636*100,"-")</f>
        <v>-</v>
      </c>
      <c r="J636" s="106">
        <f t="shared" si="142"/>
        <v>0</v>
      </c>
      <c r="K636" s="106">
        <f t="shared" si="142"/>
        <v>0</v>
      </c>
      <c r="L636" s="34">
        <f t="shared" si="142"/>
        <v>0</v>
      </c>
      <c r="M636" s="35" t="str">
        <f t="shared" ref="M636:M637" si="144">IF(K636&gt;0,L636/K636*100,"-")</f>
        <v>-</v>
      </c>
      <c r="N636" s="187"/>
    </row>
    <row r="637" spans="1:14" ht="11.25" customHeight="1">
      <c r="A637" s="29"/>
      <c r="B637" s="32"/>
      <c r="C637" s="173"/>
      <c r="D637" s="28"/>
      <c r="E637" s="28"/>
      <c r="F637" s="33" t="s">
        <v>25</v>
      </c>
      <c r="G637" s="106">
        <f t="shared" si="141"/>
        <v>0</v>
      </c>
      <c r="H637" s="106">
        <f t="shared" si="141"/>
        <v>0</v>
      </c>
      <c r="I637" s="35" t="str">
        <f t="shared" si="143"/>
        <v>-</v>
      </c>
      <c r="J637" s="106">
        <f t="shared" si="142"/>
        <v>0</v>
      </c>
      <c r="K637" s="106">
        <f t="shared" si="142"/>
        <v>0</v>
      </c>
      <c r="L637" s="34">
        <f t="shared" si="142"/>
        <v>0</v>
      </c>
      <c r="M637" s="35" t="str">
        <f t="shared" si="144"/>
        <v>-</v>
      </c>
      <c r="N637" s="187"/>
    </row>
    <row r="638" spans="1:14" ht="3.95" customHeight="1">
      <c r="A638" s="55"/>
      <c r="B638" s="56"/>
      <c r="C638" s="174"/>
      <c r="D638" s="57"/>
      <c r="E638" s="57"/>
      <c r="F638" s="55"/>
      <c r="G638" s="107"/>
      <c r="H638" s="107"/>
      <c r="I638" s="59"/>
      <c r="J638" s="107"/>
      <c r="K638" s="107"/>
      <c r="L638" s="58"/>
      <c r="M638" s="59"/>
      <c r="N638" s="188"/>
    </row>
    <row r="639" spans="1:14" ht="3.95" customHeight="1" outlineLevel="1">
      <c r="A639" s="92"/>
      <c r="B639" s="61"/>
      <c r="C639" s="62"/>
      <c r="D639" s="60"/>
      <c r="E639" s="60"/>
      <c r="F639" s="61"/>
      <c r="G639" s="108"/>
      <c r="H639" s="108"/>
      <c r="I639" s="64"/>
      <c r="J639" s="108"/>
      <c r="K639" s="113"/>
      <c r="L639" s="63"/>
      <c r="M639" s="64"/>
      <c r="N639" s="166"/>
    </row>
    <row r="640" spans="1:14" ht="11.1" customHeight="1" outlineLevel="1">
      <c r="A640" s="582" t="s">
        <v>268</v>
      </c>
      <c r="B640" s="65" t="s">
        <v>32</v>
      </c>
      <c r="C640" s="69" t="s">
        <v>79</v>
      </c>
      <c r="D640" s="583" t="s">
        <v>335</v>
      </c>
      <c r="E640" s="590" t="s">
        <v>80</v>
      </c>
      <c r="F640" s="66" t="s">
        <v>33</v>
      </c>
      <c r="G640" s="109">
        <f>SUM(G641:G643)</f>
        <v>24632607</v>
      </c>
      <c r="H640" s="109">
        <f>SUM(H641:H643)</f>
        <v>22653474</v>
      </c>
      <c r="I640" s="37">
        <f>IF(G640&gt;0,H640/G640*100,"-")</f>
        <v>91.965393675139623</v>
      </c>
      <c r="J640" s="109">
        <f>SUM(J641:J643)</f>
        <v>1708000</v>
      </c>
      <c r="K640" s="109">
        <f>SUM(K641:K643)</f>
        <v>1188000</v>
      </c>
      <c r="L640" s="36">
        <f>SUM(L641:L643)</f>
        <v>836866.04</v>
      </c>
      <c r="M640" s="37">
        <f>IF(K640&gt;0,L640/K640*100,"-")</f>
        <v>70.443269360269369</v>
      </c>
      <c r="N640" s="584" t="s">
        <v>411</v>
      </c>
    </row>
    <row r="641" spans="1:14" ht="11.1" customHeight="1" outlineLevel="1">
      <c r="A641" s="582"/>
      <c r="B641" s="65" t="s">
        <v>26</v>
      </c>
      <c r="C641" s="38" t="s">
        <v>145</v>
      </c>
      <c r="D641" s="583"/>
      <c r="E641" s="583"/>
      <c r="F641" s="67" t="s">
        <v>21</v>
      </c>
      <c r="G641" s="89">
        <v>24632607</v>
      </c>
      <c r="H641" s="89">
        <f>ROUNDUP(21816607+L641,0)</f>
        <v>22653474</v>
      </c>
      <c r="I641" s="68">
        <f>IF(G641&gt;0,H641/G641*100,"-")</f>
        <v>91.965393675139623</v>
      </c>
      <c r="J641" s="89">
        <v>1708000</v>
      </c>
      <c r="K641" s="89">
        <v>1188000</v>
      </c>
      <c r="L641" s="70">
        <v>836866.04</v>
      </c>
      <c r="M641" s="68">
        <f>IF(K641&gt;0,L641/K641*100,"-")</f>
        <v>70.443269360269369</v>
      </c>
      <c r="N641" s="584"/>
    </row>
    <row r="642" spans="1:14" ht="11.1" customHeight="1" outlineLevel="1">
      <c r="A642" s="582"/>
      <c r="B642" s="65"/>
      <c r="C642" s="69" t="s">
        <v>146</v>
      </c>
      <c r="D642" s="583"/>
      <c r="E642" s="583"/>
      <c r="F642" s="67" t="s">
        <v>215</v>
      </c>
      <c r="G642" s="89">
        <v>0</v>
      </c>
      <c r="H642" s="89">
        <f>ROUNDUP(0+L642,0)</f>
        <v>0</v>
      </c>
      <c r="I642" s="68" t="str">
        <f t="shared" ref="I642:I643" si="145">IF(G642&gt;0,H642/G642*100,"-")</f>
        <v>-</v>
      </c>
      <c r="J642" s="89">
        <v>0</v>
      </c>
      <c r="K642" s="89">
        <v>0</v>
      </c>
      <c r="L642" s="76">
        <v>0</v>
      </c>
      <c r="M642" s="68" t="str">
        <f t="shared" ref="M642:M643" si="146">IF(K642&gt;0,L642/K642*100,"-")</f>
        <v>-</v>
      </c>
      <c r="N642" s="584"/>
    </row>
    <row r="643" spans="1:14" ht="11.1" customHeight="1" outlineLevel="1">
      <c r="A643" s="582"/>
      <c r="B643" s="65"/>
      <c r="C643" s="69" t="s">
        <v>147</v>
      </c>
      <c r="D643" s="583"/>
      <c r="E643" s="583"/>
      <c r="F643" s="67" t="s">
        <v>25</v>
      </c>
      <c r="G643" s="89">
        <v>0</v>
      </c>
      <c r="H643" s="89">
        <f>ROUNDUP(0+L643,0)</f>
        <v>0</v>
      </c>
      <c r="I643" s="68" t="str">
        <f t="shared" si="145"/>
        <v>-</v>
      </c>
      <c r="J643" s="89">
        <v>0</v>
      </c>
      <c r="K643" s="89">
        <v>0</v>
      </c>
      <c r="L643" s="76">
        <v>0</v>
      </c>
      <c r="M643" s="68" t="str">
        <f t="shared" si="146"/>
        <v>-</v>
      </c>
      <c r="N643" s="584"/>
    </row>
    <row r="644" spans="1:14" ht="35.25" customHeight="1" outlineLevel="1">
      <c r="A644" s="232"/>
      <c r="B644" s="65"/>
      <c r="C644" s="69"/>
      <c r="D644" s="233"/>
      <c r="E644" s="233"/>
      <c r="F644" s="87"/>
      <c r="G644" s="112"/>
      <c r="H644" s="112"/>
      <c r="I644" s="88"/>
      <c r="J644" s="112"/>
      <c r="K644" s="89"/>
      <c r="L644" s="76"/>
      <c r="M644" s="68"/>
      <c r="N644" s="584"/>
    </row>
    <row r="645" spans="1:14" ht="3.95" customHeight="1" outlineLevel="1">
      <c r="A645" s="93"/>
      <c r="B645" s="72"/>
      <c r="C645" s="162"/>
      <c r="D645" s="71"/>
      <c r="E645" s="71"/>
      <c r="F645" s="72"/>
      <c r="G645" s="110"/>
      <c r="H645" s="110"/>
      <c r="I645" s="72"/>
      <c r="J645" s="110"/>
      <c r="K645" s="114"/>
      <c r="L645" s="74"/>
      <c r="M645" s="163"/>
      <c r="N645" s="190"/>
    </row>
    <row r="646" spans="1:14" ht="3.95" customHeight="1" outlineLevel="1">
      <c r="A646" s="92"/>
      <c r="B646" s="61"/>
      <c r="C646" s="62"/>
      <c r="D646" s="60"/>
      <c r="E646" s="60"/>
      <c r="F646" s="61"/>
      <c r="G646" s="108"/>
      <c r="H646" s="108"/>
      <c r="I646" s="64"/>
      <c r="J646" s="108"/>
      <c r="K646" s="113"/>
      <c r="L646" s="63"/>
      <c r="M646" s="64"/>
      <c r="N646" s="166"/>
    </row>
    <row r="647" spans="1:14" ht="11.1" customHeight="1" outlineLevel="1">
      <c r="A647" s="582" t="s">
        <v>269</v>
      </c>
      <c r="B647" s="65" t="s">
        <v>32</v>
      </c>
      <c r="C647" s="69" t="s">
        <v>176</v>
      </c>
      <c r="D647" s="583" t="s">
        <v>297</v>
      </c>
      <c r="E647" s="590" t="s">
        <v>178</v>
      </c>
      <c r="F647" s="66" t="s">
        <v>33</v>
      </c>
      <c r="G647" s="109">
        <f>SUM(G648:G650)</f>
        <v>8096576</v>
      </c>
      <c r="H647" s="109">
        <f>SUM(H648:H650)</f>
        <v>6092591</v>
      </c>
      <c r="I647" s="37">
        <f>IF(G647&gt;0,H647/G647*100,"-")</f>
        <v>75.248981791809271</v>
      </c>
      <c r="J647" s="109">
        <f>SUM(J648:J650)</f>
        <v>2000000</v>
      </c>
      <c r="K647" s="109">
        <f>SUM(K648:K650)</f>
        <v>2000000</v>
      </c>
      <c r="L647" s="36">
        <f>SUM(L648:L650)</f>
        <v>1996015</v>
      </c>
      <c r="M647" s="37">
        <f>IF(K647&gt;0,L647/K647*100,"-")</f>
        <v>99.800750000000008</v>
      </c>
      <c r="N647" s="584" t="s">
        <v>388</v>
      </c>
    </row>
    <row r="648" spans="1:14" ht="11.1" customHeight="1" outlineLevel="1">
      <c r="A648" s="582"/>
      <c r="B648" s="65" t="s">
        <v>26</v>
      </c>
      <c r="C648" s="38" t="s">
        <v>177</v>
      </c>
      <c r="D648" s="583"/>
      <c r="E648" s="583"/>
      <c r="F648" s="67" t="s">
        <v>21</v>
      </c>
      <c r="G648" s="89">
        <v>8096576</v>
      </c>
      <c r="H648" s="89">
        <f>ROUNDUP(4096576+L648,0)</f>
        <v>6092591</v>
      </c>
      <c r="I648" s="563">
        <f>IF(G648&gt;0,H648/G648*100,"-")</f>
        <v>75.248981791809271</v>
      </c>
      <c r="J648" s="89">
        <v>2000000</v>
      </c>
      <c r="K648" s="89">
        <v>2000000</v>
      </c>
      <c r="L648" s="70">
        <v>1996015</v>
      </c>
      <c r="M648" s="563">
        <f>IF(K648&gt;0,L648/K648*100,"-")</f>
        <v>99.800750000000008</v>
      </c>
      <c r="N648" s="584"/>
    </row>
    <row r="649" spans="1:14" ht="11.1" customHeight="1" outlineLevel="1">
      <c r="A649" s="582"/>
      <c r="B649" s="65"/>
      <c r="C649" s="38"/>
      <c r="D649" s="583"/>
      <c r="E649" s="583"/>
      <c r="F649" s="67" t="s">
        <v>215</v>
      </c>
      <c r="G649" s="89">
        <v>0</v>
      </c>
      <c r="H649" s="89">
        <f>ROUNDUP(0+L649,0)</f>
        <v>0</v>
      </c>
      <c r="I649" s="563" t="str">
        <f t="shared" ref="I649:I650" si="147">IF(G649&gt;0,H649/G649*100,"-")</f>
        <v>-</v>
      </c>
      <c r="J649" s="89">
        <v>0</v>
      </c>
      <c r="K649" s="89">
        <v>0</v>
      </c>
      <c r="L649" s="76">
        <v>0</v>
      </c>
      <c r="M649" s="563" t="str">
        <f t="shared" ref="M649:M650" si="148">IF(K649&gt;0,L649/K649*100,"-")</f>
        <v>-</v>
      </c>
      <c r="N649" s="584"/>
    </row>
    <row r="650" spans="1:14" ht="11.1" customHeight="1" outlineLevel="1">
      <c r="A650" s="582"/>
      <c r="B650" s="65"/>
      <c r="C650" s="38"/>
      <c r="D650" s="583"/>
      <c r="E650" s="583"/>
      <c r="F650" s="67" t="s">
        <v>25</v>
      </c>
      <c r="G650" s="89">
        <v>0</v>
      </c>
      <c r="H650" s="89">
        <f>ROUNDUP(0+L650,0)</f>
        <v>0</v>
      </c>
      <c r="I650" s="563" t="str">
        <f t="shared" si="147"/>
        <v>-</v>
      </c>
      <c r="J650" s="89">
        <v>0</v>
      </c>
      <c r="K650" s="89">
        <v>0</v>
      </c>
      <c r="L650" s="76">
        <v>0</v>
      </c>
      <c r="M650" s="563" t="str">
        <f t="shared" si="148"/>
        <v>-</v>
      </c>
      <c r="N650" s="584"/>
    </row>
    <row r="651" spans="1:14" ht="17.25" customHeight="1" outlineLevel="1">
      <c r="A651" s="564"/>
      <c r="B651" s="65"/>
      <c r="C651" s="38"/>
      <c r="D651" s="566"/>
      <c r="E651" s="566"/>
      <c r="F651" s="87"/>
      <c r="G651" s="112"/>
      <c r="H651" s="112"/>
      <c r="I651" s="88"/>
      <c r="J651" s="112"/>
      <c r="K651" s="89"/>
      <c r="L651" s="76"/>
      <c r="M651" s="563"/>
      <c r="N651" s="584"/>
    </row>
    <row r="652" spans="1:14" ht="3.95" customHeight="1" outlineLevel="1">
      <c r="A652" s="93"/>
      <c r="B652" s="72"/>
      <c r="C652" s="162"/>
      <c r="D652" s="565"/>
      <c r="E652" s="565"/>
      <c r="F652" s="72"/>
      <c r="G652" s="110"/>
      <c r="H652" s="110"/>
      <c r="I652" s="72"/>
      <c r="J652" s="110"/>
      <c r="K652" s="114"/>
      <c r="L652" s="74"/>
      <c r="M652" s="163"/>
      <c r="N652" s="190"/>
    </row>
    <row r="653" spans="1:14" ht="3.95" customHeight="1">
      <c r="A653" s="132"/>
      <c r="B653" s="133"/>
      <c r="C653" s="134"/>
      <c r="D653" s="132"/>
      <c r="E653" s="132"/>
      <c r="F653" s="133"/>
      <c r="G653" s="135"/>
      <c r="H653" s="135"/>
      <c r="I653" s="133"/>
      <c r="J653" s="135"/>
      <c r="K653" s="137"/>
      <c r="L653" s="136"/>
      <c r="M653" s="138"/>
      <c r="N653" s="186"/>
    </row>
    <row r="654" spans="1:14" ht="11.25" customHeight="1">
      <c r="A654" s="27" t="s">
        <v>52</v>
      </c>
      <c r="B654" s="588" t="s">
        <v>263</v>
      </c>
      <c r="C654" s="589"/>
      <c r="D654" s="28"/>
      <c r="E654" s="28"/>
      <c r="F654" s="29"/>
      <c r="G654" s="105">
        <f>SUM(G655:G657)</f>
        <v>93096389</v>
      </c>
      <c r="H654" s="105">
        <f>SUM(H655:H657)</f>
        <v>15968914</v>
      </c>
      <c r="I654" s="31">
        <f>IF(G654&gt;0,H654/G654*100,"-")</f>
        <v>17.153097098105491</v>
      </c>
      <c r="J654" s="105">
        <f>SUM(J655:J657)</f>
        <v>18950170</v>
      </c>
      <c r="K654" s="105">
        <f>SUM(K655:K657)</f>
        <v>10991722</v>
      </c>
      <c r="L654" s="30">
        <f>SUM(L655:L657)</f>
        <v>6108423.8700000001</v>
      </c>
      <c r="M654" s="31">
        <f>IF(K654&gt;0,L654/K654*100,"-")</f>
        <v>55.57294725976513</v>
      </c>
      <c r="N654" s="187"/>
    </row>
    <row r="655" spans="1:14" ht="11.25" customHeight="1">
      <c r="A655" s="29"/>
      <c r="B655" s="32"/>
      <c r="C655" s="173"/>
      <c r="D655" s="28"/>
      <c r="E655" s="28"/>
      <c r="F655" s="33" t="s">
        <v>21</v>
      </c>
      <c r="G655" s="106">
        <f t="shared" ref="G655:H657" si="149">G661+G668+G675+G681+G687+G693+G711+G699+G705+G718+G724+G731+G738+G744+G750+G756</f>
        <v>92630569</v>
      </c>
      <c r="H655" s="106">
        <f t="shared" si="149"/>
        <v>15902646</v>
      </c>
      <c r="I655" s="35">
        <f>IF(G655&gt;0,H655/G655*100,"-")</f>
        <v>17.167816382516229</v>
      </c>
      <c r="J655" s="106">
        <f t="shared" ref="J655:L657" si="150">J661+J668+J675+J681+J687+J693+J711+J699+J705+J718+J724+J731+J738+J744+J750+J756</f>
        <v>18800170</v>
      </c>
      <c r="K655" s="106">
        <f t="shared" si="150"/>
        <v>10691722</v>
      </c>
      <c r="L655" s="34">
        <f t="shared" si="150"/>
        <v>6108423.8700000001</v>
      </c>
      <c r="M655" s="35">
        <f>IF(K655&gt;0,L655/K655*100,"-")</f>
        <v>57.132273641233844</v>
      </c>
      <c r="N655" s="187"/>
    </row>
    <row r="656" spans="1:14" ht="11.25" customHeight="1">
      <c r="A656" s="29"/>
      <c r="B656" s="32"/>
      <c r="C656" s="173"/>
      <c r="D656" s="28"/>
      <c r="E656" s="28"/>
      <c r="F656" s="33" t="s">
        <v>215</v>
      </c>
      <c r="G656" s="106">
        <f t="shared" si="149"/>
        <v>0</v>
      </c>
      <c r="H656" s="106">
        <f t="shared" si="149"/>
        <v>0</v>
      </c>
      <c r="I656" s="35" t="str">
        <f t="shared" ref="I656:I657" si="151">IF(G656&gt;0,H656/G656*100,"-")</f>
        <v>-</v>
      </c>
      <c r="J656" s="106">
        <f t="shared" si="150"/>
        <v>0</v>
      </c>
      <c r="K656" s="106">
        <f t="shared" si="150"/>
        <v>0</v>
      </c>
      <c r="L656" s="34">
        <f t="shared" si="150"/>
        <v>0</v>
      </c>
      <c r="M656" s="35" t="str">
        <f t="shared" ref="M656:M657" si="152">IF(K656&gt;0,L656/K656*100,"-")</f>
        <v>-</v>
      </c>
      <c r="N656" s="187"/>
    </row>
    <row r="657" spans="1:14" ht="11.25" customHeight="1">
      <c r="A657" s="29"/>
      <c r="B657" s="32"/>
      <c r="C657" s="173"/>
      <c r="D657" s="28"/>
      <c r="E657" s="28"/>
      <c r="F657" s="33" t="s">
        <v>25</v>
      </c>
      <c r="G657" s="106">
        <f t="shared" si="149"/>
        <v>465820</v>
      </c>
      <c r="H657" s="106">
        <f t="shared" si="149"/>
        <v>66268</v>
      </c>
      <c r="I657" s="35">
        <f t="shared" si="151"/>
        <v>14.226095916877766</v>
      </c>
      <c r="J657" s="106">
        <f t="shared" si="150"/>
        <v>150000</v>
      </c>
      <c r="K657" s="106">
        <f t="shared" si="150"/>
        <v>300000</v>
      </c>
      <c r="L657" s="34">
        <f t="shared" si="150"/>
        <v>0</v>
      </c>
      <c r="M657" s="35">
        <f t="shared" si="152"/>
        <v>0</v>
      </c>
      <c r="N657" s="187"/>
    </row>
    <row r="658" spans="1:14" ht="3.95" customHeight="1">
      <c r="A658" s="55"/>
      <c r="B658" s="56"/>
      <c r="C658" s="174"/>
      <c r="D658" s="57"/>
      <c r="E658" s="57"/>
      <c r="F658" s="55"/>
      <c r="G658" s="107"/>
      <c r="H658" s="107"/>
      <c r="I658" s="59"/>
      <c r="J658" s="107"/>
      <c r="K658" s="107"/>
      <c r="L658" s="58"/>
      <c r="M658" s="59"/>
      <c r="N658" s="188"/>
    </row>
    <row r="659" spans="1:14" ht="3.95" customHeight="1" outlineLevel="1">
      <c r="A659" s="92"/>
      <c r="B659" s="61"/>
      <c r="C659" s="62"/>
      <c r="D659" s="60"/>
      <c r="E659" s="60"/>
      <c r="F659" s="61"/>
      <c r="G659" s="108"/>
      <c r="H659" s="108"/>
      <c r="I659" s="64"/>
      <c r="J659" s="108"/>
      <c r="K659" s="113"/>
      <c r="L659" s="63"/>
      <c r="M659" s="64"/>
      <c r="N659" s="166"/>
    </row>
    <row r="660" spans="1:14" ht="11.45" customHeight="1" outlineLevel="1">
      <c r="A660" s="582" t="s">
        <v>270</v>
      </c>
      <c r="B660" s="65" t="s">
        <v>32</v>
      </c>
      <c r="C660" s="90" t="s">
        <v>336</v>
      </c>
      <c r="D660" s="583" t="s">
        <v>315</v>
      </c>
      <c r="E660" s="583" t="s">
        <v>340</v>
      </c>
      <c r="F660" s="66" t="s">
        <v>33</v>
      </c>
      <c r="G660" s="109">
        <f>SUM(G661:G663)</f>
        <v>858007</v>
      </c>
      <c r="H660" s="109">
        <f>SUM(H661:H663)</f>
        <v>53076</v>
      </c>
      <c r="I660" s="37">
        <f>IF(G660&gt;0,H660/G660*100,"-")</f>
        <v>6.1859635177801584</v>
      </c>
      <c r="J660" s="109">
        <f>SUM(J661:J663)</f>
        <v>0</v>
      </c>
      <c r="K660" s="109">
        <f>SUM(K661:K663)</f>
        <v>58007</v>
      </c>
      <c r="L660" s="36">
        <f>SUM(L661:L663)</f>
        <v>53075.58</v>
      </c>
      <c r="M660" s="37">
        <f>IF(K660&gt;0,L660/K660*100,"-")</f>
        <v>91.498577757856808</v>
      </c>
      <c r="N660" s="584" t="s">
        <v>389</v>
      </c>
    </row>
    <row r="661" spans="1:14" ht="11.45" customHeight="1" outlineLevel="1">
      <c r="A661" s="582"/>
      <c r="B661" s="65"/>
      <c r="C661" s="91" t="s">
        <v>337</v>
      </c>
      <c r="D661" s="583"/>
      <c r="E661" s="583"/>
      <c r="F661" s="67" t="s">
        <v>21</v>
      </c>
      <c r="G661" s="89">
        <v>858007</v>
      </c>
      <c r="H661" s="89">
        <f>ROUNDUP(0+L661,0)</f>
        <v>53076</v>
      </c>
      <c r="I661" s="68">
        <f>IF(G661&gt;0,H661/G661*100,"-")</f>
        <v>6.1859635177801584</v>
      </c>
      <c r="J661" s="89">
        <v>0</v>
      </c>
      <c r="K661" s="89">
        <v>58007</v>
      </c>
      <c r="L661" s="70">
        <v>53075.58</v>
      </c>
      <c r="M661" s="68">
        <f>IF(K661&gt;0,L661/K661*100,"-")</f>
        <v>91.498577757856808</v>
      </c>
      <c r="N661" s="584"/>
    </row>
    <row r="662" spans="1:14" ht="11.45" customHeight="1" outlineLevel="1">
      <c r="A662" s="582"/>
      <c r="B662" s="65"/>
      <c r="C662" s="91" t="s">
        <v>338</v>
      </c>
      <c r="D662" s="583"/>
      <c r="E662" s="583"/>
      <c r="F662" s="67" t="s">
        <v>215</v>
      </c>
      <c r="G662" s="89">
        <v>0</v>
      </c>
      <c r="H662" s="89">
        <f>ROUNDUP(0+L662,0)</f>
        <v>0</v>
      </c>
      <c r="I662" s="68" t="str">
        <f t="shared" ref="I662:I663" si="153">IF(G662&gt;0,H662/G662*100,"-")</f>
        <v>-</v>
      </c>
      <c r="J662" s="89">
        <v>0</v>
      </c>
      <c r="K662" s="89">
        <v>0</v>
      </c>
      <c r="L662" s="76">
        <v>0</v>
      </c>
      <c r="M662" s="68" t="str">
        <f t="shared" ref="M662:M663" si="154">IF(K662&gt;0,L662/K662*100,"-")</f>
        <v>-</v>
      </c>
      <c r="N662" s="584"/>
    </row>
    <row r="663" spans="1:14" ht="11.45" customHeight="1" outlineLevel="1">
      <c r="A663" s="582"/>
      <c r="B663" s="65" t="s">
        <v>26</v>
      </c>
      <c r="C663" s="69" t="s">
        <v>339</v>
      </c>
      <c r="D663" s="583"/>
      <c r="E663" s="583"/>
      <c r="F663" s="67" t="s">
        <v>25</v>
      </c>
      <c r="G663" s="89">
        <v>0</v>
      </c>
      <c r="H663" s="89">
        <f>ROUNDUP(0+L663,0)</f>
        <v>0</v>
      </c>
      <c r="I663" s="68" t="str">
        <f t="shared" si="153"/>
        <v>-</v>
      </c>
      <c r="J663" s="89">
        <v>0</v>
      </c>
      <c r="K663" s="89">
        <v>0</v>
      </c>
      <c r="L663" s="76">
        <v>0</v>
      </c>
      <c r="M663" s="68" t="str">
        <f t="shared" si="154"/>
        <v>-</v>
      </c>
      <c r="N663" s="584"/>
    </row>
    <row r="664" spans="1:14" ht="14.25" customHeight="1" outlineLevel="1">
      <c r="A664" s="232"/>
      <c r="B664" s="65"/>
      <c r="C664" s="69"/>
      <c r="D664" s="233"/>
      <c r="E664" s="233"/>
      <c r="F664" s="87"/>
      <c r="G664" s="112"/>
      <c r="H664" s="112"/>
      <c r="I664" s="88"/>
      <c r="J664" s="112"/>
      <c r="K664" s="89"/>
      <c r="L664" s="76"/>
      <c r="M664" s="68"/>
      <c r="N664" s="584"/>
    </row>
    <row r="665" spans="1:14" ht="3.95" customHeight="1" outlineLevel="1">
      <c r="A665" s="93"/>
      <c r="B665" s="72"/>
      <c r="C665" s="73"/>
      <c r="D665" s="71"/>
      <c r="E665" s="71"/>
      <c r="F665" s="72"/>
      <c r="G665" s="110"/>
      <c r="H665" s="110"/>
      <c r="I665" s="72"/>
      <c r="J665" s="110"/>
      <c r="K665" s="114"/>
      <c r="L665" s="74"/>
      <c r="M665" s="75"/>
      <c r="N665" s="244" t="s">
        <v>390</v>
      </c>
    </row>
    <row r="666" spans="1:14" ht="3.95" customHeight="1" outlineLevel="1">
      <c r="A666" s="92"/>
      <c r="B666" s="61"/>
      <c r="C666" s="62"/>
      <c r="D666" s="60"/>
      <c r="E666" s="60"/>
      <c r="F666" s="61"/>
      <c r="G666" s="108"/>
      <c r="H666" s="108"/>
      <c r="I666" s="64"/>
      <c r="J666" s="108"/>
      <c r="K666" s="113"/>
      <c r="L666" s="63"/>
      <c r="M666" s="64"/>
      <c r="N666" s="245"/>
    </row>
    <row r="667" spans="1:14" ht="11.45" customHeight="1" outlineLevel="1">
      <c r="A667" s="582" t="s">
        <v>278</v>
      </c>
      <c r="B667" s="65" t="s">
        <v>32</v>
      </c>
      <c r="C667" s="90" t="s">
        <v>192</v>
      </c>
      <c r="D667" s="583" t="s">
        <v>149</v>
      </c>
      <c r="E667" s="583" t="s">
        <v>148</v>
      </c>
      <c r="F667" s="66" t="s">
        <v>33</v>
      </c>
      <c r="G667" s="109">
        <f>SUM(G668:G670)</f>
        <v>4542475</v>
      </c>
      <c r="H667" s="109">
        <f>SUM(H668:H670)</f>
        <v>127820</v>
      </c>
      <c r="I667" s="37">
        <f>IF(G667&gt;0,H667/G667*100,"-")</f>
        <v>2.813884501290596</v>
      </c>
      <c r="J667" s="109">
        <f>SUM(J668:J670)</f>
        <v>2099000</v>
      </c>
      <c r="K667" s="109">
        <f>SUM(K668:K670)</f>
        <v>534100</v>
      </c>
      <c r="L667" s="36">
        <f>SUM(L668:L670)</f>
        <v>119444.02</v>
      </c>
      <c r="M667" s="37">
        <f>IF(K667&gt;0,L667/K667*100,"-")</f>
        <v>22.363606066279722</v>
      </c>
      <c r="N667" s="584" t="s">
        <v>391</v>
      </c>
    </row>
    <row r="668" spans="1:14" ht="11.45" customHeight="1" outlineLevel="1">
      <c r="A668" s="582"/>
      <c r="B668" s="65"/>
      <c r="C668" s="91" t="s">
        <v>193</v>
      </c>
      <c r="D668" s="583"/>
      <c r="E668" s="583"/>
      <c r="F668" s="67" t="s">
        <v>21</v>
      </c>
      <c r="G668" s="89">
        <v>4542475</v>
      </c>
      <c r="H668" s="89">
        <f>ROUNDUP(8375+L668,0)</f>
        <v>127820</v>
      </c>
      <c r="I668" s="570">
        <f>IF(G668&gt;0,H668/G668*100,"-")</f>
        <v>2.813884501290596</v>
      </c>
      <c r="J668" s="89">
        <v>2099000</v>
      </c>
      <c r="K668" s="89">
        <v>534100</v>
      </c>
      <c r="L668" s="70">
        <v>119444.02</v>
      </c>
      <c r="M668" s="570">
        <f>IF(K668&gt;0,L668/K668*100,"-")</f>
        <v>22.363606066279722</v>
      </c>
      <c r="N668" s="584"/>
    </row>
    <row r="669" spans="1:14" ht="11.45" customHeight="1" outlineLevel="1">
      <c r="A669" s="582"/>
      <c r="B669" s="65" t="s">
        <v>26</v>
      </c>
      <c r="C669" s="91" t="s">
        <v>84</v>
      </c>
      <c r="D669" s="583"/>
      <c r="E669" s="583"/>
      <c r="F669" s="67" t="s">
        <v>215</v>
      </c>
      <c r="G669" s="89">
        <v>0</v>
      </c>
      <c r="H669" s="89">
        <f>ROUNDUP(0+L669,0)</f>
        <v>0</v>
      </c>
      <c r="I669" s="570" t="str">
        <f t="shared" ref="I669:I670" si="155">IF(G669&gt;0,H669/G669*100,"-")</f>
        <v>-</v>
      </c>
      <c r="J669" s="89">
        <v>0</v>
      </c>
      <c r="K669" s="89">
        <v>0</v>
      </c>
      <c r="L669" s="76">
        <v>0</v>
      </c>
      <c r="M669" s="570" t="str">
        <f t="shared" ref="M669:M670" si="156">IF(K669&gt;0,L669/K669*100,"-")</f>
        <v>-</v>
      </c>
      <c r="N669" s="584"/>
    </row>
    <row r="670" spans="1:14" ht="11.45" customHeight="1" outlineLevel="1">
      <c r="A670" s="582"/>
      <c r="B670" s="97"/>
      <c r="C670" s="69"/>
      <c r="D670" s="583"/>
      <c r="E670" s="583"/>
      <c r="F670" s="67" t="s">
        <v>25</v>
      </c>
      <c r="G670" s="89">
        <v>0</v>
      </c>
      <c r="H670" s="89">
        <f>ROUNDUP(0+L670,0)</f>
        <v>0</v>
      </c>
      <c r="I670" s="570" t="str">
        <f t="shared" si="155"/>
        <v>-</v>
      </c>
      <c r="J670" s="89">
        <v>0</v>
      </c>
      <c r="K670" s="89">
        <v>0</v>
      </c>
      <c r="L670" s="76">
        <v>0</v>
      </c>
      <c r="M670" s="570" t="str">
        <f t="shared" si="156"/>
        <v>-</v>
      </c>
      <c r="N670" s="584"/>
    </row>
    <row r="671" spans="1:14" ht="46.5" customHeight="1" outlineLevel="1">
      <c r="A671" s="572"/>
      <c r="B671" s="97"/>
      <c r="C671" s="69"/>
      <c r="D671" s="574"/>
      <c r="E671" s="574"/>
      <c r="F671" s="87"/>
      <c r="G671" s="112"/>
      <c r="H671" s="112"/>
      <c r="I671" s="88"/>
      <c r="J671" s="112"/>
      <c r="K671" s="89"/>
      <c r="L671" s="76"/>
      <c r="M671" s="570"/>
      <c r="N671" s="584"/>
    </row>
    <row r="672" spans="1:14" ht="3.95" customHeight="1" outlineLevel="1">
      <c r="A672" s="93"/>
      <c r="B672" s="72"/>
      <c r="C672" s="73"/>
      <c r="D672" s="573"/>
      <c r="E672" s="573"/>
      <c r="F672" s="72"/>
      <c r="G672" s="110"/>
      <c r="H672" s="110"/>
      <c r="I672" s="72"/>
      <c r="J672" s="110"/>
      <c r="K672" s="114"/>
      <c r="L672" s="74"/>
      <c r="M672" s="75"/>
      <c r="N672" s="244"/>
    </row>
    <row r="673" spans="1:14" ht="3.95" customHeight="1" outlineLevel="1">
      <c r="A673" s="92"/>
      <c r="B673" s="61"/>
      <c r="C673" s="62"/>
      <c r="D673" s="60"/>
      <c r="E673" s="60"/>
      <c r="F673" s="61"/>
      <c r="G673" s="108"/>
      <c r="H673" s="108"/>
      <c r="I673" s="64"/>
      <c r="J673" s="108"/>
      <c r="K673" s="113"/>
      <c r="L673" s="63"/>
      <c r="M673" s="64"/>
      <c r="N673" s="245"/>
    </row>
    <row r="674" spans="1:14" ht="11.45" customHeight="1" outlineLevel="1">
      <c r="A674" s="582" t="s">
        <v>279</v>
      </c>
      <c r="B674" s="65" t="s">
        <v>32</v>
      </c>
      <c r="C674" s="90" t="s">
        <v>82</v>
      </c>
      <c r="D674" s="583" t="s">
        <v>234</v>
      </c>
      <c r="E674" s="583" t="s">
        <v>271</v>
      </c>
      <c r="F674" s="66" t="s">
        <v>33</v>
      </c>
      <c r="G674" s="109">
        <f>SUM(G675:G677)</f>
        <v>23355293</v>
      </c>
      <c r="H674" s="109">
        <f>SUM(H675:H677)</f>
        <v>355293</v>
      </c>
      <c r="I674" s="37">
        <f>IF(G674&gt;0,H674/G674*100,"-")</f>
        <v>1.5212525914361255</v>
      </c>
      <c r="J674" s="109">
        <f>SUM(J675:J677)</f>
        <v>0</v>
      </c>
      <c r="K674" s="109">
        <f>SUM(K675:K677)</f>
        <v>0</v>
      </c>
      <c r="L674" s="36">
        <f>SUM(L675:L677)</f>
        <v>0</v>
      </c>
      <c r="M674" s="37" t="str">
        <f>IF(K674&gt;0,L674/K674*100,"-")</f>
        <v>-</v>
      </c>
      <c r="N674" s="584" t="s">
        <v>392</v>
      </c>
    </row>
    <row r="675" spans="1:14" ht="11.45" customHeight="1" outlineLevel="1">
      <c r="A675" s="582"/>
      <c r="B675" s="65" t="s">
        <v>26</v>
      </c>
      <c r="C675" s="38" t="s">
        <v>209</v>
      </c>
      <c r="D675" s="583"/>
      <c r="E675" s="583"/>
      <c r="F675" s="67" t="s">
        <v>21</v>
      </c>
      <c r="G675" s="89">
        <f>23355293</f>
        <v>23355293</v>
      </c>
      <c r="H675" s="89">
        <f>ROUNDUP(355293+L675,0)</f>
        <v>355293</v>
      </c>
      <c r="I675" s="68">
        <f>IF(G675&gt;0,H675/G675*100,"-")</f>
        <v>1.5212525914361255</v>
      </c>
      <c r="J675" s="89">
        <v>0</v>
      </c>
      <c r="K675" s="89">
        <v>0</v>
      </c>
      <c r="L675" s="70">
        <v>0</v>
      </c>
      <c r="M675" s="68" t="str">
        <f>IF(K675&gt;0,L675/K675*100,"-")</f>
        <v>-</v>
      </c>
      <c r="N675" s="584"/>
    </row>
    <row r="676" spans="1:14" ht="11.45" customHeight="1" outlineLevel="1">
      <c r="A676" s="582"/>
      <c r="B676" s="65"/>
      <c r="C676" s="69" t="s">
        <v>210</v>
      </c>
      <c r="D676" s="583"/>
      <c r="E676" s="583"/>
      <c r="F676" s="67" t="s">
        <v>215</v>
      </c>
      <c r="G676" s="89">
        <v>0</v>
      </c>
      <c r="H676" s="89">
        <f>ROUNDUP(0+L676,0)</f>
        <v>0</v>
      </c>
      <c r="I676" s="68" t="str">
        <f t="shared" ref="I676:I677" si="157">IF(G676&gt;0,H676/G676*100,"-")</f>
        <v>-</v>
      </c>
      <c r="J676" s="89">
        <v>0</v>
      </c>
      <c r="K676" s="89">
        <v>0</v>
      </c>
      <c r="L676" s="76">
        <v>0</v>
      </c>
      <c r="M676" s="68" t="str">
        <f t="shared" ref="M676:M677" si="158">IF(K676&gt;0,L676/K676*100,"-")</f>
        <v>-</v>
      </c>
      <c r="N676" s="584"/>
    </row>
    <row r="677" spans="1:14" ht="11.45" customHeight="1" outlineLevel="1">
      <c r="A677" s="582"/>
      <c r="B677" s="97"/>
      <c r="C677" s="69"/>
      <c r="D677" s="583"/>
      <c r="E677" s="583"/>
      <c r="F677" s="67" t="s">
        <v>25</v>
      </c>
      <c r="G677" s="89">
        <v>0</v>
      </c>
      <c r="H677" s="89">
        <f>ROUNDUP(0+L677,0)</f>
        <v>0</v>
      </c>
      <c r="I677" s="68" t="str">
        <f t="shared" si="157"/>
        <v>-</v>
      </c>
      <c r="J677" s="89">
        <v>0</v>
      </c>
      <c r="K677" s="89">
        <v>0</v>
      </c>
      <c r="L677" s="76">
        <v>0</v>
      </c>
      <c r="M677" s="68" t="str">
        <f t="shared" si="158"/>
        <v>-</v>
      </c>
      <c r="N677" s="584"/>
    </row>
    <row r="678" spans="1:14" ht="3.95" customHeight="1" outlineLevel="1">
      <c r="A678" s="93"/>
      <c r="B678" s="72"/>
      <c r="C678" s="73"/>
      <c r="D678" s="71"/>
      <c r="E678" s="71"/>
      <c r="F678" s="72"/>
      <c r="G678" s="110"/>
      <c r="H678" s="110"/>
      <c r="I678" s="72"/>
      <c r="J678" s="110"/>
      <c r="K678" s="114"/>
      <c r="L678" s="74"/>
      <c r="M678" s="75"/>
      <c r="N678" s="244"/>
    </row>
    <row r="679" spans="1:14" ht="3.95" customHeight="1" outlineLevel="1">
      <c r="A679" s="92"/>
      <c r="B679" s="61"/>
      <c r="C679" s="62"/>
      <c r="D679" s="60"/>
      <c r="E679" s="60"/>
      <c r="F679" s="61"/>
      <c r="G679" s="108"/>
      <c r="H679" s="108"/>
      <c r="I679" s="64"/>
      <c r="J679" s="108"/>
      <c r="K679" s="113"/>
      <c r="L679" s="63"/>
      <c r="M679" s="64"/>
      <c r="N679" s="245"/>
    </row>
    <row r="680" spans="1:14" ht="11.45" customHeight="1" outlineLevel="1">
      <c r="A680" s="582" t="s">
        <v>280</v>
      </c>
      <c r="B680" s="65" t="s">
        <v>32</v>
      </c>
      <c r="C680" s="69" t="s">
        <v>135</v>
      </c>
      <c r="D680" s="583" t="s">
        <v>272</v>
      </c>
      <c r="E680" s="583" t="s">
        <v>106</v>
      </c>
      <c r="F680" s="66" t="s">
        <v>33</v>
      </c>
      <c r="G680" s="109">
        <f>SUM(G681:G683)</f>
        <v>4024693</v>
      </c>
      <c r="H680" s="109">
        <f>SUM(H681:H683)</f>
        <v>4024614</v>
      </c>
      <c r="I680" s="37">
        <f>IF(G680&gt;0,H680/G680*100,"-")</f>
        <v>99.998037117365229</v>
      </c>
      <c r="J680" s="109">
        <f>SUM(J681:J683)</f>
        <v>0</v>
      </c>
      <c r="K680" s="109">
        <f>SUM(K681:K683)</f>
        <v>38130</v>
      </c>
      <c r="L680" s="36">
        <f>SUM(L681:L683)</f>
        <v>38050.44</v>
      </c>
      <c r="M680" s="37">
        <f>IF(K680&gt;0,L680/K680*100,"-")</f>
        <v>99.791345397324946</v>
      </c>
      <c r="N680" s="584" t="s">
        <v>393</v>
      </c>
    </row>
    <row r="681" spans="1:14" ht="11.45" customHeight="1" outlineLevel="1">
      <c r="A681" s="582"/>
      <c r="B681" s="97"/>
      <c r="C681" s="69" t="s">
        <v>136</v>
      </c>
      <c r="D681" s="583"/>
      <c r="E681" s="583"/>
      <c r="F681" s="67" t="s">
        <v>21</v>
      </c>
      <c r="G681" s="89">
        <v>4024693</v>
      </c>
      <c r="H681" s="89">
        <f>ROUNDUP(3986563+L681,0)</f>
        <v>4024614</v>
      </c>
      <c r="I681" s="68">
        <f>IF(G681&gt;0,H681/G681*100,"-")</f>
        <v>99.998037117365229</v>
      </c>
      <c r="J681" s="89">
        <v>0</v>
      </c>
      <c r="K681" s="89">
        <v>38130</v>
      </c>
      <c r="L681" s="70">
        <v>38050.44</v>
      </c>
      <c r="M681" s="68">
        <f>IF(K681&gt;0,L681/K681*100,"-")</f>
        <v>99.791345397324946</v>
      </c>
      <c r="N681" s="584"/>
    </row>
    <row r="682" spans="1:14" ht="11.45" customHeight="1" outlineLevel="1">
      <c r="A682" s="582"/>
      <c r="B682" s="65" t="s">
        <v>26</v>
      </c>
      <c r="C682" s="69" t="s">
        <v>137</v>
      </c>
      <c r="D682" s="583"/>
      <c r="E682" s="583"/>
      <c r="F682" s="67" t="s">
        <v>215</v>
      </c>
      <c r="G682" s="89">
        <v>0</v>
      </c>
      <c r="H682" s="89">
        <f>ROUNDUP(0+L682,0)</f>
        <v>0</v>
      </c>
      <c r="I682" s="68" t="str">
        <f t="shared" ref="I682:I683" si="159">IF(G682&gt;0,H682/G682*100,"-")</f>
        <v>-</v>
      </c>
      <c r="J682" s="89">
        <v>0</v>
      </c>
      <c r="K682" s="89">
        <v>0</v>
      </c>
      <c r="L682" s="76">
        <v>0</v>
      </c>
      <c r="M682" s="68" t="str">
        <f t="shared" ref="M682:M683" si="160">IF(K682&gt;0,L682/K682*100,"-")</f>
        <v>-</v>
      </c>
      <c r="N682" s="584"/>
    </row>
    <row r="683" spans="1:14" ht="11.45" customHeight="1" outlineLevel="1">
      <c r="A683" s="582"/>
      <c r="B683" s="97"/>
      <c r="C683" s="69" t="s">
        <v>138</v>
      </c>
      <c r="D683" s="583"/>
      <c r="E683" s="583"/>
      <c r="F683" s="67" t="s">
        <v>25</v>
      </c>
      <c r="G683" s="89">
        <v>0</v>
      </c>
      <c r="H683" s="89">
        <f>ROUNDUP(0+L683,0)</f>
        <v>0</v>
      </c>
      <c r="I683" s="68" t="str">
        <f t="shared" si="159"/>
        <v>-</v>
      </c>
      <c r="J683" s="89">
        <v>0</v>
      </c>
      <c r="K683" s="89">
        <v>0</v>
      </c>
      <c r="L683" s="76">
        <v>0</v>
      </c>
      <c r="M683" s="68" t="str">
        <f t="shared" si="160"/>
        <v>-</v>
      </c>
      <c r="N683" s="584"/>
    </row>
    <row r="684" spans="1:14" ht="3.95" customHeight="1" outlineLevel="1">
      <c r="A684" s="93"/>
      <c r="B684" s="72"/>
      <c r="C684" s="73"/>
      <c r="D684" s="71"/>
      <c r="E684" s="71"/>
      <c r="F684" s="72"/>
      <c r="G684" s="110"/>
      <c r="H684" s="110"/>
      <c r="I684" s="72"/>
      <c r="J684" s="110"/>
      <c r="K684" s="114"/>
      <c r="L684" s="74"/>
      <c r="M684" s="75"/>
      <c r="N684" s="244"/>
    </row>
    <row r="685" spans="1:14" ht="3.95" customHeight="1" outlineLevel="1">
      <c r="A685" s="92"/>
      <c r="B685" s="61"/>
      <c r="C685" s="62"/>
      <c r="D685" s="60"/>
      <c r="E685" s="60"/>
      <c r="F685" s="61"/>
      <c r="G685" s="108"/>
      <c r="H685" s="108"/>
      <c r="I685" s="64"/>
      <c r="J685" s="108"/>
      <c r="K685" s="113"/>
      <c r="L685" s="63"/>
      <c r="M685" s="64"/>
      <c r="N685" s="245"/>
    </row>
    <row r="686" spans="1:14" ht="11.45" customHeight="1" outlineLevel="1">
      <c r="A686" s="582" t="s">
        <v>281</v>
      </c>
      <c r="B686" s="65" t="s">
        <v>32</v>
      </c>
      <c r="C686" s="90" t="s">
        <v>83</v>
      </c>
      <c r="D686" s="583" t="s">
        <v>152</v>
      </c>
      <c r="E686" s="583" t="s">
        <v>148</v>
      </c>
      <c r="F686" s="66" t="s">
        <v>33</v>
      </c>
      <c r="G686" s="109">
        <f>SUM(G687:G689)</f>
        <v>2759750</v>
      </c>
      <c r="H686" s="109">
        <f>SUM(H687:H689)</f>
        <v>206197</v>
      </c>
      <c r="I686" s="37">
        <f>IF(G686&gt;0,H686/G686*100,"-")</f>
        <v>7.4715825708850439</v>
      </c>
      <c r="J686" s="109">
        <f>SUM(J687:J689)</f>
        <v>2950000</v>
      </c>
      <c r="K686" s="109">
        <f>SUM(K687:K689)</f>
        <v>475936</v>
      </c>
      <c r="L686" s="36">
        <f>SUM(L687:L689)</f>
        <v>22382.63</v>
      </c>
      <c r="M686" s="37">
        <f>IF(K686&gt;0,L686/K686*100,"-")</f>
        <v>4.7028655113292546</v>
      </c>
      <c r="N686" s="584" t="s">
        <v>394</v>
      </c>
    </row>
    <row r="687" spans="1:14" ht="11.45" customHeight="1" outlineLevel="1">
      <c r="A687" s="582"/>
      <c r="B687" s="65" t="s">
        <v>26</v>
      </c>
      <c r="C687" s="38" t="s">
        <v>84</v>
      </c>
      <c r="D687" s="583"/>
      <c r="E687" s="583"/>
      <c r="F687" s="67" t="s">
        <v>21</v>
      </c>
      <c r="G687" s="89">
        <v>2759750</v>
      </c>
      <c r="H687" s="89">
        <f>ROUNDUP(183814+L687,0)</f>
        <v>206197</v>
      </c>
      <c r="I687" s="68">
        <f>IF(G687&gt;0,H687/G687*100,"-")</f>
        <v>7.4715825708850439</v>
      </c>
      <c r="J687" s="89">
        <v>2950000</v>
      </c>
      <c r="K687" s="89">
        <v>475936</v>
      </c>
      <c r="L687" s="70">
        <v>22382.63</v>
      </c>
      <c r="M687" s="68">
        <f>IF(K687&gt;0,L687/K687*100,"-")</f>
        <v>4.7028655113292546</v>
      </c>
      <c r="N687" s="584"/>
    </row>
    <row r="688" spans="1:14" ht="11.45" customHeight="1" outlineLevel="1">
      <c r="A688" s="582"/>
      <c r="B688" s="65"/>
      <c r="C688" s="91"/>
      <c r="D688" s="583"/>
      <c r="E688" s="583"/>
      <c r="F688" s="67" t="s">
        <v>215</v>
      </c>
      <c r="G688" s="89">
        <v>0</v>
      </c>
      <c r="H688" s="89">
        <f>ROUNDUP(0+L688,0)</f>
        <v>0</v>
      </c>
      <c r="I688" s="68" t="str">
        <f t="shared" ref="I688:I689" si="161">IF(G688&gt;0,H688/G688*100,"-")</f>
        <v>-</v>
      </c>
      <c r="J688" s="89">
        <v>0</v>
      </c>
      <c r="K688" s="89">
        <v>0</v>
      </c>
      <c r="L688" s="76">
        <v>0</v>
      </c>
      <c r="M688" s="68" t="str">
        <f t="shared" ref="M688:M689" si="162">IF(K688&gt;0,L688/K688*100,"-")</f>
        <v>-</v>
      </c>
      <c r="N688" s="584"/>
    </row>
    <row r="689" spans="1:14" ht="11.45" customHeight="1" outlineLevel="1">
      <c r="A689" s="582"/>
      <c r="B689" s="97"/>
      <c r="C689" s="69"/>
      <c r="D689" s="583"/>
      <c r="E689" s="583"/>
      <c r="F689" s="67" t="s">
        <v>25</v>
      </c>
      <c r="G689" s="89">
        <v>0</v>
      </c>
      <c r="H689" s="89">
        <f>ROUNDUP(0+L689,0)</f>
        <v>0</v>
      </c>
      <c r="I689" s="68" t="str">
        <f t="shared" si="161"/>
        <v>-</v>
      </c>
      <c r="J689" s="89">
        <v>0</v>
      </c>
      <c r="K689" s="89">
        <v>0</v>
      </c>
      <c r="L689" s="76">
        <v>0</v>
      </c>
      <c r="M689" s="68" t="str">
        <f t="shared" si="162"/>
        <v>-</v>
      </c>
      <c r="N689" s="584"/>
    </row>
    <row r="690" spans="1:14" ht="3.95" customHeight="1" outlineLevel="1">
      <c r="A690" s="93"/>
      <c r="B690" s="72"/>
      <c r="C690" s="73"/>
      <c r="D690" s="71"/>
      <c r="E690" s="71"/>
      <c r="F690" s="72"/>
      <c r="G690" s="110"/>
      <c r="H690" s="110"/>
      <c r="I690" s="72"/>
      <c r="J690" s="110"/>
      <c r="K690" s="114"/>
      <c r="L690" s="74"/>
      <c r="M690" s="75"/>
      <c r="N690" s="244"/>
    </row>
    <row r="691" spans="1:14" ht="3.95" customHeight="1" outlineLevel="1">
      <c r="A691" s="92"/>
      <c r="B691" s="61"/>
      <c r="C691" s="62"/>
      <c r="D691" s="60"/>
      <c r="E691" s="60"/>
      <c r="F691" s="61"/>
      <c r="G691" s="108"/>
      <c r="H691" s="108"/>
      <c r="I691" s="64"/>
      <c r="J691" s="108"/>
      <c r="K691" s="113"/>
      <c r="L691" s="63"/>
      <c r="M691" s="64"/>
      <c r="N691" s="245"/>
    </row>
    <row r="692" spans="1:14" ht="11.45" customHeight="1" outlineLevel="1">
      <c r="A692" s="582" t="s">
        <v>282</v>
      </c>
      <c r="B692" s="65" t="s">
        <v>32</v>
      </c>
      <c r="C692" s="90" t="s">
        <v>273</v>
      </c>
      <c r="D692" s="583" t="s">
        <v>276</v>
      </c>
      <c r="E692" s="583" t="s">
        <v>151</v>
      </c>
      <c r="F692" s="66" t="s">
        <v>33</v>
      </c>
      <c r="G692" s="109">
        <f>SUM(G693:G695)</f>
        <v>2009460</v>
      </c>
      <c r="H692" s="109">
        <f>SUM(H693:H695)</f>
        <v>9020</v>
      </c>
      <c r="I692" s="37">
        <f>IF(G692&gt;0,H692/G692*100,"-")</f>
        <v>0.44887681267604229</v>
      </c>
      <c r="J692" s="109">
        <f>SUM(J693:J695)</f>
        <v>500000</v>
      </c>
      <c r="K692" s="109">
        <f>SUM(K693:K695)</f>
        <v>509460</v>
      </c>
      <c r="L692" s="36">
        <f>SUM(L693:L695)</f>
        <v>9019.49</v>
      </c>
      <c r="M692" s="37">
        <f>IF(K692&gt;0,L692/K692*100,"-")</f>
        <v>1.770401994268441</v>
      </c>
      <c r="N692" s="584" t="s">
        <v>395</v>
      </c>
    </row>
    <row r="693" spans="1:14" ht="11.45" customHeight="1" outlineLevel="1">
      <c r="A693" s="582"/>
      <c r="B693" s="65"/>
      <c r="C693" s="38" t="s">
        <v>274</v>
      </c>
      <c r="D693" s="583"/>
      <c r="E693" s="583"/>
      <c r="F693" s="67" t="s">
        <v>21</v>
      </c>
      <c r="G693" s="89">
        <v>2009460</v>
      </c>
      <c r="H693" s="89">
        <f>ROUNDUP(0+L693,0)</f>
        <v>9020</v>
      </c>
      <c r="I693" s="68">
        <f>IF(G693&gt;0,H693/G693*100,"-")</f>
        <v>0.44887681267604229</v>
      </c>
      <c r="J693" s="89">
        <v>500000</v>
      </c>
      <c r="K693" s="89">
        <v>509460</v>
      </c>
      <c r="L693" s="70">
        <v>9019.49</v>
      </c>
      <c r="M693" s="68">
        <f>IF(K693&gt;0,L693/K693*100,"-")</f>
        <v>1.770401994268441</v>
      </c>
      <c r="N693" s="584"/>
    </row>
    <row r="694" spans="1:14" ht="11.45" customHeight="1" outlineLevel="1">
      <c r="A694" s="582"/>
      <c r="B694" s="65" t="s">
        <v>26</v>
      </c>
      <c r="C694" s="91" t="s">
        <v>275</v>
      </c>
      <c r="D694" s="583"/>
      <c r="E694" s="583"/>
      <c r="F694" s="67" t="s">
        <v>215</v>
      </c>
      <c r="G694" s="89">
        <v>0</v>
      </c>
      <c r="H694" s="89">
        <f>ROUNDUP(0+L694,0)</f>
        <v>0</v>
      </c>
      <c r="I694" s="68" t="str">
        <f t="shared" ref="I694:I695" si="163">IF(G694&gt;0,H694/G694*100,"-")</f>
        <v>-</v>
      </c>
      <c r="J694" s="89">
        <v>0</v>
      </c>
      <c r="K694" s="89">
        <v>0</v>
      </c>
      <c r="L694" s="76">
        <v>0</v>
      </c>
      <c r="M694" s="68" t="str">
        <f t="shared" ref="M694:M695" si="164">IF(K694&gt;0,L694/K694*100,"-")</f>
        <v>-</v>
      </c>
      <c r="N694" s="584"/>
    </row>
    <row r="695" spans="1:14" ht="11.45" customHeight="1" outlineLevel="1">
      <c r="A695" s="582"/>
      <c r="B695" s="97"/>
      <c r="C695" s="69"/>
      <c r="D695" s="583"/>
      <c r="E695" s="583"/>
      <c r="F695" s="67" t="s">
        <v>25</v>
      </c>
      <c r="G695" s="89">
        <v>0</v>
      </c>
      <c r="H695" s="89">
        <f>ROUNDUP(0+L695,0)</f>
        <v>0</v>
      </c>
      <c r="I695" s="68" t="str">
        <f t="shared" si="163"/>
        <v>-</v>
      </c>
      <c r="J695" s="89">
        <v>0</v>
      </c>
      <c r="K695" s="89">
        <v>0</v>
      </c>
      <c r="L695" s="76">
        <v>0</v>
      </c>
      <c r="M695" s="68" t="str">
        <f t="shared" si="164"/>
        <v>-</v>
      </c>
      <c r="N695" s="584"/>
    </row>
    <row r="696" spans="1:14" ht="3.95" customHeight="1" outlineLevel="1">
      <c r="A696" s="93"/>
      <c r="B696" s="72"/>
      <c r="C696" s="73"/>
      <c r="D696" s="71"/>
      <c r="E696" s="71"/>
      <c r="F696" s="72"/>
      <c r="G696" s="110"/>
      <c r="H696" s="110"/>
      <c r="I696" s="72"/>
      <c r="J696" s="110"/>
      <c r="K696" s="114"/>
      <c r="L696" s="74"/>
      <c r="M696" s="75"/>
      <c r="N696" s="244"/>
    </row>
    <row r="697" spans="1:14" ht="3.95" customHeight="1" outlineLevel="1">
      <c r="A697" s="92"/>
      <c r="B697" s="61"/>
      <c r="C697" s="62"/>
      <c r="D697" s="60"/>
      <c r="E697" s="60"/>
      <c r="F697" s="61"/>
      <c r="G697" s="108"/>
      <c r="H697" s="108"/>
      <c r="I697" s="64"/>
      <c r="J697" s="108"/>
      <c r="K697" s="113"/>
      <c r="L697" s="63"/>
      <c r="M697" s="64"/>
      <c r="N697" s="245"/>
    </row>
    <row r="698" spans="1:14" ht="11.45" customHeight="1" outlineLevel="1">
      <c r="A698" s="582" t="s">
        <v>283</v>
      </c>
      <c r="B698" s="65" t="s">
        <v>32</v>
      </c>
      <c r="C698" s="69" t="s">
        <v>139</v>
      </c>
      <c r="D698" s="583" t="s">
        <v>293</v>
      </c>
      <c r="E698" s="583" t="s">
        <v>106</v>
      </c>
      <c r="F698" s="66" t="s">
        <v>33</v>
      </c>
      <c r="G698" s="109">
        <f>SUM(G699:G701)</f>
        <v>5258673</v>
      </c>
      <c r="H698" s="109">
        <f>SUM(H699:H701)</f>
        <v>2437053</v>
      </c>
      <c r="I698" s="37">
        <f>IF(G698&gt;0,H698/G698*100,"-")</f>
        <v>46.343497684682049</v>
      </c>
      <c r="J698" s="109">
        <f>SUM(J699:J701)</f>
        <v>30000</v>
      </c>
      <c r="K698" s="109">
        <f>SUM(K699:K701)</f>
        <v>133910</v>
      </c>
      <c r="L698" s="36">
        <f>SUM(L699:L701)</f>
        <v>130789.04</v>
      </c>
      <c r="M698" s="37">
        <f>IF(K698&gt;0,L698/K698*100,"-")</f>
        <v>97.669360017922486</v>
      </c>
      <c r="N698" s="584" t="s">
        <v>396</v>
      </c>
    </row>
    <row r="699" spans="1:14" ht="11.45" customHeight="1" outlineLevel="1">
      <c r="A699" s="582"/>
      <c r="B699" s="97"/>
      <c r="C699" s="69" t="s">
        <v>341</v>
      </c>
      <c r="D699" s="583"/>
      <c r="E699" s="583"/>
      <c r="F699" s="67" t="s">
        <v>21</v>
      </c>
      <c r="G699" s="89">
        <v>5192405</v>
      </c>
      <c r="H699" s="115">
        <f>ROUNDUP(2239995+L699,0)</f>
        <v>2370785</v>
      </c>
      <c r="I699" s="68">
        <f>IF(G699&gt;0,H699/G699*100,"-")</f>
        <v>45.658707284967178</v>
      </c>
      <c r="J699" s="89">
        <v>30000</v>
      </c>
      <c r="K699" s="89">
        <v>133910</v>
      </c>
      <c r="L699" s="70">
        <v>130789.04</v>
      </c>
      <c r="M699" s="68">
        <f>IF(K699&gt;0,L699/K699*100,"-")</f>
        <v>97.669360017922486</v>
      </c>
      <c r="N699" s="584"/>
    </row>
    <row r="700" spans="1:14" ht="11.45" customHeight="1" outlineLevel="1">
      <c r="A700" s="582"/>
      <c r="B700" s="65" t="s">
        <v>26</v>
      </c>
      <c r="C700" s="69" t="s">
        <v>140</v>
      </c>
      <c r="D700" s="583"/>
      <c r="E700" s="583"/>
      <c r="F700" s="67" t="s">
        <v>215</v>
      </c>
      <c r="G700" s="89">
        <v>0</v>
      </c>
      <c r="H700" s="89">
        <f>ROUNDUP(0+L700,0)</f>
        <v>0</v>
      </c>
      <c r="I700" s="68" t="str">
        <f t="shared" ref="I700:I701" si="165">IF(G700&gt;0,H700/G700*100,"-")</f>
        <v>-</v>
      </c>
      <c r="J700" s="89">
        <v>0</v>
      </c>
      <c r="K700" s="89">
        <v>0</v>
      </c>
      <c r="L700" s="76">
        <v>0</v>
      </c>
      <c r="M700" s="68" t="str">
        <f t="shared" ref="M700:M701" si="166">IF(K700&gt;0,L700/K700*100,"-")</f>
        <v>-</v>
      </c>
      <c r="N700" s="584"/>
    </row>
    <row r="701" spans="1:14" ht="11.45" customHeight="1" outlineLevel="1">
      <c r="A701" s="582"/>
      <c r="B701" s="97"/>
      <c r="C701" s="69" t="s">
        <v>141</v>
      </c>
      <c r="D701" s="583"/>
      <c r="E701" s="583"/>
      <c r="F701" s="67" t="s">
        <v>25</v>
      </c>
      <c r="G701" s="89">
        <v>66268</v>
      </c>
      <c r="H701" s="89">
        <f>ROUNDUP(66268+L701,0)</f>
        <v>66268</v>
      </c>
      <c r="I701" s="68">
        <f t="shared" si="165"/>
        <v>100</v>
      </c>
      <c r="J701" s="89">
        <v>0</v>
      </c>
      <c r="K701" s="89">
        <v>0</v>
      </c>
      <c r="L701" s="76">
        <v>0</v>
      </c>
      <c r="M701" s="68" t="str">
        <f t="shared" si="166"/>
        <v>-</v>
      </c>
      <c r="N701" s="584"/>
    </row>
    <row r="702" spans="1:14" ht="3.95" customHeight="1" outlineLevel="1">
      <c r="A702" s="93"/>
      <c r="B702" s="72"/>
      <c r="C702" s="73"/>
      <c r="D702" s="71"/>
      <c r="E702" s="71"/>
      <c r="F702" s="72"/>
      <c r="G702" s="110"/>
      <c r="H702" s="110"/>
      <c r="I702" s="72"/>
      <c r="J702" s="110"/>
      <c r="K702" s="114"/>
      <c r="L702" s="74"/>
      <c r="M702" s="75"/>
      <c r="N702" s="244"/>
    </row>
    <row r="703" spans="1:14" ht="3.95" customHeight="1" outlineLevel="1">
      <c r="A703" s="92"/>
      <c r="B703" s="61"/>
      <c r="C703" s="62"/>
      <c r="D703" s="60"/>
      <c r="E703" s="60"/>
      <c r="F703" s="61"/>
      <c r="G703" s="108"/>
      <c r="H703" s="108"/>
      <c r="I703" s="64"/>
      <c r="J703" s="108"/>
      <c r="K703" s="113"/>
      <c r="L703" s="63"/>
      <c r="M703" s="64"/>
      <c r="N703" s="245"/>
    </row>
    <row r="704" spans="1:14" ht="11.45" customHeight="1" outlineLevel="1">
      <c r="A704" s="582" t="s">
        <v>284</v>
      </c>
      <c r="B704" s="65" t="s">
        <v>32</v>
      </c>
      <c r="C704" s="69" t="s">
        <v>142</v>
      </c>
      <c r="D704" s="583" t="s">
        <v>239</v>
      </c>
      <c r="E704" s="583" t="s">
        <v>106</v>
      </c>
      <c r="F704" s="66" t="s">
        <v>33</v>
      </c>
      <c r="G704" s="109">
        <f>SUM(G705:G707)</f>
        <v>2322356</v>
      </c>
      <c r="H704" s="109">
        <f>SUM(H705:H707)</f>
        <v>12055</v>
      </c>
      <c r="I704" s="37">
        <f>IF(G704&gt;0,H704/G704*100,"-")</f>
        <v>0.5190849292701033</v>
      </c>
      <c r="J704" s="109">
        <f>SUM(J705:J707)</f>
        <v>150000</v>
      </c>
      <c r="K704" s="109">
        <f>SUM(K705:K707)</f>
        <v>12804</v>
      </c>
      <c r="L704" s="36">
        <f>SUM(L705:L707)</f>
        <v>12054.79</v>
      </c>
      <c r="M704" s="37">
        <f>IF(K704&gt;0,L704/K704*100,"-")</f>
        <v>94.148625429553263</v>
      </c>
      <c r="N704" s="584" t="s">
        <v>397</v>
      </c>
    </row>
    <row r="705" spans="1:14" ht="11.45" customHeight="1" outlineLevel="1">
      <c r="A705" s="582"/>
      <c r="B705" s="97"/>
      <c r="C705" s="69" t="s">
        <v>342</v>
      </c>
      <c r="D705" s="583"/>
      <c r="E705" s="583"/>
      <c r="F705" s="67" t="s">
        <v>21</v>
      </c>
      <c r="G705" s="89">
        <v>2222804</v>
      </c>
      <c r="H705" s="89">
        <f>ROUNDUP(0+L705,0)</f>
        <v>12055</v>
      </c>
      <c r="I705" s="68">
        <f>IF(G705&gt;0,H705/G705*100,"-")</f>
        <v>0.54233301721609284</v>
      </c>
      <c r="J705" s="89">
        <v>0</v>
      </c>
      <c r="K705" s="89">
        <v>12804</v>
      </c>
      <c r="L705" s="70">
        <v>12054.79</v>
      </c>
      <c r="M705" s="68">
        <f>IF(K705&gt;0,L705/K705*100,"-")</f>
        <v>94.148625429553263</v>
      </c>
      <c r="N705" s="584"/>
    </row>
    <row r="706" spans="1:14" ht="11.45" customHeight="1" outlineLevel="1">
      <c r="A706" s="582"/>
      <c r="B706" s="65" t="s">
        <v>26</v>
      </c>
      <c r="C706" s="69" t="s">
        <v>140</v>
      </c>
      <c r="D706" s="583"/>
      <c r="E706" s="583"/>
      <c r="F706" s="67" t="s">
        <v>215</v>
      </c>
      <c r="G706" s="89">
        <v>0</v>
      </c>
      <c r="H706" s="89">
        <f>ROUNDUP(0+L706,0)</f>
        <v>0</v>
      </c>
      <c r="I706" s="68" t="str">
        <f t="shared" ref="I706:I707" si="167">IF(G706&gt;0,H706/G706*100,"-")</f>
        <v>-</v>
      </c>
      <c r="J706" s="89">
        <v>0</v>
      </c>
      <c r="K706" s="89">
        <v>0</v>
      </c>
      <c r="L706" s="76">
        <v>0</v>
      </c>
      <c r="M706" s="68" t="str">
        <f t="shared" ref="M706:M707" si="168">IF(K706&gt;0,L706/K706*100,"-")</f>
        <v>-</v>
      </c>
      <c r="N706" s="584"/>
    </row>
    <row r="707" spans="1:14" ht="11.45" customHeight="1" outlineLevel="1">
      <c r="A707" s="582"/>
      <c r="B707" s="97"/>
      <c r="C707" s="69" t="s">
        <v>141</v>
      </c>
      <c r="D707" s="583"/>
      <c r="E707" s="583"/>
      <c r="F707" s="67" t="s">
        <v>25</v>
      </c>
      <c r="G707" s="89">
        <v>99552</v>
      </c>
      <c r="H707" s="89">
        <f>ROUNDUP(0+L707,0)</f>
        <v>0</v>
      </c>
      <c r="I707" s="68">
        <f t="shared" si="167"/>
        <v>0</v>
      </c>
      <c r="J707" s="89">
        <v>150000</v>
      </c>
      <c r="K707" s="89">
        <v>0</v>
      </c>
      <c r="L707" s="76">
        <v>0</v>
      </c>
      <c r="M707" s="68" t="str">
        <f t="shared" si="168"/>
        <v>-</v>
      </c>
      <c r="N707" s="584"/>
    </row>
    <row r="708" spans="1:14" ht="3.95" customHeight="1" outlineLevel="1">
      <c r="A708" s="93"/>
      <c r="B708" s="72"/>
      <c r="C708" s="73"/>
      <c r="D708" s="71"/>
      <c r="E708" s="71"/>
      <c r="F708" s="72"/>
      <c r="G708" s="110"/>
      <c r="H708" s="110"/>
      <c r="I708" s="72"/>
      <c r="J708" s="110"/>
      <c r="K708" s="114"/>
      <c r="L708" s="74"/>
      <c r="M708" s="75"/>
      <c r="N708" s="244"/>
    </row>
    <row r="709" spans="1:14" ht="3.95" customHeight="1" outlineLevel="1">
      <c r="A709" s="92"/>
      <c r="B709" s="61"/>
      <c r="C709" s="62"/>
      <c r="D709" s="60"/>
      <c r="E709" s="60"/>
      <c r="F709" s="61"/>
      <c r="G709" s="108"/>
      <c r="H709" s="108"/>
      <c r="I709" s="64"/>
      <c r="J709" s="108"/>
      <c r="K709" s="113"/>
      <c r="L709" s="63"/>
      <c r="M709" s="64"/>
      <c r="N709" s="245"/>
    </row>
    <row r="710" spans="1:14" ht="11.45" customHeight="1" outlineLevel="1">
      <c r="A710" s="582" t="s">
        <v>285</v>
      </c>
      <c r="B710" s="65" t="s">
        <v>32</v>
      </c>
      <c r="C710" s="90" t="s">
        <v>153</v>
      </c>
      <c r="D710" s="583" t="s">
        <v>93</v>
      </c>
      <c r="E710" s="583" t="s">
        <v>277</v>
      </c>
      <c r="F710" s="66" t="s">
        <v>33</v>
      </c>
      <c r="G710" s="109">
        <f>SUM(G711:G713)</f>
        <v>7819889</v>
      </c>
      <c r="H710" s="109">
        <f>SUM(H711:H713)</f>
        <v>7736703</v>
      </c>
      <c r="I710" s="37">
        <f>IF(G710&gt;0,H710/G710*100,"-")</f>
        <v>98.93622530959199</v>
      </c>
      <c r="J710" s="109">
        <f>SUM(J711:J713)</f>
        <v>5222400</v>
      </c>
      <c r="K710" s="109">
        <f>SUM(K711:K713)</f>
        <v>5500109</v>
      </c>
      <c r="L710" s="36">
        <f>SUM(L711:L713)</f>
        <v>5416922.6500000004</v>
      </c>
      <c r="M710" s="37">
        <f>IF(K710&gt;0,L710/K710*100,"-")</f>
        <v>98.487550883082505</v>
      </c>
      <c r="N710" s="584" t="s">
        <v>398</v>
      </c>
    </row>
    <row r="711" spans="1:14" ht="11.45" customHeight="1" outlineLevel="1">
      <c r="A711" s="582"/>
      <c r="B711" s="65"/>
      <c r="C711" s="91" t="s">
        <v>154</v>
      </c>
      <c r="D711" s="583"/>
      <c r="E711" s="583"/>
      <c r="F711" s="67" t="s">
        <v>21</v>
      </c>
      <c r="G711" s="89">
        <v>7819889</v>
      </c>
      <c r="H711" s="89">
        <f>ROUNDUP(2319780+L711,0)</f>
        <v>7736703</v>
      </c>
      <c r="I711" s="570">
        <f>IF(G711&gt;0,H711/G711*100,"-")</f>
        <v>98.93622530959199</v>
      </c>
      <c r="J711" s="89">
        <v>5222400</v>
      </c>
      <c r="K711" s="89">
        <v>5500109</v>
      </c>
      <c r="L711" s="70">
        <v>5416922.6500000004</v>
      </c>
      <c r="M711" s="570">
        <f>IF(K711&gt;0,L711/K711*100,"-")</f>
        <v>98.487550883082505</v>
      </c>
      <c r="N711" s="584"/>
    </row>
    <row r="712" spans="1:14" ht="11.45" customHeight="1" outlineLevel="1">
      <c r="A712" s="582"/>
      <c r="B712" s="65" t="s">
        <v>26</v>
      </c>
      <c r="C712" s="91" t="s">
        <v>85</v>
      </c>
      <c r="D712" s="583"/>
      <c r="E712" s="583"/>
      <c r="F712" s="67" t="s">
        <v>215</v>
      </c>
      <c r="G712" s="89">
        <v>0</v>
      </c>
      <c r="H712" s="89">
        <f>ROUNDUP(0+L712,0)</f>
        <v>0</v>
      </c>
      <c r="I712" s="570" t="str">
        <f t="shared" ref="I712:I713" si="169">IF(G712&gt;0,H712/G712*100,"-")</f>
        <v>-</v>
      </c>
      <c r="J712" s="89">
        <v>0</v>
      </c>
      <c r="K712" s="89">
        <v>0</v>
      </c>
      <c r="L712" s="76">
        <v>0</v>
      </c>
      <c r="M712" s="570" t="str">
        <f t="shared" ref="M712:M713" si="170">IF(K712&gt;0,L712/K712*100,"-")</f>
        <v>-</v>
      </c>
      <c r="N712" s="584"/>
    </row>
    <row r="713" spans="1:14" ht="11.45" customHeight="1" outlineLevel="1">
      <c r="A713" s="582"/>
      <c r="B713" s="97"/>
      <c r="C713" s="69"/>
      <c r="D713" s="583"/>
      <c r="E713" s="583"/>
      <c r="F713" s="67" t="s">
        <v>25</v>
      </c>
      <c r="G713" s="89">
        <v>0</v>
      </c>
      <c r="H713" s="89">
        <f>ROUNDUP(0+L713,0)</f>
        <v>0</v>
      </c>
      <c r="I713" s="570" t="str">
        <f t="shared" si="169"/>
        <v>-</v>
      </c>
      <c r="J713" s="89">
        <v>0</v>
      </c>
      <c r="K713" s="89">
        <v>0</v>
      </c>
      <c r="L713" s="76">
        <v>0</v>
      </c>
      <c r="M713" s="570" t="str">
        <f t="shared" si="170"/>
        <v>-</v>
      </c>
      <c r="N713" s="584"/>
    </row>
    <row r="714" spans="1:14" ht="54.75" customHeight="1" outlineLevel="1">
      <c r="A714" s="572"/>
      <c r="B714" s="97"/>
      <c r="C714" s="69"/>
      <c r="D714" s="574"/>
      <c r="E714" s="574"/>
      <c r="F714" s="87"/>
      <c r="G714" s="112"/>
      <c r="H714" s="112"/>
      <c r="I714" s="88"/>
      <c r="J714" s="112"/>
      <c r="K714" s="89"/>
      <c r="L714" s="76"/>
      <c r="M714" s="570"/>
      <c r="N714" s="584"/>
    </row>
    <row r="715" spans="1:14" ht="3.95" customHeight="1" outlineLevel="1">
      <c r="A715" s="93"/>
      <c r="B715" s="72"/>
      <c r="C715" s="73"/>
      <c r="D715" s="573"/>
      <c r="E715" s="573"/>
      <c r="F715" s="72"/>
      <c r="G715" s="110"/>
      <c r="H715" s="110"/>
      <c r="I715" s="72"/>
      <c r="J715" s="110"/>
      <c r="K715" s="114"/>
      <c r="L715" s="74"/>
      <c r="M715" s="75"/>
      <c r="N715" s="244"/>
    </row>
    <row r="716" spans="1:14" ht="3.95" customHeight="1" outlineLevel="1">
      <c r="A716" s="92"/>
      <c r="B716" s="61"/>
      <c r="C716" s="62"/>
      <c r="D716" s="60"/>
      <c r="E716" s="60"/>
      <c r="F716" s="61"/>
      <c r="G716" s="108"/>
      <c r="H716" s="108"/>
      <c r="I716" s="64"/>
      <c r="J716" s="108"/>
      <c r="K716" s="113"/>
      <c r="L716" s="63"/>
      <c r="M716" s="64"/>
      <c r="N716" s="245"/>
    </row>
    <row r="717" spans="1:14" ht="11.45" customHeight="1" outlineLevel="1">
      <c r="A717" s="582" t="s">
        <v>298</v>
      </c>
      <c r="B717" s="65" t="s">
        <v>32</v>
      </c>
      <c r="C717" s="90" t="s">
        <v>196</v>
      </c>
      <c r="D717" s="583" t="s">
        <v>101</v>
      </c>
      <c r="E717" s="583" t="s">
        <v>286</v>
      </c>
      <c r="F717" s="66" t="s">
        <v>33</v>
      </c>
      <c r="G717" s="109">
        <f>SUM(G718:G720)</f>
        <v>1797745</v>
      </c>
      <c r="H717" s="109">
        <f>SUM(H718:H720)</f>
        <v>18975</v>
      </c>
      <c r="I717" s="37">
        <f>IF(G717&gt;0,H717/G717*100,"-")</f>
        <v>1.0554889597801689</v>
      </c>
      <c r="J717" s="109">
        <f>SUM(J718:J720)</f>
        <v>2898770</v>
      </c>
      <c r="K717" s="109">
        <f>SUM(K718:K720)</f>
        <v>1778770</v>
      </c>
      <c r="L717" s="36">
        <f>SUM(L718:L720)</f>
        <v>0</v>
      </c>
      <c r="M717" s="37">
        <f>IF(K717&gt;0,L717/K717*100,"-")</f>
        <v>0</v>
      </c>
      <c r="N717" s="584" t="s">
        <v>399</v>
      </c>
    </row>
    <row r="718" spans="1:14" ht="11.45" customHeight="1" outlineLevel="1">
      <c r="A718" s="582"/>
      <c r="B718" s="65"/>
      <c r="C718" s="91" t="s">
        <v>197</v>
      </c>
      <c r="D718" s="583"/>
      <c r="E718" s="583"/>
      <c r="F718" s="67" t="s">
        <v>21</v>
      </c>
      <c r="G718" s="89">
        <v>1797745</v>
      </c>
      <c r="H718" s="89">
        <f>ROUNDUP(18975+L718,0)</f>
        <v>18975</v>
      </c>
      <c r="I718" s="563">
        <f>IF(G718&gt;0,H718/G718*100,"-")</f>
        <v>1.0554889597801689</v>
      </c>
      <c r="J718" s="89">
        <v>2898770</v>
      </c>
      <c r="K718" s="89">
        <v>1778770</v>
      </c>
      <c r="L718" s="70">
        <v>0</v>
      </c>
      <c r="M718" s="563">
        <f>IF(K718&gt;0,L718/K718*100,"-")</f>
        <v>0</v>
      </c>
      <c r="N718" s="584"/>
    </row>
    <row r="719" spans="1:14" ht="11.45" customHeight="1" outlineLevel="1">
      <c r="A719" s="582"/>
      <c r="B719" s="65"/>
      <c r="C719" s="91" t="s">
        <v>198</v>
      </c>
      <c r="D719" s="583"/>
      <c r="E719" s="583"/>
      <c r="F719" s="67" t="s">
        <v>215</v>
      </c>
      <c r="G719" s="89">
        <v>0</v>
      </c>
      <c r="H719" s="89">
        <f>ROUNDUP(0+L719,0)</f>
        <v>0</v>
      </c>
      <c r="I719" s="563" t="str">
        <f t="shared" ref="I719:I720" si="171">IF(G719&gt;0,H719/G719*100,"-")</f>
        <v>-</v>
      </c>
      <c r="J719" s="89">
        <v>0</v>
      </c>
      <c r="K719" s="89">
        <v>0</v>
      </c>
      <c r="L719" s="76">
        <v>0</v>
      </c>
      <c r="M719" s="563" t="str">
        <f t="shared" ref="M719:M720" si="172">IF(K719&gt;0,L719/K719*100,"-")</f>
        <v>-</v>
      </c>
      <c r="N719" s="584"/>
    </row>
    <row r="720" spans="1:14" ht="11.45" customHeight="1" outlineLevel="1">
      <c r="A720" s="582"/>
      <c r="B720" s="65" t="s">
        <v>26</v>
      </c>
      <c r="C720" s="91" t="s">
        <v>173</v>
      </c>
      <c r="D720" s="583"/>
      <c r="E720" s="583"/>
      <c r="F720" s="67" t="s">
        <v>25</v>
      </c>
      <c r="G720" s="89">
        <v>0</v>
      </c>
      <c r="H720" s="89">
        <f>ROUNDUP(0+L720,0)</f>
        <v>0</v>
      </c>
      <c r="I720" s="563" t="str">
        <f t="shared" si="171"/>
        <v>-</v>
      </c>
      <c r="J720" s="89">
        <v>0</v>
      </c>
      <c r="K720" s="89">
        <v>0</v>
      </c>
      <c r="L720" s="76">
        <v>0</v>
      </c>
      <c r="M720" s="563" t="str">
        <f t="shared" si="172"/>
        <v>-</v>
      </c>
      <c r="N720" s="584"/>
    </row>
    <row r="721" spans="1:14" ht="3.95" customHeight="1" outlineLevel="1">
      <c r="A721" s="93"/>
      <c r="B721" s="72"/>
      <c r="C721" s="73"/>
      <c r="D721" s="565"/>
      <c r="E721" s="565"/>
      <c r="F721" s="72"/>
      <c r="G721" s="110"/>
      <c r="H721" s="110"/>
      <c r="I721" s="72"/>
      <c r="J721" s="110"/>
      <c r="K721" s="114"/>
      <c r="L721" s="74"/>
      <c r="M721" s="75"/>
      <c r="N721" s="244"/>
    </row>
    <row r="722" spans="1:14" ht="3.95" customHeight="1" outlineLevel="1">
      <c r="A722" s="92"/>
      <c r="B722" s="61"/>
      <c r="C722" s="62"/>
      <c r="D722" s="60"/>
      <c r="E722" s="60"/>
      <c r="F722" s="61"/>
      <c r="G722" s="108"/>
      <c r="H722" s="108"/>
      <c r="I722" s="64"/>
      <c r="J722" s="108"/>
      <c r="K722" s="113"/>
      <c r="L722" s="63"/>
      <c r="M722" s="64"/>
      <c r="N722" s="245"/>
    </row>
    <row r="723" spans="1:14" ht="11.45" customHeight="1" outlineLevel="1">
      <c r="A723" s="582" t="s">
        <v>299</v>
      </c>
      <c r="B723" s="65" t="s">
        <v>32</v>
      </c>
      <c r="C723" s="90" t="s">
        <v>287</v>
      </c>
      <c r="D723" s="583" t="s">
        <v>276</v>
      </c>
      <c r="E723" s="583" t="s">
        <v>290</v>
      </c>
      <c r="F723" s="66" t="s">
        <v>33</v>
      </c>
      <c r="G723" s="109">
        <f>SUM(G724:G726)</f>
        <v>6533216</v>
      </c>
      <c r="H723" s="109">
        <f>SUM(H724:H726)</f>
        <v>155288</v>
      </c>
      <c r="I723" s="37">
        <f>IF(G723&gt;0,H723/G723*100,"-")</f>
        <v>2.3768998300377637</v>
      </c>
      <c r="J723" s="109">
        <f>SUM(J724:J726)</f>
        <v>4000000</v>
      </c>
      <c r="K723" s="109">
        <f>SUM(K724:K726)</f>
        <v>417085</v>
      </c>
      <c r="L723" s="36">
        <f>SUM(L724:L726)</f>
        <v>155287.81</v>
      </c>
      <c r="M723" s="37">
        <f>IF(K723&gt;0,L723/K723*100,"-")</f>
        <v>37.231693779445436</v>
      </c>
      <c r="N723" s="584" t="s">
        <v>400</v>
      </c>
    </row>
    <row r="724" spans="1:14" ht="11.45" customHeight="1" outlineLevel="1">
      <c r="A724" s="582"/>
      <c r="B724" s="65"/>
      <c r="C724" s="91" t="s">
        <v>288</v>
      </c>
      <c r="D724" s="583"/>
      <c r="E724" s="583"/>
      <c r="F724" s="67" t="s">
        <v>21</v>
      </c>
      <c r="G724" s="89">
        <v>6533216</v>
      </c>
      <c r="H724" s="89">
        <f>ROUNDUP(0+L724,0)</f>
        <v>155288</v>
      </c>
      <c r="I724" s="68">
        <f>IF(G724&gt;0,H724/G724*100,"-")</f>
        <v>2.3768998300377637</v>
      </c>
      <c r="J724" s="89">
        <v>4000000</v>
      </c>
      <c r="K724" s="89">
        <v>417085</v>
      </c>
      <c r="L724" s="70">
        <v>155287.81</v>
      </c>
      <c r="M724" s="68">
        <f>IF(K724&gt;0,L724/K724*100,"-")</f>
        <v>37.231693779445436</v>
      </c>
      <c r="N724" s="584"/>
    </row>
    <row r="725" spans="1:14" ht="11.45" customHeight="1" outlineLevel="1">
      <c r="A725" s="582"/>
      <c r="B725" s="65" t="s">
        <v>26</v>
      </c>
      <c r="C725" s="91" t="s">
        <v>289</v>
      </c>
      <c r="D725" s="583"/>
      <c r="E725" s="583"/>
      <c r="F725" s="67" t="s">
        <v>215</v>
      </c>
      <c r="G725" s="89">
        <v>0</v>
      </c>
      <c r="H725" s="89">
        <f>ROUNDUP(0+L725,0)</f>
        <v>0</v>
      </c>
      <c r="I725" s="68" t="str">
        <f t="shared" ref="I725:I726" si="173">IF(G725&gt;0,H725/G725*100,"-")</f>
        <v>-</v>
      </c>
      <c r="J725" s="89">
        <v>0</v>
      </c>
      <c r="K725" s="89">
        <v>0</v>
      </c>
      <c r="L725" s="76">
        <v>0</v>
      </c>
      <c r="M725" s="68" t="str">
        <f t="shared" ref="M725:M726" si="174">IF(K725&gt;0,L725/K725*100,"-")</f>
        <v>-</v>
      </c>
      <c r="N725" s="584"/>
    </row>
    <row r="726" spans="1:14" ht="11.45" customHeight="1" outlineLevel="1">
      <c r="A726" s="582"/>
      <c r="B726" s="65"/>
      <c r="C726" s="91"/>
      <c r="D726" s="583"/>
      <c r="E726" s="583"/>
      <c r="F726" s="67" t="s">
        <v>25</v>
      </c>
      <c r="G726" s="89">
        <v>0</v>
      </c>
      <c r="H726" s="89">
        <f>ROUNDUP(0+L726,0)</f>
        <v>0</v>
      </c>
      <c r="I726" s="68" t="str">
        <f t="shared" si="173"/>
        <v>-</v>
      </c>
      <c r="J726" s="89">
        <v>0</v>
      </c>
      <c r="K726" s="89">
        <v>0</v>
      </c>
      <c r="L726" s="76">
        <v>0</v>
      </c>
      <c r="M726" s="68" t="str">
        <f t="shared" si="174"/>
        <v>-</v>
      </c>
      <c r="N726" s="584"/>
    </row>
    <row r="727" spans="1:14" ht="45" customHeight="1" outlineLevel="1">
      <c r="A727" s="232"/>
      <c r="B727" s="65"/>
      <c r="C727" s="91"/>
      <c r="D727" s="233"/>
      <c r="E727" s="233"/>
      <c r="F727" s="87"/>
      <c r="G727" s="112"/>
      <c r="H727" s="112"/>
      <c r="I727" s="88"/>
      <c r="J727" s="112"/>
      <c r="K727" s="89"/>
      <c r="L727" s="76"/>
      <c r="M727" s="68"/>
      <c r="N727" s="584"/>
    </row>
    <row r="728" spans="1:14" ht="3.95" customHeight="1" outlineLevel="1">
      <c r="A728" s="93"/>
      <c r="B728" s="72"/>
      <c r="C728" s="73"/>
      <c r="D728" s="71"/>
      <c r="E728" s="71"/>
      <c r="F728" s="72"/>
      <c r="G728" s="110"/>
      <c r="H728" s="110"/>
      <c r="I728" s="72"/>
      <c r="J728" s="110"/>
      <c r="K728" s="114"/>
      <c r="L728" s="74"/>
      <c r="M728" s="75"/>
      <c r="N728" s="244"/>
    </row>
    <row r="729" spans="1:14" ht="3.95" customHeight="1" outlineLevel="1">
      <c r="A729" s="92"/>
      <c r="B729" s="61"/>
      <c r="C729" s="62"/>
      <c r="D729" s="60"/>
      <c r="E729" s="60"/>
      <c r="F729" s="61"/>
      <c r="G729" s="108"/>
      <c r="H729" s="108"/>
      <c r="I729" s="64"/>
      <c r="J729" s="108"/>
      <c r="K729" s="113"/>
      <c r="L729" s="63"/>
      <c r="M729" s="64"/>
      <c r="N729" s="245"/>
    </row>
    <row r="730" spans="1:14" ht="11.45" customHeight="1" outlineLevel="1">
      <c r="A730" s="582" t="s">
        <v>300</v>
      </c>
      <c r="B730" s="65" t="s">
        <v>32</v>
      </c>
      <c r="C730" s="69" t="s">
        <v>143</v>
      </c>
      <c r="D730" s="583" t="s">
        <v>171</v>
      </c>
      <c r="E730" s="583" t="s">
        <v>106</v>
      </c>
      <c r="F730" s="66" t="s">
        <v>33</v>
      </c>
      <c r="G730" s="109">
        <f>SUM(G731:G733)</f>
        <v>4498737</v>
      </c>
      <c r="H730" s="109">
        <f>SUM(H731:H733)</f>
        <v>498580</v>
      </c>
      <c r="I730" s="37">
        <f>IF(G730&gt;0,H730/G730*100,"-")</f>
        <v>11.082666090504958</v>
      </c>
      <c r="J730" s="109">
        <f>SUM(J731:J733)</f>
        <v>1000000</v>
      </c>
      <c r="K730" s="109">
        <f>SUM(K731:K733)</f>
        <v>1004236</v>
      </c>
      <c r="L730" s="36">
        <f>SUM(L731:L733)</f>
        <v>4078.17</v>
      </c>
      <c r="M730" s="37">
        <f>IF(K730&gt;0,L730/K730*100,"-")</f>
        <v>0.4060967740650604</v>
      </c>
      <c r="N730" s="584" t="s">
        <v>401</v>
      </c>
    </row>
    <row r="731" spans="1:14" ht="11.45" customHeight="1" outlineLevel="1">
      <c r="A731" s="582"/>
      <c r="B731" s="97"/>
      <c r="C731" s="69" t="s">
        <v>144</v>
      </c>
      <c r="D731" s="583"/>
      <c r="E731" s="583"/>
      <c r="F731" s="67" t="s">
        <v>21</v>
      </c>
      <c r="G731" s="89">
        <v>4498737</v>
      </c>
      <c r="H731" s="89">
        <f>ROUNDUP(494501+L731,0)</f>
        <v>498580</v>
      </c>
      <c r="I731" s="68">
        <f>IF(G731&gt;0,H731/G731*100,"-")</f>
        <v>11.082666090504958</v>
      </c>
      <c r="J731" s="89">
        <v>1000000</v>
      </c>
      <c r="K731" s="89">
        <v>1004236</v>
      </c>
      <c r="L731" s="70">
        <v>4078.17</v>
      </c>
      <c r="M731" s="68">
        <f>IF(K731&gt;0,L731/K731*100,"-")</f>
        <v>0.4060967740650604</v>
      </c>
      <c r="N731" s="584"/>
    </row>
    <row r="732" spans="1:14" ht="11.45" customHeight="1" outlineLevel="1">
      <c r="A732" s="582"/>
      <c r="B732" s="65" t="s">
        <v>26</v>
      </c>
      <c r="C732" s="69" t="s">
        <v>140</v>
      </c>
      <c r="D732" s="583"/>
      <c r="E732" s="583"/>
      <c r="F732" s="67" t="s">
        <v>215</v>
      </c>
      <c r="G732" s="89">
        <v>0</v>
      </c>
      <c r="H732" s="89">
        <f>ROUNDUP(0+L732,0)</f>
        <v>0</v>
      </c>
      <c r="I732" s="68" t="str">
        <f t="shared" ref="I732:I733" si="175">IF(G732&gt;0,H732/G732*100,"-")</f>
        <v>-</v>
      </c>
      <c r="J732" s="89">
        <v>0</v>
      </c>
      <c r="K732" s="89">
        <v>0</v>
      </c>
      <c r="L732" s="76">
        <v>0</v>
      </c>
      <c r="M732" s="68" t="str">
        <f t="shared" ref="M732:M733" si="176">IF(K732&gt;0,L732/K732*100,"-")</f>
        <v>-</v>
      </c>
      <c r="N732" s="584"/>
    </row>
    <row r="733" spans="1:14" ht="11.45" customHeight="1" outlineLevel="1">
      <c r="A733" s="582"/>
      <c r="B733" s="97"/>
      <c r="C733" s="69" t="s">
        <v>141</v>
      </c>
      <c r="D733" s="583"/>
      <c r="E733" s="583"/>
      <c r="F733" s="67" t="s">
        <v>25</v>
      </c>
      <c r="G733" s="89">
        <v>0</v>
      </c>
      <c r="H733" s="89">
        <f>ROUNDUP(0+L733,0)</f>
        <v>0</v>
      </c>
      <c r="I733" s="68" t="str">
        <f t="shared" si="175"/>
        <v>-</v>
      </c>
      <c r="J733" s="89">
        <v>0</v>
      </c>
      <c r="K733" s="89">
        <v>0</v>
      </c>
      <c r="L733" s="76">
        <v>0</v>
      </c>
      <c r="M733" s="68" t="str">
        <f t="shared" si="176"/>
        <v>-</v>
      </c>
      <c r="N733" s="584"/>
    </row>
    <row r="734" spans="1:14" ht="14.25" customHeight="1" outlineLevel="1">
      <c r="A734" s="232"/>
      <c r="B734" s="97"/>
      <c r="C734" s="69"/>
      <c r="D734" s="233"/>
      <c r="E734" s="233"/>
      <c r="F734" s="87"/>
      <c r="G734" s="112"/>
      <c r="H734" s="112"/>
      <c r="I734" s="88"/>
      <c r="J734" s="112"/>
      <c r="K734" s="89"/>
      <c r="L734" s="76"/>
      <c r="M734" s="68"/>
      <c r="N734" s="584"/>
    </row>
    <row r="735" spans="1:14" ht="3.95" customHeight="1" outlineLevel="1">
      <c r="A735" s="93"/>
      <c r="B735" s="72"/>
      <c r="C735" s="73"/>
      <c r="D735" s="71"/>
      <c r="E735" s="71"/>
      <c r="F735" s="72"/>
      <c r="G735" s="110"/>
      <c r="H735" s="110"/>
      <c r="I735" s="72"/>
      <c r="J735" s="110"/>
      <c r="K735" s="114"/>
      <c r="L735" s="74"/>
      <c r="M735" s="75"/>
      <c r="N735" s="244"/>
    </row>
    <row r="736" spans="1:14" ht="3.95" customHeight="1" outlineLevel="1">
      <c r="A736" s="92"/>
      <c r="B736" s="61"/>
      <c r="C736" s="62"/>
      <c r="D736" s="60"/>
      <c r="E736" s="60"/>
      <c r="F736" s="61"/>
      <c r="G736" s="108"/>
      <c r="H736" s="108"/>
      <c r="I736" s="64"/>
      <c r="J736" s="108"/>
      <c r="K736" s="113"/>
      <c r="L736" s="63"/>
      <c r="M736" s="64"/>
      <c r="N736" s="245"/>
    </row>
    <row r="737" spans="1:14" ht="11.45" customHeight="1" outlineLevel="1">
      <c r="A737" s="582" t="s">
        <v>301</v>
      </c>
      <c r="B737" s="65" t="s">
        <v>32</v>
      </c>
      <c r="C737" s="69" t="s">
        <v>291</v>
      </c>
      <c r="D737" s="583" t="s">
        <v>276</v>
      </c>
      <c r="E737" s="583" t="s">
        <v>106</v>
      </c>
      <c r="F737" s="66" t="s">
        <v>33</v>
      </c>
      <c r="G737" s="109">
        <f>SUM(G738:G740)</f>
        <v>616745</v>
      </c>
      <c r="H737" s="109">
        <f>SUM(H738:H740)</f>
        <v>14398</v>
      </c>
      <c r="I737" s="37">
        <f>IF(G737&gt;0,H737/G737*100,"-")</f>
        <v>2.3345142644042514</v>
      </c>
      <c r="J737" s="109">
        <f>SUM(J738:J740)</f>
        <v>0</v>
      </c>
      <c r="K737" s="109">
        <f>SUM(K738:K740)</f>
        <v>316745</v>
      </c>
      <c r="L737" s="36">
        <f>SUM(L738:L740)</f>
        <v>14397.93</v>
      </c>
      <c r="M737" s="37">
        <f>IF(K737&gt;0,L737/K737*100,"-")</f>
        <v>4.5455903013465093</v>
      </c>
      <c r="N737" s="584" t="s">
        <v>402</v>
      </c>
    </row>
    <row r="738" spans="1:14" ht="11.45" customHeight="1" outlineLevel="1">
      <c r="A738" s="582"/>
      <c r="B738" s="97"/>
      <c r="C738" s="69" t="s">
        <v>292</v>
      </c>
      <c r="D738" s="583"/>
      <c r="E738" s="583"/>
      <c r="F738" s="67" t="s">
        <v>21</v>
      </c>
      <c r="G738" s="89">
        <v>316745</v>
      </c>
      <c r="H738" s="89">
        <f>ROUNDUP(0+L738,0)</f>
        <v>14398</v>
      </c>
      <c r="I738" s="68">
        <f>IF(G738&gt;0,H738/G738*100,"-")</f>
        <v>4.5456124011428756</v>
      </c>
      <c r="J738" s="89">
        <v>0</v>
      </c>
      <c r="K738" s="89">
        <v>16745</v>
      </c>
      <c r="L738" s="70">
        <v>14397.93</v>
      </c>
      <c r="M738" s="68">
        <f>IF(K738&gt;0,L738/K738*100,"-")</f>
        <v>85.983457748581671</v>
      </c>
      <c r="N738" s="584"/>
    </row>
    <row r="739" spans="1:14" ht="11.45" customHeight="1" outlineLevel="1">
      <c r="A739" s="582"/>
      <c r="B739" s="65" t="s">
        <v>26</v>
      </c>
      <c r="C739" s="69" t="s">
        <v>140</v>
      </c>
      <c r="D739" s="583"/>
      <c r="E739" s="583"/>
      <c r="F739" s="67" t="s">
        <v>215</v>
      </c>
      <c r="G739" s="89">
        <v>0</v>
      </c>
      <c r="H739" s="89">
        <f>ROUNDUP(0+L739,0)</f>
        <v>0</v>
      </c>
      <c r="I739" s="68" t="str">
        <f t="shared" ref="I739:I740" si="177">IF(G739&gt;0,H739/G739*100,"-")</f>
        <v>-</v>
      </c>
      <c r="J739" s="89">
        <v>0</v>
      </c>
      <c r="K739" s="89">
        <v>0</v>
      </c>
      <c r="L739" s="76">
        <v>0</v>
      </c>
      <c r="M739" s="68" t="str">
        <f t="shared" ref="M739:M740" si="178">IF(K739&gt;0,L739/K739*100,"-")</f>
        <v>-</v>
      </c>
      <c r="N739" s="584"/>
    </row>
    <row r="740" spans="1:14" ht="11.45" customHeight="1" outlineLevel="1">
      <c r="A740" s="582"/>
      <c r="B740" s="97"/>
      <c r="C740" s="69" t="s">
        <v>141</v>
      </c>
      <c r="D740" s="583"/>
      <c r="E740" s="583"/>
      <c r="F740" s="67" t="s">
        <v>25</v>
      </c>
      <c r="G740" s="89">
        <v>300000</v>
      </c>
      <c r="H740" s="89">
        <f>ROUNDUP(0+L740,0)</f>
        <v>0</v>
      </c>
      <c r="I740" s="68">
        <f t="shared" si="177"/>
        <v>0</v>
      </c>
      <c r="J740" s="89">
        <v>0</v>
      </c>
      <c r="K740" s="89">
        <v>300000</v>
      </c>
      <c r="L740" s="76">
        <v>0</v>
      </c>
      <c r="M740" s="68">
        <f t="shared" si="178"/>
        <v>0</v>
      </c>
      <c r="N740" s="584"/>
    </row>
    <row r="741" spans="1:14" ht="3.95" customHeight="1" outlineLevel="1">
      <c r="A741" s="93"/>
      <c r="B741" s="72"/>
      <c r="C741" s="73"/>
      <c r="D741" s="71"/>
      <c r="E741" s="71"/>
      <c r="F741" s="72"/>
      <c r="G741" s="110"/>
      <c r="H741" s="110"/>
      <c r="I741" s="72"/>
      <c r="J741" s="110"/>
      <c r="K741" s="114"/>
      <c r="L741" s="74"/>
      <c r="M741" s="75"/>
      <c r="N741" s="244"/>
    </row>
    <row r="742" spans="1:14" ht="3.95" customHeight="1" outlineLevel="1">
      <c r="A742" s="92"/>
      <c r="B742" s="61"/>
      <c r="C742" s="62"/>
      <c r="D742" s="60"/>
      <c r="E742" s="60"/>
      <c r="F742" s="61"/>
      <c r="G742" s="108"/>
      <c r="H742" s="108"/>
      <c r="I742" s="64"/>
      <c r="J742" s="108"/>
      <c r="K742" s="113"/>
      <c r="L742" s="63"/>
      <c r="M742" s="64"/>
      <c r="N742" s="245"/>
    </row>
    <row r="743" spans="1:14" ht="11.45" customHeight="1" outlineLevel="1">
      <c r="A743" s="582" t="s">
        <v>343</v>
      </c>
      <c r="B743" s="65" t="s">
        <v>32</v>
      </c>
      <c r="C743" s="90" t="s">
        <v>172</v>
      </c>
      <c r="D743" s="583" t="s">
        <v>293</v>
      </c>
      <c r="E743" s="583" t="s">
        <v>148</v>
      </c>
      <c r="F743" s="66" t="s">
        <v>33</v>
      </c>
      <c r="G743" s="109">
        <f>SUM(G744:G746)</f>
        <v>6522342</v>
      </c>
      <c r="H743" s="109">
        <f>SUM(H744:H746)</f>
        <v>22342</v>
      </c>
      <c r="I743" s="37">
        <f>IF(G743&gt;0,H743/G743*100,"-")</f>
        <v>0.34254566841174533</v>
      </c>
      <c r="J743" s="109">
        <f>SUM(J744:J746)</f>
        <v>0</v>
      </c>
      <c r="K743" s="109">
        <f>SUM(K744:K746)</f>
        <v>0</v>
      </c>
      <c r="L743" s="36">
        <f>SUM(L744:L746)</f>
        <v>0</v>
      </c>
      <c r="M743" s="37" t="str">
        <f>IF(K743&gt;0,L743/K743*100,"-")</f>
        <v>-</v>
      </c>
      <c r="N743" s="584" t="s">
        <v>392</v>
      </c>
    </row>
    <row r="744" spans="1:14" ht="11.45" customHeight="1" outlineLevel="1">
      <c r="A744" s="582"/>
      <c r="B744" s="65" t="s">
        <v>26</v>
      </c>
      <c r="C744" s="38" t="s">
        <v>84</v>
      </c>
      <c r="D744" s="583"/>
      <c r="E744" s="583"/>
      <c r="F744" s="67" t="s">
        <v>21</v>
      </c>
      <c r="G744" s="89">
        <v>6522342</v>
      </c>
      <c r="H744" s="89">
        <f>ROUNDUP(22342+L744,0)</f>
        <v>22342</v>
      </c>
      <c r="I744" s="68">
        <f>IF(G744&gt;0,H744/G744*100,"-")</f>
        <v>0.34254566841174533</v>
      </c>
      <c r="J744" s="89">
        <v>0</v>
      </c>
      <c r="K744" s="89">
        <v>0</v>
      </c>
      <c r="L744" s="70">
        <v>0</v>
      </c>
      <c r="M744" s="68" t="str">
        <f>IF(K744&gt;0,L744/K744*100,"-")</f>
        <v>-</v>
      </c>
      <c r="N744" s="584"/>
    </row>
    <row r="745" spans="1:14" ht="11.45" customHeight="1" outlineLevel="1">
      <c r="A745" s="582"/>
      <c r="B745" s="65"/>
      <c r="C745" s="91"/>
      <c r="D745" s="583"/>
      <c r="E745" s="583"/>
      <c r="F745" s="67" t="s">
        <v>215</v>
      </c>
      <c r="G745" s="89">
        <v>0</v>
      </c>
      <c r="H745" s="89">
        <f>ROUNDUP(0+L745,0)</f>
        <v>0</v>
      </c>
      <c r="I745" s="68" t="str">
        <f t="shared" ref="I745:I746" si="179">IF(G745&gt;0,H745/G745*100,"-")</f>
        <v>-</v>
      </c>
      <c r="J745" s="89">
        <v>0</v>
      </c>
      <c r="K745" s="89">
        <v>0</v>
      </c>
      <c r="L745" s="76">
        <v>0</v>
      </c>
      <c r="M745" s="68" t="str">
        <f t="shared" ref="M745:M746" si="180">IF(K745&gt;0,L745/K745*100,"-")</f>
        <v>-</v>
      </c>
      <c r="N745" s="584"/>
    </row>
    <row r="746" spans="1:14" ht="11.45" customHeight="1" outlineLevel="1">
      <c r="A746" s="582"/>
      <c r="B746" s="97"/>
      <c r="C746" s="69"/>
      <c r="D746" s="583"/>
      <c r="E746" s="583"/>
      <c r="F746" s="67" t="s">
        <v>25</v>
      </c>
      <c r="G746" s="89">
        <v>0</v>
      </c>
      <c r="H746" s="89">
        <f>ROUNDUP(0+L746,0)</f>
        <v>0</v>
      </c>
      <c r="I746" s="68" t="str">
        <f t="shared" si="179"/>
        <v>-</v>
      </c>
      <c r="J746" s="89">
        <v>0</v>
      </c>
      <c r="K746" s="89">
        <v>0</v>
      </c>
      <c r="L746" s="76">
        <v>0</v>
      </c>
      <c r="M746" s="68" t="str">
        <f t="shared" si="180"/>
        <v>-</v>
      </c>
      <c r="N746" s="584"/>
    </row>
    <row r="747" spans="1:14" ht="3.95" customHeight="1" outlineLevel="1">
      <c r="A747" s="93"/>
      <c r="B747" s="72"/>
      <c r="C747" s="73"/>
      <c r="D747" s="71"/>
      <c r="E747" s="71"/>
      <c r="F747" s="72"/>
      <c r="G747" s="110"/>
      <c r="H747" s="110"/>
      <c r="I747" s="72"/>
      <c r="J747" s="110"/>
      <c r="K747" s="114"/>
      <c r="L747" s="74"/>
      <c r="M747" s="75"/>
      <c r="N747" s="244"/>
    </row>
    <row r="748" spans="1:14" ht="3.95" customHeight="1" outlineLevel="1">
      <c r="A748" s="92"/>
      <c r="B748" s="61"/>
      <c r="C748" s="62"/>
      <c r="D748" s="60"/>
      <c r="E748" s="60"/>
      <c r="F748" s="61"/>
      <c r="G748" s="108"/>
      <c r="H748" s="108"/>
      <c r="I748" s="64"/>
      <c r="J748" s="108"/>
      <c r="K748" s="113"/>
      <c r="L748" s="63"/>
      <c r="M748" s="64"/>
      <c r="N748" s="245"/>
    </row>
    <row r="749" spans="1:14" ht="11.45" customHeight="1" outlineLevel="1">
      <c r="A749" s="582" t="s">
        <v>344</v>
      </c>
      <c r="B749" s="65" t="s">
        <v>32</v>
      </c>
      <c r="C749" s="69" t="s">
        <v>195</v>
      </c>
      <c r="D749" s="583" t="s">
        <v>294</v>
      </c>
      <c r="E749" s="583" t="s">
        <v>148</v>
      </c>
      <c r="F749" s="66" t="s">
        <v>33</v>
      </c>
      <c r="G749" s="109">
        <f>SUM(G750:G752)</f>
        <v>9329038</v>
      </c>
      <c r="H749" s="109">
        <f>SUM(H750:H752)</f>
        <v>249530</v>
      </c>
      <c r="I749" s="37">
        <f>IF(G749&gt;0,H749/G749*100,"-")</f>
        <v>2.6747666801228593</v>
      </c>
      <c r="J749" s="109">
        <f>SUM(J750:J752)</f>
        <v>100000</v>
      </c>
      <c r="K749" s="109">
        <f>SUM(K750:K752)</f>
        <v>212430</v>
      </c>
      <c r="L749" s="36">
        <f>SUM(L750:L752)</f>
        <v>132921.32</v>
      </c>
      <c r="M749" s="37">
        <f>IF(K749&gt;0,L749/K749*100,"-")</f>
        <v>62.571821305841922</v>
      </c>
      <c r="N749" s="584" t="s">
        <v>403</v>
      </c>
    </row>
    <row r="750" spans="1:14" ht="11.45" customHeight="1" outlineLevel="1">
      <c r="A750" s="582"/>
      <c r="B750" s="65"/>
      <c r="C750" s="91" t="s">
        <v>122</v>
      </c>
      <c r="D750" s="583"/>
      <c r="E750" s="583"/>
      <c r="F750" s="67" t="s">
        <v>21</v>
      </c>
      <c r="G750" s="89">
        <v>9329038</v>
      </c>
      <c r="H750" s="89">
        <f>ROUNDUP(116608+L750,0)</f>
        <v>249530</v>
      </c>
      <c r="I750" s="570">
        <f>IF(G750&gt;0,H750/G750*100,"-")</f>
        <v>2.6747666801228593</v>
      </c>
      <c r="J750" s="89">
        <v>100000</v>
      </c>
      <c r="K750" s="89">
        <v>212430</v>
      </c>
      <c r="L750" s="70">
        <v>132921.32</v>
      </c>
      <c r="M750" s="570">
        <f>IF(K750&gt;0,L750/K750*100,"-")</f>
        <v>62.571821305841922</v>
      </c>
      <c r="N750" s="584"/>
    </row>
    <row r="751" spans="1:14" ht="11.45" customHeight="1" outlineLevel="1">
      <c r="A751" s="582"/>
      <c r="B751" s="65" t="s">
        <v>26</v>
      </c>
      <c r="C751" s="91" t="s">
        <v>194</v>
      </c>
      <c r="D751" s="583"/>
      <c r="E751" s="583"/>
      <c r="F751" s="67" t="s">
        <v>215</v>
      </c>
      <c r="G751" s="89">
        <v>0</v>
      </c>
      <c r="H751" s="89">
        <f>ROUNDUP(0+L751,0)</f>
        <v>0</v>
      </c>
      <c r="I751" s="570" t="str">
        <f t="shared" ref="I751:I752" si="181">IF(G751&gt;0,H751/G751*100,"-")</f>
        <v>-</v>
      </c>
      <c r="J751" s="89">
        <v>0</v>
      </c>
      <c r="K751" s="89">
        <v>0</v>
      </c>
      <c r="L751" s="76">
        <v>0</v>
      </c>
      <c r="M751" s="570" t="str">
        <f t="shared" ref="M751:M752" si="182">IF(K751&gt;0,L751/K751*100,"-")</f>
        <v>-</v>
      </c>
      <c r="N751" s="584"/>
    </row>
    <row r="752" spans="1:14" ht="11.45" customHeight="1" outlineLevel="1">
      <c r="A752" s="582"/>
      <c r="B752" s="65"/>
      <c r="C752" s="69" t="s">
        <v>191</v>
      </c>
      <c r="D752" s="583"/>
      <c r="E752" s="583"/>
      <c r="F752" s="67" t="s">
        <v>25</v>
      </c>
      <c r="G752" s="89">
        <v>0</v>
      </c>
      <c r="H752" s="89">
        <f>ROUNDUP(0+L752,0)</f>
        <v>0</v>
      </c>
      <c r="I752" s="570" t="str">
        <f t="shared" si="181"/>
        <v>-</v>
      </c>
      <c r="J752" s="89">
        <v>0</v>
      </c>
      <c r="K752" s="89">
        <v>0</v>
      </c>
      <c r="L752" s="76">
        <v>0</v>
      </c>
      <c r="M752" s="570" t="str">
        <f t="shared" si="182"/>
        <v>-</v>
      </c>
      <c r="N752" s="584"/>
    </row>
    <row r="753" spans="1:14" ht="3.95" customHeight="1" outlineLevel="1">
      <c r="A753" s="93"/>
      <c r="B753" s="72"/>
      <c r="C753" s="73"/>
      <c r="D753" s="573"/>
      <c r="E753" s="573"/>
      <c r="F753" s="72"/>
      <c r="G753" s="110"/>
      <c r="H753" s="110"/>
      <c r="I753" s="72"/>
      <c r="J753" s="110"/>
      <c r="K753" s="114"/>
      <c r="L753" s="74"/>
      <c r="M753" s="75"/>
      <c r="N753" s="244"/>
    </row>
    <row r="754" spans="1:14" ht="3.95" customHeight="1" outlineLevel="1">
      <c r="A754" s="92"/>
      <c r="B754" s="61"/>
      <c r="C754" s="62"/>
      <c r="D754" s="571"/>
      <c r="E754" s="571"/>
      <c r="F754" s="61"/>
      <c r="G754" s="108"/>
      <c r="H754" s="108"/>
      <c r="I754" s="569"/>
      <c r="J754" s="108"/>
      <c r="K754" s="113"/>
      <c r="L754" s="63"/>
      <c r="M754" s="569"/>
      <c r="N754" s="576"/>
    </row>
    <row r="755" spans="1:14" ht="11.45" customHeight="1" outlineLevel="1">
      <c r="A755" s="582" t="s">
        <v>345</v>
      </c>
      <c r="B755" s="65" t="s">
        <v>32</v>
      </c>
      <c r="C755" s="90" t="s">
        <v>81</v>
      </c>
      <c r="D755" s="583" t="s">
        <v>149</v>
      </c>
      <c r="E755" s="583" t="s">
        <v>148</v>
      </c>
      <c r="F755" s="66" t="s">
        <v>33</v>
      </c>
      <c r="G755" s="109">
        <f>SUM(G756:G758)</f>
        <v>10847970</v>
      </c>
      <c r="H755" s="109">
        <f>SUM(H756:H758)</f>
        <v>47970</v>
      </c>
      <c r="I755" s="37">
        <f>IF(G755&gt;0,H755/G755*100,"-")</f>
        <v>0.44220255033891132</v>
      </c>
      <c r="J755" s="109">
        <f>SUM(J756:J758)</f>
        <v>0</v>
      </c>
      <c r="K755" s="109">
        <f>SUM(K756:K758)</f>
        <v>0</v>
      </c>
      <c r="L755" s="36">
        <f>SUM(L756:L758)</f>
        <v>0</v>
      </c>
      <c r="M755" s="37" t="str">
        <f>IF(K755&gt;0,L755/K755*100,"-")</f>
        <v>-</v>
      </c>
      <c r="N755" s="584" t="s">
        <v>404</v>
      </c>
    </row>
    <row r="756" spans="1:14" ht="11.45" customHeight="1" outlineLevel="1">
      <c r="A756" s="582"/>
      <c r="B756" s="65" t="s">
        <v>26</v>
      </c>
      <c r="C756" s="38" t="s">
        <v>84</v>
      </c>
      <c r="D756" s="583"/>
      <c r="E756" s="583"/>
      <c r="F756" s="67" t="s">
        <v>21</v>
      </c>
      <c r="G756" s="89">
        <v>10847970</v>
      </c>
      <c r="H756" s="89">
        <f>ROUNDUP(47970+L756,0)</f>
        <v>47970</v>
      </c>
      <c r="I756" s="570">
        <f>IF(G756&gt;0,H756/G756*100,"-")</f>
        <v>0.44220255033891132</v>
      </c>
      <c r="J756" s="89">
        <v>0</v>
      </c>
      <c r="K756" s="89">
        <v>0</v>
      </c>
      <c r="L756" s="70">
        <v>0</v>
      </c>
      <c r="M756" s="570" t="str">
        <f>IF(K756&gt;0,L756/K756*100,"-")</f>
        <v>-</v>
      </c>
      <c r="N756" s="584"/>
    </row>
    <row r="757" spans="1:14" ht="11.45" customHeight="1" outlineLevel="1">
      <c r="A757" s="582"/>
      <c r="B757" s="65"/>
      <c r="C757" s="91"/>
      <c r="D757" s="583"/>
      <c r="E757" s="583"/>
      <c r="F757" s="67" t="s">
        <v>215</v>
      </c>
      <c r="G757" s="89">
        <v>0</v>
      </c>
      <c r="H757" s="89">
        <f>ROUNDUP(0+L757,0)</f>
        <v>0</v>
      </c>
      <c r="I757" s="570" t="str">
        <f t="shared" ref="I757:I758" si="183">IF(G757&gt;0,H757/G757*100,"-")</f>
        <v>-</v>
      </c>
      <c r="J757" s="89">
        <v>0</v>
      </c>
      <c r="K757" s="89">
        <v>0</v>
      </c>
      <c r="L757" s="76">
        <v>0</v>
      </c>
      <c r="M757" s="570" t="str">
        <f t="shared" ref="M757:M758" si="184">IF(K757&gt;0,L757/K757*100,"-")</f>
        <v>-</v>
      </c>
      <c r="N757" s="584"/>
    </row>
    <row r="758" spans="1:14" ht="11.45" customHeight="1" outlineLevel="1">
      <c r="A758" s="582"/>
      <c r="B758" s="97"/>
      <c r="C758" s="69"/>
      <c r="D758" s="583"/>
      <c r="E758" s="583"/>
      <c r="F758" s="67" t="s">
        <v>25</v>
      </c>
      <c r="G758" s="89">
        <v>0</v>
      </c>
      <c r="H758" s="89">
        <f>ROUNDUP(0+L758,0)</f>
        <v>0</v>
      </c>
      <c r="I758" s="570" t="str">
        <f t="shared" si="183"/>
        <v>-</v>
      </c>
      <c r="J758" s="89">
        <v>0</v>
      </c>
      <c r="K758" s="89">
        <v>0</v>
      </c>
      <c r="L758" s="76">
        <v>0</v>
      </c>
      <c r="M758" s="570" t="str">
        <f t="shared" si="184"/>
        <v>-</v>
      </c>
      <c r="N758" s="584"/>
    </row>
    <row r="759" spans="1:14" ht="3.95" customHeight="1" outlineLevel="1">
      <c r="A759" s="93"/>
      <c r="B759" s="72"/>
      <c r="C759" s="73"/>
      <c r="D759" s="573"/>
      <c r="E759" s="573"/>
      <c r="F759" s="72"/>
      <c r="G759" s="110"/>
      <c r="H759" s="110"/>
      <c r="I759" s="72"/>
      <c r="J759" s="110"/>
      <c r="K759" s="114"/>
      <c r="L759" s="74"/>
      <c r="M759" s="75"/>
      <c r="N759" s="194"/>
    </row>
    <row r="760" spans="1:14" ht="3.95" customHeight="1">
      <c r="A760" s="128"/>
      <c r="B760" s="124"/>
      <c r="C760" s="127"/>
      <c r="D760" s="128"/>
      <c r="E760" s="128"/>
      <c r="F760" s="124"/>
      <c r="G760" s="129"/>
      <c r="H760" s="129"/>
      <c r="I760" s="124"/>
      <c r="J760" s="129"/>
      <c r="K760" s="125"/>
      <c r="L760" s="130"/>
      <c r="M760" s="131"/>
      <c r="N760" s="187"/>
    </row>
    <row r="761" spans="1:14" ht="11.25" customHeight="1">
      <c r="A761" s="27" t="s">
        <v>53</v>
      </c>
      <c r="B761" s="588" t="s">
        <v>295</v>
      </c>
      <c r="C761" s="589"/>
      <c r="D761" s="28"/>
      <c r="E761" s="28"/>
      <c r="F761" s="29"/>
      <c r="G761" s="105">
        <f>SUM(G762:G764)</f>
        <v>356600</v>
      </c>
      <c r="H761" s="105">
        <f>SUM(H762:H764)</f>
        <v>356600</v>
      </c>
      <c r="I761" s="31">
        <f>IF(G761&gt;0,H761/G761*100,"-")</f>
        <v>100</v>
      </c>
      <c r="J761" s="105">
        <f>SUM(J762:J764)</f>
        <v>350000</v>
      </c>
      <c r="K761" s="105">
        <f>SUM(K762:K764)</f>
        <v>0</v>
      </c>
      <c r="L761" s="30">
        <f>SUM(L762:L764)</f>
        <v>0</v>
      </c>
      <c r="M761" s="31" t="str">
        <f>IF(K761&gt;0,L761/K761*100,"-")</f>
        <v>-</v>
      </c>
      <c r="N761" s="187"/>
    </row>
    <row r="762" spans="1:14" ht="11.25" customHeight="1">
      <c r="A762" s="29"/>
      <c r="B762" s="32"/>
      <c r="C762" s="173"/>
      <c r="D762" s="28"/>
      <c r="E762" s="28"/>
      <c r="F762" s="33" t="s">
        <v>21</v>
      </c>
      <c r="G762" s="106">
        <f>G768</f>
        <v>356600</v>
      </c>
      <c r="H762" s="106">
        <f>H768</f>
        <v>356600</v>
      </c>
      <c r="I762" s="35">
        <f>IF(G762&gt;0,H762/G762*100,"-")</f>
        <v>100</v>
      </c>
      <c r="J762" s="106">
        <f>J768</f>
        <v>350000</v>
      </c>
      <c r="K762" s="106">
        <f>K768</f>
        <v>0</v>
      </c>
      <c r="L762" s="34">
        <f>L768</f>
        <v>0</v>
      </c>
      <c r="M762" s="35" t="str">
        <f>IF(K762&gt;0,L762/K762*100,"-")</f>
        <v>-</v>
      </c>
      <c r="N762" s="187"/>
    </row>
    <row r="763" spans="1:14" ht="11.25" customHeight="1">
      <c r="A763" s="29"/>
      <c r="B763" s="32"/>
      <c r="C763" s="173"/>
      <c r="D763" s="28"/>
      <c r="E763" s="28"/>
      <c r="F763" s="33" t="s">
        <v>215</v>
      </c>
      <c r="G763" s="106">
        <f t="shared" ref="G763:H764" si="185">G769</f>
        <v>0</v>
      </c>
      <c r="H763" s="106">
        <f t="shared" si="185"/>
        <v>0</v>
      </c>
      <c r="I763" s="35" t="str">
        <f t="shared" ref="I763:I764" si="186">IF(G763&gt;0,H763/G763*100,"-")</f>
        <v>-</v>
      </c>
      <c r="J763" s="106">
        <f t="shared" ref="J763:L763" si="187">J769</f>
        <v>0</v>
      </c>
      <c r="K763" s="106">
        <f t="shared" si="187"/>
        <v>0</v>
      </c>
      <c r="L763" s="34">
        <f t="shared" si="187"/>
        <v>0</v>
      </c>
      <c r="M763" s="35" t="str">
        <f t="shared" ref="M763:M764" si="188">IF(K763&gt;0,L763/K763*100,"-")</f>
        <v>-</v>
      </c>
      <c r="N763" s="187"/>
    </row>
    <row r="764" spans="1:14" ht="11.25" customHeight="1">
      <c r="A764" s="29"/>
      <c r="B764" s="32"/>
      <c r="C764" s="173"/>
      <c r="D764" s="28"/>
      <c r="E764" s="28"/>
      <c r="F764" s="33" t="s">
        <v>25</v>
      </c>
      <c r="G764" s="106">
        <f t="shared" si="185"/>
        <v>0</v>
      </c>
      <c r="H764" s="106">
        <f t="shared" si="185"/>
        <v>0</v>
      </c>
      <c r="I764" s="35" t="str">
        <f t="shared" si="186"/>
        <v>-</v>
      </c>
      <c r="J764" s="106">
        <f t="shared" ref="J764:L764" si="189">J770</f>
        <v>0</v>
      </c>
      <c r="K764" s="106">
        <f t="shared" si="189"/>
        <v>0</v>
      </c>
      <c r="L764" s="34">
        <f t="shared" si="189"/>
        <v>0</v>
      </c>
      <c r="M764" s="35" t="str">
        <f t="shared" si="188"/>
        <v>-</v>
      </c>
      <c r="N764" s="187"/>
    </row>
    <row r="765" spans="1:14" ht="3.95" customHeight="1">
      <c r="A765" s="55"/>
      <c r="B765" s="56"/>
      <c r="C765" s="174"/>
      <c r="D765" s="57"/>
      <c r="E765" s="57"/>
      <c r="F765" s="55"/>
      <c r="G765" s="107"/>
      <c r="H765" s="107"/>
      <c r="I765" s="59"/>
      <c r="J765" s="107"/>
      <c r="K765" s="107"/>
      <c r="L765" s="58"/>
      <c r="M765" s="59"/>
      <c r="N765" s="188"/>
    </row>
    <row r="766" spans="1:14" ht="3.95" customHeight="1" outlineLevel="1">
      <c r="A766" s="92"/>
      <c r="B766" s="61"/>
      <c r="C766" s="62"/>
      <c r="D766" s="60"/>
      <c r="E766" s="60"/>
      <c r="F766" s="61"/>
      <c r="G766" s="108"/>
      <c r="H766" s="108"/>
      <c r="I766" s="64"/>
      <c r="J766" s="108"/>
      <c r="K766" s="113"/>
      <c r="L766" s="63"/>
      <c r="M766" s="64"/>
      <c r="N766" s="166"/>
    </row>
    <row r="767" spans="1:14" ht="11.1" customHeight="1" outlineLevel="1">
      <c r="A767" s="582" t="s">
        <v>346</v>
      </c>
      <c r="B767" s="65" t="s">
        <v>32</v>
      </c>
      <c r="C767" s="69" t="s">
        <v>296</v>
      </c>
      <c r="D767" s="583" t="s">
        <v>297</v>
      </c>
      <c r="E767" s="590" t="s">
        <v>150</v>
      </c>
      <c r="F767" s="66" t="s">
        <v>33</v>
      </c>
      <c r="G767" s="109">
        <f>SUM(G768:G770)</f>
        <v>356600</v>
      </c>
      <c r="H767" s="109">
        <f>SUM(H768:H770)</f>
        <v>356600</v>
      </c>
      <c r="I767" s="37">
        <f>IF(G767&gt;0,H767/G767*100,"-")</f>
        <v>100</v>
      </c>
      <c r="J767" s="109">
        <f>SUM(J768:J770)</f>
        <v>350000</v>
      </c>
      <c r="K767" s="109">
        <f>SUM(K768:K770)</f>
        <v>0</v>
      </c>
      <c r="L767" s="36">
        <f>SUM(L768:L770)</f>
        <v>0</v>
      </c>
      <c r="M767" s="37" t="str">
        <f>IF(K767&gt;0,L767/K767*100,"-")</f>
        <v>-</v>
      </c>
      <c r="N767" s="584" t="s">
        <v>405</v>
      </c>
    </row>
    <row r="768" spans="1:14" ht="11.1" customHeight="1" outlineLevel="1">
      <c r="A768" s="582"/>
      <c r="B768" s="65" t="s">
        <v>26</v>
      </c>
      <c r="C768" s="69" t="s">
        <v>296</v>
      </c>
      <c r="D768" s="583"/>
      <c r="E768" s="583"/>
      <c r="F768" s="67" t="s">
        <v>21</v>
      </c>
      <c r="G768" s="89">
        <v>356600</v>
      </c>
      <c r="H768" s="89">
        <f>ROUNDUP(356600+L768,0)</f>
        <v>356600</v>
      </c>
      <c r="I768" s="68">
        <f>IF(G768&gt;0,H768/G768*100,"-")</f>
        <v>100</v>
      </c>
      <c r="J768" s="89">
        <v>350000</v>
      </c>
      <c r="K768" s="89">
        <v>0</v>
      </c>
      <c r="L768" s="70">
        <v>0</v>
      </c>
      <c r="M768" s="68" t="str">
        <f>IF(K768&gt;0,L768/K768*100,"-")</f>
        <v>-</v>
      </c>
      <c r="N768" s="584"/>
    </row>
    <row r="769" spans="1:14" ht="11.1" customHeight="1" outlineLevel="1">
      <c r="A769" s="582"/>
      <c r="B769" s="65"/>
      <c r="C769" s="38"/>
      <c r="D769" s="583"/>
      <c r="E769" s="583"/>
      <c r="F769" s="67" t="s">
        <v>215</v>
      </c>
      <c r="G769" s="89">
        <v>0</v>
      </c>
      <c r="H769" s="89">
        <f>ROUNDUP(0+L769,0)</f>
        <v>0</v>
      </c>
      <c r="I769" s="68" t="str">
        <f t="shared" ref="I769:I770" si="190">IF(G769&gt;0,H769/G769*100,"-")</f>
        <v>-</v>
      </c>
      <c r="J769" s="89">
        <v>0</v>
      </c>
      <c r="K769" s="89">
        <v>0</v>
      </c>
      <c r="L769" s="76">
        <v>0</v>
      </c>
      <c r="M769" s="68" t="str">
        <f t="shared" ref="M769:M770" si="191">IF(K769&gt;0,L769/K769*100,"-")</f>
        <v>-</v>
      </c>
      <c r="N769" s="584"/>
    </row>
    <row r="770" spans="1:14" ht="11.1" customHeight="1" outlineLevel="1">
      <c r="A770" s="582"/>
      <c r="B770" s="65"/>
      <c r="C770" s="69"/>
      <c r="D770" s="583"/>
      <c r="E770" s="583"/>
      <c r="F770" s="67" t="s">
        <v>25</v>
      </c>
      <c r="G770" s="89">
        <v>0</v>
      </c>
      <c r="H770" s="89">
        <f>ROUNDUP(0+L770,0)</f>
        <v>0</v>
      </c>
      <c r="I770" s="68" t="str">
        <f t="shared" si="190"/>
        <v>-</v>
      </c>
      <c r="J770" s="89">
        <v>0</v>
      </c>
      <c r="K770" s="89">
        <v>0</v>
      </c>
      <c r="L770" s="76">
        <v>0</v>
      </c>
      <c r="M770" s="68" t="str">
        <f t="shared" si="191"/>
        <v>-</v>
      </c>
      <c r="N770" s="584"/>
    </row>
    <row r="771" spans="1:14" ht="11.1" customHeight="1" outlineLevel="1">
      <c r="A771" s="232"/>
      <c r="B771" s="65"/>
      <c r="C771" s="69"/>
      <c r="D771" s="233"/>
      <c r="E771" s="233"/>
      <c r="F771" s="87"/>
      <c r="G771" s="112"/>
      <c r="H771" s="112"/>
      <c r="I771" s="88"/>
      <c r="J771" s="112"/>
      <c r="K771" s="89"/>
      <c r="L771" s="76"/>
      <c r="M771" s="68"/>
      <c r="N771" s="584"/>
    </row>
    <row r="772" spans="1:14" ht="3.95" customHeight="1" outlineLevel="1">
      <c r="A772" s="93"/>
      <c r="B772" s="72"/>
      <c r="C772" s="162"/>
      <c r="D772" s="71"/>
      <c r="E772" s="71"/>
      <c r="F772" s="72"/>
      <c r="G772" s="110"/>
      <c r="H772" s="110"/>
      <c r="I772" s="72"/>
      <c r="J772" s="110"/>
      <c r="K772" s="114"/>
      <c r="L772" s="74"/>
      <c r="M772" s="163"/>
      <c r="N772" s="156"/>
    </row>
    <row r="773" spans="1:14" ht="3.95" customHeight="1">
      <c r="A773" s="132"/>
      <c r="B773" s="133"/>
      <c r="C773" s="134"/>
      <c r="D773" s="132"/>
      <c r="E773" s="132"/>
      <c r="F773" s="133"/>
      <c r="G773" s="137"/>
      <c r="H773" s="137"/>
      <c r="I773" s="139"/>
      <c r="J773" s="137"/>
      <c r="K773" s="137"/>
      <c r="L773" s="158"/>
      <c r="M773" s="139"/>
      <c r="N773" s="196"/>
    </row>
    <row r="774" spans="1:14" ht="11.25" customHeight="1">
      <c r="A774" s="27" t="s">
        <v>58</v>
      </c>
      <c r="B774" s="588" t="s">
        <v>91</v>
      </c>
      <c r="C774" s="589"/>
      <c r="D774" s="28"/>
      <c r="E774" s="28"/>
      <c r="F774" s="29"/>
      <c r="G774" s="105">
        <f>SUM(G775:G777)</f>
        <v>2209751</v>
      </c>
      <c r="H774" s="105">
        <f>SUM(H775:H777)</f>
        <v>830931</v>
      </c>
      <c r="I774" s="31">
        <f>IF(G774&gt;0,H774/G774*100,"-")</f>
        <v>37.602924492397563</v>
      </c>
      <c r="J774" s="105">
        <f>SUM(J775:J777)</f>
        <v>480000</v>
      </c>
      <c r="K774" s="105">
        <f>SUM(K775:K777)</f>
        <v>380000</v>
      </c>
      <c r="L774" s="30">
        <f>SUM(L775:L777)</f>
        <v>161180</v>
      </c>
      <c r="M774" s="31">
        <f>IF(K774&gt;0,L774/K774*100,"-")</f>
        <v>42.415789473684214</v>
      </c>
      <c r="N774" s="187"/>
    </row>
    <row r="775" spans="1:14" ht="11.25" customHeight="1">
      <c r="A775" s="29"/>
      <c r="B775" s="32"/>
      <c r="C775" s="173"/>
      <c r="D775" s="28"/>
      <c r="E775" s="28"/>
      <c r="F775" s="33" t="s">
        <v>21</v>
      </c>
      <c r="G775" s="106">
        <f t="shared" ref="G775:H777" si="192">G781+G788+G794</f>
        <v>2209751</v>
      </c>
      <c r="H775" s="106">
        <f t="shared" si="192"/>
        <v>830931</v>
      </c>
      <c r="I775" s="35">
        <f>IF(G775&gt;0,H775/G775*100,"-")</f>
        <v>37.602924492397563</v>
      </c>
      <c r="J775" s="106">
        <f t="shared" ref="J775:L777" si="193">J781+J788+J794</f>
        <v>480000</v>
      </c>
      <c r="K775" s="106">
        <f t="shared" si="193"/>
        <v>380000</v>
      </c>
      <c r="L775" s="34">
        <f t="shared" si="193"/>
        <v>161180</v>
      </c>
      <c r="M775" s="35">
        <f>IF(K775&gt;0,L775/K775*100,"-")</f>
        <v>42.415789473684214</v>
      </c>
      <c r="N775" s="187"/>
    </row>
    <row r="776" spans="1:14" ht="11.25" customHeight="1">
      <c r="A776" s="29"/>
      <c r="B776" s="32"/>
      <c r="C776" s="173"/>
      <c r="D776" s="28"/>
      <c r="E776" s="28"/>
      <c r="F776" s="33" t="s">
        <v>215</v>
      </c>
      <c r="G776" s="106">
        <f t="shared" si="192"/>
        <v>0</v>
      </c>
      <c r="H776" s="106">
        <f t="shared" si="192"/>
        <v>0</v>
      </c>
      <c r="I776" s="35" t="str">
        <f t="shared" ref="I776:I777" si="194">IF(G776&gt;0,H776/G776*100,"-")</f>
        <v>-</v>
      </c>
      <c r="J776" s="106">
        <f t="shared" si="193"/>
        <v>0</v>
      </c>
      <c r="K776" s="106">
        <f t="shared" si="193"/>
        <v>0</v>
      </c>
      <c r="L776" s="34">
        <f t="shared" si="193"/>
        <v>0</v>
      </c>
      <c r="M776" s="35" t="str">
        <f t="shared" ref="M776:M777" si="195">IF(K776&gt;0,L776/K776*100,"-")</f>
        <v>-</v>
      </c>
      <c r="N776" s="187"/>
    </row>
    <row r="777" spans="1:14" ht="11.25" customHeight="1">
      <c r="A777" s="29"/>
      <c r="B777" s="32"/>
      <c r="C777" s="173"/>
      <c r="D777" s="28"/>
      <c r="E777" s="28"/>
      <c r="F777" s="33" t="s">
        <v>25</v>
      </c>
      <c r="G777" s="106">
        <f t="shared" si="192"/>
        <v>0</v>
      </c>
      <c r="H777" s="106">
        <f t="shared" si="192"/>
        <v>0</v>
      </c>
      <c r="I777" s="35" t="str">
        <f t="shared" si="194"/>
        <v>-</v>
      </c>
      <c r="J777" s="106">
        <f t="shared" si="193"/>
        <v>0</v>
      </c>
      <c r="K777" s="106">
        <f t="shared" si="193"/>
        <v>0</v>
      </c>
      <c r="L777" s="34">
        <f t="shared" si="193"/>
        <v>0</v>
      </c>
      <c r="M777" s="35" t="str">
        <f t="shared" si="195"/>
        <v>-</v>
      </c>
      <c r="N777" s="187"/>
    </row>
    <row r="778" spans="1:14" ht="3.95" customHeight="1">
      <c r="A778" s="55"/>
      <c r="B778" s="56"/>
      <c r="C778" s="174"/>
      <c r="D778" s="57"/>
      <c r="E778" s="57"/>
      <c r="F778" s="55"/>
      <c r="G778" s="107"/>
      <c r="H778" s="107"/>
      <c r="I778" s="59"/>
      <c r="J778" s="107"/>
      <c r="K778" s="107"/>
      <c r="L778" s="58"/>
      <c r="M778" s="59"/>
      <c r="N778" s="188"/>
    </row>
    <row r="779" spans="1:14" ht="3.95" customHeight="1" outlineLevel="1">
      <c r="A779" s="92"/>
      <c r="B779" s="61"/>
      <c r="C779" s="62"/>
      <c r="D779" s="60"/>
      <c r="E779" s="60"/>
      <c r="F779" s="61"/>
      <c r="G779" s="108"/>
      <c r="H779" s="108"/>
      <c r="I779" s="64"/>
      <c r="J779" s="108"/>
      <c r="K779" s="113"/>
      <c r="L779" s="63"/>
      <c r="M779" s="64"/>
      <c r="N779" s="166"/>
    </row>
    <row r="780" spans="1:14" ht="11.1" customHeight="1" outlineLevel="1">
      <c r="A780" s="582" t="s">
        <v>347</v>
      </c>
      <c r="B780" s="65" t="s">
        <v>32</v>
      </c>
      <c r="C780" s="69" t="s">
        <v>155</v>
      </c>
      <c r="D780" s="583" t="s">
        <v>149</v>
      </c>
      <c r="E780" s="583" t="s">
        <v>90</v>
      </c>
      <c r="F780" s="66" t="s">
        <v>33</v>
      </c>
      <c r="G780" s="109">
        <f>SUM(G781:G783)</f>
        <v>1665593</v>
      </c>
      <c r="H780" s="109">
        <f>SUM(H781:H783)</f>
        <v>626773</v>
      </c>
      <c r="I780" s="37">
        <f>IF(G780&gt;0,H780/G780*100,"-")</f>
        <v>37.630621646464654</v>
      </c>
      <c r="J780" s="109">
        <f>SUM(J781:J783)</f>
        <v>300000</v>
      </c>
      <c r="K780" s="109">
        <f>SUM(K781:K783)</f>
        <v>300000</v>
      </c>
      <c r="L780" s="36">
        <f>SUM(L781:L783)</f>
        <v>161180</v>
      </c>
      <c r="M780" s="37">
        <f>IF(K780&gt;0,L780/K780*100,"-")</f>
        <v>53.726666666666667</v>
      </c>
      <c r="N780" s="584" t="s">
        <v>406</v>
      </c>
    </row>
    <row r="781" spans="1:14" ht="11.1" customHeight="1" outlineLevel="1">
      <c r="A781" s="582"/>
      <c r="B781" s="65"/>
      <c r="C781" s="38" t="s">
        <v>156</v>
      </c>
      <c r="D781" s="583"/>
      <c r="E781" s="583"/>
      <c r="F781" s="67" t="s">
        <v>21</v>
      </c>
      <c r="G781" s="89">
        <v>1665593</v>
      </c>
      <c r="H781" s="89">
        <f>ROUNDUP(465593+L781,0)</f>
        <v>626773</v>
      </c>
      <c r="I781" s="563">
        <f>IF(G781&gt;0,H781/G781*100,"-")</f>
        <v>37.630621646464654</v>
      </c>
      <c r="J781" s="89">
        <v>300000</v>
      </c>
      <c r="K781" s="89">
        <v>300000</v>
      </c>
      <c r="L781" s="70">
        <v>161180</v>
      </c>
      <c r="M781" s="563">
        <f>IF(K781&gt;0,L781/K781*100,"-")</f>
        <v>53.726666666666667</v>
      </c>
      <c r="N781" s="584"/>
    </row>
    <row r="782" spans="1:14" ht="11.1" customHeight="1" outlineLevel="1">
      <c r="A782" s="582"/>
      <c r="B782" s="65" t="s">
        <v>26</v>
      </c>
      <c r="C782" s="38" t="s">
        <v>89</v>
      </c>
      <c r="D782" s="583"/>
      <c r="E782" s="583"/>
      <c r="F782" s="67" t="s">
        <v>215</v>
      </c>
      <c r="G782" s="89">
        <v>0</v>
      </c>
      <c r="H782" s="89">
        <f>ROUNDUP(0+L782,0)</f>
        <v>0</v>
      </c>
      <c r="I782" s="563" t="str">
        <f t="shared" ref="I782:I783" si="196">IF(G782&gt;0,H782/G782*100,"-")</f>
        <v>-</v>
      </c>
      <c r="J782" s="89">
        <v>0</v>
      </c>
      <c r="K782" s="89">
        <v>0</v>
      </c>
      <c r="L782" s="76">
        <v>0</v>
      </c>
      <c r="M782" s="563" t="str">
        <f t="shared" ref="M782:M783" si="197">IF(K782&gt;0,L782/K782*100,"-")</f>
        <v>-</v>
      </c>
      <c r="N782" s="584"/>
    </row>
    <row r="783" spans="1:14" ht="11.1" customHeight="1" outlineLevel="1">
      <c r="A783" s="582"/>
      <c r="B783" s="65"/>
      <c r="C783" s="38"/>
      <c r="D783" s="583"/>
      <c r="E783" s="583"/>
      <c r="F783" s="67" t="s">
        <v>25</v>
      </c>
      <c r="G783" s="89">
        <v>0</v>
      </c>
      <c r="H783" s="89">
        <f>ROUNDUP(0+L783,0)</f>
        <v>0</v>
      </c>
      <c r="I783" s="563" t="str">
        <f t="shared" si="196"/>
        <v>-</v>
      </c>
      <c r="J783" s="89">
        <v>0</v>
      </c>
      <c r="K783" s="89">
        <v>0</v>
      </c>
      <c r="L783" s="76">
        <v>0</v>
      </c>
      <c r="M783" s="563" t="str">
        <f t="shared" si="197"/>
        <v>-</v>
      </c>
      <c r="N783" s="584"/>
    </row>
    <row r="784" spans="1:14" ht="121.5" customHeight="1" outlineLevel="1">
      <c r="A784" s="564"/>
      <c r="B784" s="65"/>
      <c r="C784" s="38"/>
      <c r="D784" s="566"/>
      <c r="E784" s="566"/>
      <c r="F784" s="87"/>
      <c r="G784" s="112"/>
      <c r="H784" s="112"/>
      <c r="I784" s="88"/>
      <c r="J784" s="112"/>
      <c r="K784" s="89"/>
      <c r="L784" s="76"/>
      <c r="M784" s="563"/>
      <c r="N784" s="584"/>
    </row>
    <row r="785" spans="1:14" ht="3.95" customHeight="1" outlineLevel="1">
      <c r="A785" s="93"/>
      <c r="B785" s="72"/>
      <c r="C785" s="73"/>
      <c r="D785" s="565"/>
      <c r="E785" s="565"/>
      <c r="F785" s="72"/>
      <c r="G785" s="110"/>
      <c r="H785" s="110"/>
      <c r="I785" s="72"/>
      <c r="J785" s="110"/>
      <c r="K785" s="114"/>
      <c r="L785" s="74"/>
      <c r="M785" s="75"/>
      <c r="N785" s="122"/>
    </row>
    <row r="786" spans="1:14" ht="3.95" customHeight="1" outlineLevel="1">
      <c r="A786" s="92"/>
      <c r="B786" s="61"/>
      <c r="C786" s="62"/>
      <c r="D786" s="60"/>
      <c r="E786" s="60"/>
      <c r="F786" s="61"/>
      <c r="G786" s="108"/>
      <c r="H786" s="108"/>
      <c r="I786" s="64"/>
      <c r="J786" s="108"/>
      <c r="K786" s="113"/>
      <c r="L786" s="63"/>
      <c r="M786" s="64"/>
      <c r="N786" s="166"/>
    </row>
    <row r="787" spans="1:14" ht="11.1" customHeight="1" outlineLevel="1">
      <c r="A787" s="582" t="s">
        <v>348</v>
      </c>
      <c r="B787" s="65" t="s">
        <v>32</v>
      </c>
      <c r="C787" s="69" t="s">
        <v>160</v>
      </c>
      <c r="D787" s="583" t="s">
        <v>157</v>
      </c>
      <c r="E787" s="583" t="s">
        <v>92</v>
      </c>
      <c r="F787" s="66" t="s">
        <v>33</v>
      </c>
      <c r="G787" s="109">
        <f>SUM(G788:G790)</f>
        <v>173667</v>
      </c>
      <c r="H787" s="109">
        <f>SUM(H788:H790)</f>
        <v>173667</v>
      </c>
      <c r="I787" s="37">
        <f>IF(G787&gt;0,H787/G787*100,"-")</f>
        <v>100</v>
      </c>
      <c r="J787" s="109">
        <f>SUM(J788:J790)</f>
        <v>100000</v>
      </c>
      <c r="K787" s="109">
        <f>SUM(K788:K790)</f>
        <v>0</v>
      </c>
      <c r="L787" s="36">
        <f>SUM(L788:L790)</f>
        <v>0</v>
      </c>
      <c r="M787" s="37" t="str">
        <f>IF(K787&gt;0,L787/K787*100,"-")</f>
        <v>-</v>
      </c>
      <c r="N787" s="584" t="s">
        <v>407</v>
      </c>
    </row>
    <row r="788" spans="1:14" ht="11.1" customHeight="1" outlineLevel="1">
      <c r="A788" s="582"/>
      <c r="B788" s="65"/>
      <c r="C788" s="38" t="s">
        <v>161</v>
      </c>
      <c r="D788" s="583"/>
      <c r="E788" s="583"/>
      <c r="F788" s="67" t="s">
        <v>21</v>
      </c>
      <c r="G788" s="89">
        <v>173667</v>
      </c>
      <c r="H788" s="89">
        <f>ROUNDUP(173667+L788,0)</f>
        <v>173667</v>
      </c>
      <c r="I788" s="68">
        <f>IF(G788&gt;0,H788/G788*100,"-")</f>
        <v>100</v>
      </c>
      <c r="J788" s="89">
        <v>100000</v>
      </c>
      <c r="K788" s="89">
        <v>0</v>
      </c>
      <c r="L788" s="70">
        <v>0</v>
      </c>
      <c r="M788" s="68" t="str">
        <f>IF(K788&gt;0,L788/K788*100,"-")</f>
        <v>-</v>
      </c>
      <c r="N788" s="584"/>
    </row>
    <row r="789" spans="1:14" ht="11.1" customHeight="1" outlineLevel="1">
      <c r="A789" s="582"/>
      <c r="B789" s="65" t="s">
        <v>26</v>
      </c>
      <c r="C789" s="38" t="s">
        <v>158</v>
      </c>
      <c r="D789" s="583"/>
      <c r="E789" s="583"/>
      <c r="F789" s="67" t="s">
        <v>215</v>
      </c>
      <c r="G789" s="89">
        <v>0</v>
      </c>
      <c r="H789" s="89">
        <f>ROUNDUP(0+L789,0)</f>
        <v>0</v>
      </c>
      <c r="I789" s="68" t="str">
        <f t="shared" ref="I789:I790" si="198">IF(G789&gt;0,H789/G789*100,"-")</f>
        <v>-</v>
      </c>
      <c r="J789" s="89">
        <v>0</v>
      </c>
      <c r="K789" s="89">
        <v>0</v>
      </c>
      <c r="L789" s="76">
        <v>0</v>
      </c>
      <c r="M789" s="68" t="str">
        <f t="shared" ref="M789:M790" si="199">IF(K789&gt;0,L789/K789*100,"-")</f>
        <v>-</v>
      </c>
      <c r="N789" s="584"/>
    </row>
    <row r="790" spans="1:14" ht="11.1" customHeight="1" outlineLevel="1">
      <c r="A790" s="582"/>
      <c r="B790" s="65"/>
      <c r="C790" s="69" t="s">
        <v>159</v>
      </c>
      <c r="D790" s="583"/>
      <c r="E790" s="583"/>
      <c r="F790" s="67" t="s">
        <v>25</v>
      </c>
      <c r="G790" s="89">
        <v>0</v>
      </c>
      <c r="H790" s="89">
        <f>ROUNDUP(0+L790,0)</f>
        <v>0</v>
      </c>
      <c r="I790" s="68" t="str">
        <f t="shared" si="198"/>
        <v>-</v>
      </c>
      <c r="J790" s="89">
        <v>0</v>
      </c>
      <c r="K790" s="89">
        <v>0</v>
      </c>
      <c r="L790" s="76">
        <v>0</v>
      </c>
      <c r="M790" s="68" t="str">
        <f t="shared" si="199"/>
        <v>-</v>
      </c>
      <c r="N790" s="584"/>
    </row>
    <row r="791" spans="1:14" ht="3.95" customHeight="1" outlineLevel="1">
      <c r="A791" s="93"/>
      <c r="B791" s="72"/>
      <c r="C791" s="73"/>
      <c r="D791" s="71"/>
      <c r="E791" s="71"/>
      <c r="F791" s="72"/>
      <c r="G791" s="110"/>
      <c r="H791" s="110"/>
      <c r="I791" s="72"/>
      <c r="J791" s="110"/>
      <c r="K791" s="114"/>
      <c r="L791" s="74"/>
      <c r="M791" s="75"/>
      <c r="N791" s="122"/>
    </row>
    <row r="792" spans="1:14" ht="3.95" customHeight="1" outlineLevel="1">
      <c r="A792" s="92"/>
      <c r="B792" s="61"/>
      <c r="C792" s="62"/>
      <c r="D792" s="60"/>
      <c r="E792" s="60"/>
      <c r="F792" s="61"/>
      <c r="G792" s="108"/>
      <c r="H792" s="108"/>
      <c r="I792" s="64"/>
      <c r="J792" s="108"/>
      <c r="K792" s="113"/>
      <c r="L792" s="63"/>
      <c r="M792" s="64"/>
      <c r="N792" s="166"/>
    </row>
    <row r="793" spans="1:14" ht="11.1" customHeight="1" outlineLevel="1">
      <c r="A793" s="582" t="s">
        <v>349</v>
      </c>
      <c r="B793" s="65" t="s">
        <v>32</v>
      </c>
      <c r="C793" s="69" t="s">
        <v>162</v>
      </c>
      <c r="D793" s="583" t="s">
        <v>149</v>
      </c>
      <c r="E793" s="583" t="s">
        <v>168</v>
      </c>
      <c r="F793" s="66" t="s">
        <v>33</v>
      </c>
      <c r="G793" s="109">
        <f>SUM(G794:G796)</f>
        <v>370491</v>
      </c>
      <c r="H793" s="109">
        <f>SUM(H794:H796)</f>
        <v>30491</v>
      </c>
      <c r="I793" s="37">
        <f>IF(G793&gt;0,H793/G793*100,"-")</f>
        <v>8.2298895249817132</v>
      </c>
      <c r="J793" s="109">
        <f>SUM(J794:J796)</f>
        <v>80000</v>
      </c>
      <c r="K793" s="109">
        <f>SUM(K794:K796)</f>
        <v>80000</v>
      </c>
      <c r="L793" s="36">
        <f>SUM(L794:L796)</f>
        <v>0</v>
      </c>
      <c r="M793" s="37">
        <f>IF(K793&gt;0,L793/K793*100,"-")</f>
        <v>0</v>
      </c>
      <c r="N793" s="584" t="s">
        <v>408</v>
      </c>
    </row>
    <row r="794" spans="1:14" ht="11.1" customHeight="1" outlineLevel="1">
      <c r="A794" s="582"/>
      <c r="B794" s="65"/>
      <c r="C794" s="38" t="s">
        <v>163</v>
      </c>
      <c r="D794" s="583"/>
      <c r="E794" s="583"/>
      <c r="F794" s="67" t="s">
        <v>21</v>
      </c>
      <c r="G794" s="89">
        <v>370491</v>
      </c>
      <c r="H794" s="89">
        <f>ROUNDUP(30491+L794,0)</f>
        <v>30491</v>
      </c>
      <c r="I794" s="563">
        <f>IF(G794&gt;0,H794/G794*100,"-")</f>
        <v>8.2298895249817132</v>
      </c>
      <c r="J794" s="89">
        <v>80000</v>
      </c>
      <c r="K794" s="89">
        <v>80000</v>
      </c>
      <c r="L794" s="70">
        <v>0</v>
      </c>
      <c r="M794" s="563">
        <f>IF(K794&gt;0,L794/K794*100,"-")</f>
        <v>0</v>
      </c>
      <c r="N794" s="584"/>
    </row>
    <row r="795" spans="1:14" ht="11.1" customHeight="1" outlineLevel="1">
      <c r="A795" s="582"/>
      <c r="B795" s="65" t="s">
        <v>26</v>
      </c>
      <c r="C795" s="38" t="s">
        <v>89</v>
      </c>
      <c r="D795" s="583"/>
      <c r="E795" s="583"/>
      <c r="F795" s="67" t="s">
        <v>215</v>
      </c>
      <c r="G795" s="89">
        <v>0</v>
      </c>
      <c r="H795" s="89">
        <f>ROUNDUP(0+L795,0)</f>
        <v>0</v>
      </c>
      <c r="I795" s="563" t="str">
        <f t="shared" ref="I795:I796" si="200">IF(G795&gt;0,H795/G795*100,"-")</f>
        <v>-</v>
      </c>
      <c r="J795" s="89">
        <v>0</v>
      </c>
      <c r="K795" s="89">
        <v>0</v>
      </c>
      <c r="L795" s="76">
        <v>0</v>
      </c>
      <c r="M795" s="563" t="str">
        <f t="shared" ref="M795:M796" si="201">IF(K795&gt;0,L795/K795*100,"-")</f>
        <v>-</v>
      </c>
      <c r="N795" s="584"/>
    </row>
    <row r="796" spans="1:14" ht="11.1" customHeight="1" outlineLevel="1">
      <c r="A796" s="582"/>
      <c r="B796" s="65"/>
      <c r="C796" s="38"/>
      <c r="D796" s="583"/>
      <c r="E796" s="583"/>
      <c r="F796" s="67" t="s">
        <v>25</v>
      </c>
      <c r="G796" s="89">
        <v>0</v>
      </c>
      <c r="H796" s="89">
        <f>ROUNDUP(0+L796,0)</f>
        <v>0</v>
      </c>
      <c r="I796" s="563" t="str">
        <f t="shared" si="200"/>
        <v>-</v>
      </c>
      <c r="J796" s="89">
        <v>0</v>
      </c>
      <c r="K796" s="89">
        <v>0</v>
      </c>
      <c r="L796" s="76">
        <v>0</v>
      </c>
      <c r="M796" s="563" t="str">
        <f t="shared" si="201"/>
        <v>-</v>
      </c>
      <c r="N796" s="584"/>
    </row>
    <row r="797" spans="1:14" ht="6.75" customHeight="1" outlineLevel="1">
      <c r="A797" s="564"/>
      <c r="B797" s="65"/>
      <c r="C797" s="38"/>
      <c r="D797" s="566"/>
      <c r="E797" s="566"/>
      <c r="F797" s="87"/>
      <c r="G797" s="112"/>
      <c r="H797" s="112"/>
      <c r="I797" s="88"/>
      <c r="J797" s="112"/>
      <c r="K797" s="89"/>
      <c r="L797" s="76"/>
      <c r="M797" s="563"/>
      <c r="N797" s="584"/>
    </row>
    <row r="798" spans="1:14" ht="3.95" customHeight="1" outlineLevel="1">
      <c r="A798" s="93"/>
      <c r="B798" s="72"/>
      <c r="C798" s="73"/>
      <c r="D798" s="565"/>
      <c r="E798" s="565"/>
      <c r="F798" s="72"/>
      <c r="G798" s="110"/>
      <c r="H798" s="110"/>
      <c r="I798" s="72"/>
      <c r="J798" s="110"/>
      <c r="K798" s="114"/>
      <c r="L798" s="74"/>
      <c r="M798" s="75"/>
      <c r="N798" s="122"/>
    </row>
    <row r="799" spans="1:14">
      <c r="H799" s="116"/>
      <c r="J799" s="116"/>
      <c r="K799" s="116"/>
      <c r="L799" s="157"/>
    </row>
    <row r="800" spans="1:14">
      <c r="H800" s="116"/>
      <c r="J800" s="116"/>
      <c r="K800" s="116"/>
      <c r="L800" s="157"/>
    </row>
    <row r="801" spans="8:12">
      <c r="H801" s="157"/>
      <c r="J801" s="116"/>
      <c r="K801" s="116"/>
      <c r="L801" s="157"/>
    </row>
    <row r="802" spans="8:12">
      <c r="H802" s="157"/>
      <c r="J802" s="116"/>
      <c r="K802" s="116"/>
      <c r="L802" s="157"/>
    </row>
    <row r="803" spans="8:12">
      <c r="H803" s="157"/>
      <c r="J803" s="116"/>
      <c r="K803" s="116"/>
      <c r="L803" s="157"/>
    </row>
    <row r="804" spans="8:12">
      <c r="L804" s="157"/>
    </row>
    <row r="805" spans="8:12">
      <c r="L805" s="157"/>
    </row>
    <row r="806" spans="8:12">
      <c r="L806" s="157"/>
    </row>
  </sheetData>
  <mergeCells count="448">
    <mergeCell ref="J295:J296"/>
    <mergeCell ref="K295:K296"/>
    <mergeCell ref="L295:L296"/>
    <mergeCell ref="M295:M296"/>
    <mergeCell ref="N295:N297"/>
    <mergeCell ref="B290:C290"/>
    <mergeCell ref="A294:A298"/>
    <mergeCell ref="B294:C298"/>
    <mergeCell ref="D294:D298"/>
    <mergeCell ref="E294:E298"/>
    <mergeCell ref="F295:F298"/>
    <mergeCell ref="G295:G296"/>
    <mergeCell ref="H295:H296"/>
    <mergeCell ref="I295:I296"/>
    <mergeCell ref="B276:C276"/>
    <mergeCell ref="A280:A282"/>
    <mergeCell ref="D280:D281"/>
    <mergeCell ref="E280:E281"/>
    <mergeCell ref="N280:N282"/>
    <mergeCell ref="D283:D285"/>
    <mergeCell ref="E283:E285"/>
    <mergeCell ref="N283:N285"/>
    <mergeCell ref="A286:A288"/>
    <mergeCell ref="D286:D288"/>
    <mergeCell ref="E286:E288"/>
    <mergeCell ref="N286:N288"/>
    <mergeCell ref="A257:A260"/>
    <mergeCell ref="A261:A265"/>
    <mergeCell ref="D262:D263"/>
    <mergeCell ref="E262:E263"/>
    <mergeCell ref="B267:C269"/>
    <mergeCell ref="A271:A274"/>
    <mergeCell ref="D272:D274"/>
    <mergeCell ref="E272:E274"/>
    <mergeCell ref="N272:N274"/>
    <mergeCell ref="A239:A243"/>
    <mergeCell ref="N239:N242"/>
    <mergeCell ref="D240:D242"/>
    <mergeCell ref="E240:E242"/>
    <mergeCell ref="B244:C244"/>
    <mergeCell ref="A248:A256"/>
    <mergeCell ref="N248:N256"/>
    <mergeCell ref="D249:D251"/>
    <mergeCell ref="E249:E251"/>
    <mergeCell ref="A225:A229"/>
    <mergeCell ref="D226:D228"/>
    <mergeCell ref="E226:E228"/>
    <mergeCell ref="N226:N228"/>
    <mergeCell ref="A230:A234"/>
    <mergeCell ref="D231:D233"/>
    <mergeCell ref="E231:E233"/>
    <mergeCell ref="N231:N233"/>
    <mergeCell ref="B235:C235"/>
    <mergeCell ref="A197:A208"/>
    <mergeCell ref="D198:D207"/>
    <mergeCell ref="N198:N207"/>
    <mergeCell ref="F209:F211"/>
    <mergeCell ref="D215:D219"/>
    <mergeCell ref="E215:E219"/>
    <mergeCell ref="A220:A224"/>
    <mergeCell ref="D221:D223"/>
    <mergeCell ref="E221:E223"/>
    <mergeCell ref="N221:N223"/>
    <mergeCell ref="A169:A173"/>
    <mergeCell ref="N169:N173"/>
    <mergeCell ref="D170:D172"/>
    <mergeCell ref="E170:E172"/>
    <mergeCell ref="A174:A185"/>
    <mergeCell ref="D175:D184"/>
    <mergeCell ref="N175:N184"/>
    <mergeCell ref="A186:A196"/>
    <mergeCell ref="D187:D196"/>
    <mergeCell ref="N187:N196"/>
    <mergeCell ref="A153:A157"/>
    <mergeCell ref="N153:N157"/>
    <mergeCell ref="D154:D156"/>
    <mergeCell ref="E154:E156"/>
    <mergeCell ref="C155:C157"/>
    <mergeCell ref="A158:A164"/>
    <mergeCell ref="N158:N164"/>
    <mergeCell ref="D159:D163"/>
    <mergeCell ref="B165:C165"/>
    <mergeCell ref="A143:A147"/>
    <mergeCell ref="N143:N147"/>
    <mergeCell ref="D144:D146"/>
    <mergeCell ref="E144:E146"/>
    <mergeCell ref="C145:C147"/>
    <mergeCell ref="A148:A152"/>
    <mergeCell ref="N148:N152"/>
    <mergeCell ref="D149:D151"/>
    <mergeCell ref="E149:E151"/>
    <mergeCell ref="C150:C152"/>
    <mergeCell ref="A129:A137"/>
    <mergeCell ref="N129:N137"/>
    <mergeCell ref="D130:D132"/>
    <mergeCell ref="E130:E132"/>
    <mergeCell ref="B131:B137"/>
    <mergeCell ref="C131:C134"/>
    <mergeCell ref="A138:A142"/>
    <mergeCell ref="N138:N142"/>
    <mergeCell ref="D139:D141"/>
    <mergeCell ref="E139:E141"/>
    <mergeCell ref="C140:C142"/>
    <mergeCell ref="B101:C101"/>
    <mergeCell ref="A105:A114"/>
    <mergeCell ref="D106:D113"/>
    <mergeCell ref="N106:N113"/>
    <mergeCell ref="B116:C116"/>
    <mergeCell ref="A120:A128"/>
    <mergeCell ref="N120:N128"/>
    <mergeCell ref="D121:D123"/>
    <mergeCell ref="E121:E123"/>
    <mergeCell ref="B122:B123"/>
    <mergeCell ref="C122:C123"/>
    <mergeCell ref="A84:A88"/>
    <mergeCell ref="N84:N88"/>
    <mergeCell ref="D85:D87"/>
    <mergeCell ref="E85:E87"/>
    <mergeCell ref="A89:A93"/>
    <mergeCell ref="D90:D92"/>
    <mergeCell ref="E90:E92"/>
    <mergeCell ref="N90:N92"/>
    <mergeCell ref="A94:A100"/>
    <mergeCell ref="N94:N100"/>
    <mergeCell ref="A74:A78"/>
    <mergeCell ref="N74:N78"/>
    <mergeCell ref="D75:D78"/>
    <mergeCell ref="E75:E77"/>
    <mergeCell ref="A79:A83"/>
    <mergeCell ref="N79:N83"/>
    <mergeCell ref="D80:D82"/>
    <mergeCell ref="E80:E82"/>
    <mergeCell ref="C81:C82"/>
    <mergeCell ref="A58:A62"/>
    <mergeCell ref="D59:D61"/>
    <mergeCell ref="E59:E61"/>
    <mergeCell ref="N59:N61"/>
    <mergeCell ref="A63:A68"/>
    <mergeCell ref="N63:N68"/>
    <mergeCell ref="D64:D66"/>
    <mergeCell ref="E64:E66"/>
    <mergeCell ref="B70:C70"/>
    <mergeCell ref="A43:A47"/>
    <mergeCell ref="E43:E44"/>
    <mergeCell ref="N43:N47"/>
    <mergeCell ref="D44:D46"/>
    <mergeCell ref="B49:C49"/>
    <mergeCell ref="A53:A57"/>
    <mergeCell ref="N53:N57"/>
    <mergeCell ref="B17:C17"/>
    <mergeCell ref="B23:C23"/>
    <mergeCell ref="A27:A37"/>
    <mergeCell ref="D27:D28"/>
    <mergeCell ref="E27:E28"/>
    <mergeCell ref="N27:N37"/>
    <mergeCell ref="D32:D33"/>
    <mergeCell ref="A38:A42"/>
    <mergeCell ref="E38:E39"/>
    <mergeCell ref="N38:N42"/>
    <mergeCell ref="D39:D41"/>
    <mergeCell ref="N549:N552"/>
    <mergeCell ref="N767:N771"/>
    <mergeCell ref="N780:N784"/>
    <mergeCell ref="N793:N797"/>
    <mergeCell ref="N343:N357"/>
    <mergeCell ref="N365:N376"/>
    <mergeCell ref="N379:N391"/>
    <mergeCell ref="N419:N423"/>
    <mergeCell ref="N500:N504"/>
    <mergeCell ref="N507:N511"/>
    <mergeCell ref="N514:N519"/>
    <mergeCell ref="N522:N526"/>
    <mergeCell ref="N535:N539"/>
    <mergeCell ref="N542:N546"/>
    <mergeCell ref="N555:N560"/>
    <mergeCell ref="N563:N567"/>
    <mergeCell ref="N594:N598"/>
    <mergeCell ref="N607:N611"/>
    <mergeCell ref="N620:N624"/>
    <mergeCell ref="N627:N631"/>
    <mergeCell ref="N640:N644"/>
    <mergeCell ref="N647:N651"/>
    <mergeCell ref="N660:N664"/>
    <mergeCell ref="N667:N671"/>
    <mergeCell ref="N482:N485"/>
    <mergeCell ref="N470:N473"/>
    <mergeCell ref="A476:A479"/>
    <mergeCell ref="D476:D479"/>
    <mergeCell ref="E476:E479"/>
    <mergeCell ref="N476:N479"/>
    <mergeCell ref="N439:N443"/>
    <mergeCell ref="N723:N727"/>
    <mergeCell ref="N730:N734"/>
    <mergeCell ref="A488:A491"/>
    <mergeCell ref="D488:D491"/>
    <mergeCell ref="E488:E491"/>
    <mergeCell ref="N488:N491"/>
    <mergeCell ref="A494:A497"/>
    <mergeCell ref="D494:D497"/>
    <mergeCell ref="E494:E497"/>
    <mergeCell ref="N494:N497"/>
    <mergeCell ref="A570:A573"/>
    <mergeCell ref="D570:D573"/>
    <mergeCell ref="E570:E573"/>
    <mergeCell ref="N570:N573"/>
    <mergeCell ref="A507:A510"/>
    <mergeCell ref="A514:A518"/>
    <mergeCell ref="A522:A525"/>
    <mergeCell ref="B14:C14"/>
    <mergeCell ref="A426:A430"/>
    <mergeCell ref="D426:D430"/>
    <mergeCell ref="E426:E430"/>
    <mergeCell ref="N787:N790"/>
    <mergeCell ref="D780:D783"/>
    <mergeCell ref="E780:E783"/>
    <mergeCell ref="D793:D796"/>
    <mergeCell ref="E793:E796"/>
    <mergeCell ref="D767:D770"/>
    <mergeCell ref="D627:D630"/>
    <mergeCell ref="E627:E630"/>
    <mergeCell ref="E767:E770"/>
    <mergeCell ref="D692:D695"/>
    <mergeCell ref="E692:E695"/>
    <mergeCell ref="N692:N695"/>
    <mergeCell ref="N743:N746"/>
    <mergeCell ref="E743:E746"/>
    <mergeCell ref="E680:E683"/>
    <mergeCell ref="N680:N683"/>
    <mergeCell ref="N749:N752"/>
    <mergeCell ref="N710:N714"/>
    <mergeCell ref="N686:N689"/>
    <mergeCell ref="E647:E650"/>
    <mergeCell ref="N674:N677"/>
    <mergeCell ref="A660:A663"/>
    <mergeCell ref="D660:D663"/>
    <mergeCell ref="E660:E663"/>
    <mergeCell ref="N529:N532"/>
    <mergeCell ref="A5:N5"/>
    <mergeCell ref="B301:C301"/>
    <mergeCell ref="B306:C306"/>
    <mergeCell ref="A7:A8"/>
    <mergeCell ref="J7:N7"/>
    <mergeCell ref="E325:E328"/>
    <mergeCell ref="N325:N328"/>
    <mergeCell ref="E7:E8"/>
    <mergeCell ref="B12:C12"/>
    <mergeCell ref="F7:I7"/>
    <mergeCell ref="E318:E322"/>
    <mergeCell ref="B7:C8"/>
    <mergeCell ref="D7:D8"/>
    <mergeCell ref="B9:C9"/>
    <mergeCell ref="B11:C11"/>
    <mergeCell ref="B300:C300"/>
    <mergeCell ref="D299:D304"/>
    <mergeCell ref="E312:E315"/>
    <mergeCell ref="B13:C13"/>
    <mergeCell ref="A692:A695"/>
    <mergeCell ref="D647:D650"/>
    <mergeCell ref="B654:C654"/>
    <mergeCell ref="A576:A579"/>
    <mergeCell ref="A594:A597"/>
    <mergeCell ref="A601:A604"/>
    <mergeCell ref="A667:A670"/>
    <mergeCell ref="D667:D670"/>
    <mergeCell ref="E667:E670"/>
    <mergeCell ref="A674:A677"/>
    <mergeCell ref="D674:D677"/>
    <mergeCell ref="E674:E677"/>
    <mergeCell ref="B302:C302"/>
    <mergeCell ref="B303:C303"/>
    <mergeCell ref="D312:D315"/>
    <mergeCell ref="D325:D328"/>
    <mergeCell ref="A686:A689"/>
    <mergeCell ref="D686:D689"/>
    <mergeCell ref="D343:D347"/>
    <mergeCell ref="A555:A559"/>
    <mergeCell ref="D555:D559"/>
    <mergeCell ref="A433:A436"/>
    <mergeCell ref="D433:D436"/>
    <mergeCell ref="A458:A461"/>
    <mergeCell ref="D458:D461"/>
    <mergeCell ref="A482:A485"/>
    <mergeCell ref="D482:D485"/>
    <mergeCell ref="A529:A532"/>
    <mergeCell ref="A535:A538"/>
    <mergeCell ref="A542:A545"/>
    <mergeCell ref="A647:A650"/>
    <mergeCell ref="A680:A683"/>
    <mergeCell ref="D680:D683"/>
    <mergeCell ref="N312:N315"/>
    <mergeCell ref="N318:N322"/>
    <mergeCell ref="N331:N334"/>
    <mergeCell ref="D365:D368"/>
    <mergeCell ref="E365:E368"/>
    <mergeCell ref="A312:A315"/>
    <mergeCell ref="A318:A322"/>
    <mergeCell ref="A325:A328"/>
    <mergeCell ref="A331:A334"/>
    <mergeCell ref="A343:A347"/>
    <mergeCell ref="D318:D322"/>
    <mergeCell ref="D331:D334"/>
    <mergeCell ref="E331:E334"/>
    <mergeCell ref="E343:E347"/>
    <mergeCell ref="B337:C337"/>
    <mergeCell ref="A359:A362"/>
    <mergeCell ref="D359:D362"/>
    <mergeCell ref="E359:E362"/>
    <mergeCell ref="N359:N362"/>
    <mergeCell ref="E349:E351"/>
    <mergeCell ref="E354:E356"/>
    <mergeCell ref="N452:N455"/>
    <mergeCell ref="N464:N467"/>
    <mergeCell ref="D470:D473"/>
    <mergeCell ref="E470:E473"/>
    <mergeCell ref="E388:E390"/>
    <mergeCell ref="N413:N416"/>
    <mergeCell ref="N406:N410"/>
    <mergeCell ref="D406:D410"/>
    <mergeCell ref="D439:D443"/>
    <mergeCell ref="D393:D397"/>
    <mergeCell ref="E393:E397"/>
    <mergeCell ref="E406:E410"/>
    <mergeCell ref="D413:D416"/>
    <mergeCell ref="E413:E416"/>
    <mergeCell ref="N393:N397"/>
    <mergeCell ref="N426:N430"/>
    <mergeCell ref="E433:E436"/>
    <mergeCell ref="N433:N436"/>
    <mergeCell ref="E458:E461"/>
    <mergeCell ref="N458:N461"/>
    <mergeCell ref="B761:C761"/>
    <mergeCell ref="D500:D503"/>
    <mergeCell ref="E500:E503"/>
    <mergeCell ref="D507:D510"/>
    <mergeCell ref="E507:E510"/>
    <mergeCell ref="D514:D518"/>
    <mergeCell ref="E514:E518"/>
    <mergeCell ref="D522:D525"/>
    <mergeCell ref="E522:E525"/>
    <mergeCell ref="D529:D532"/>
    <mergeCell ref="D535:D538"/>
    <mergeCell ref="E535:E538"/>
    <mergeCell ref="D542:D545"/>
    <mergeCell ref="E542:E545"/>
    <mergeCell ref="D576:D579"/>
    <mergeCell ref="E576:E579"/>
    <mergeCell ref="D594:D597"/>
    <mergeCell ref="E594:E597"/>
    <mergeCell ref="D601:D604"/>
    <mergeCell ref="E601:E604"/>
    <mergeCell ref="E749:E752"/>
    <mergeCell ref="D723:D726"/>
    <mergeCell ref="E723:E726"/>
    <mergeCell ref="E686:E689"/>
    <mergeCell ref="A793:A796"/>
    <mergeCell ref="A780:A783"/>
    <mergeCell ref="A787:A790"/>
    <mergeCell ref="B774:C774"/>
    <mergeCell ref="D787:D790"/>
    <mergeCell ref="E787:E790"/>
    <mergeCell ref="A406:A410"/>
    <mergeCell ref="A413:A416"/>
    <mergeCell ref="A419:A422"/>
    <mergeCell ref="A439:A443"/>
    <mergeCell ref="A767:A770"/>
    <mergeCell ref="D419:D422"/>
    <mergeCell ref="E419:E422"/>
    <mergeCell ref="A627:A630"/>
    <mergeCell ref="B446:C446"/>
    <mergeCell ref="E439:E443"/>
    <mergeCell ref="A452:A455"/>
    <mergeCell ref="D452:D455"/>
    <mergeCell ref="E452:E455"/>
    <mergeCell ref="A464:A467"/>
    <mergeCell ref="D464:D467"/>
    <mergeCell ref="E464:E467"/>
    <mergeCell ref="A470:A473"/>
    <mergeCell ref="A500:A503"/>
    <mergeCell ref="E370:E372"/>
    <mergeCell ref="E374:E376"/>
    <mergeCell ref="E384:E386"/>
    <mergeCell ref="A365:A368"/>
    <mergeCell ref="A379:A382"/>
    <mergeCell ref="D379:D382"/>
    <mergeCell ref="E379:E382"/>
    <mergeCell ref="E555:E559"/>
    <mergeCell ref="A563:A566"/>
    <mergeCell ref="D563:D566"/>
    <mergeCell ref="E563:E566"/>
    <mergeCell ref="B400:C400"/>
    <mergeCell ref="A393:A397"/>
    <mergeCell ref="E529:E532"/>
    <mergeCell ref="E482:E485"/>
    <mergeCell ref="A549:A552"/>
    <mergeCell ref="D549:D552"/>
    <mergeCell ref="E549:E552"/>
    <mergeCell ref="N576:N579"/>
    <mergeCell ref="A582:A585"/>
    <mergeCell ref="D582:D585"/>
    <mergeCell ref="E582:E585"/>
    <mergeCell ref="N582:N585"/>
    <mergeCell ref="A588:A591"/>
    <mergeCell ref="D588:D591"/>
    <mergeCell ref="E588:E591"/>
    <mergeCell ref="N588:N591"/>
    <mergeCell ref="N601:N604"/>
    <mergeCell ref="A607:A610"/>
    <mergeCell ref="D607:D610"/>
    <mergeCell ref="E607:E610"/>
    <mergeCell ref="B634:C634"/>
    <mergeCell ref="A640:A643"/>
    <mergeCell ref="D640:D643"/>
    <mergeCell ref="E640:E643"/>
    <mergeCell ref="A620:A623"/>
    <mergeCell ref="D620:D623"/>
    <mergeCell ref="E620:E623"/>
    <mergeCell ref="B614:C614"/>
    <mergeCell ref="A698:A701"/>
    <mergeCell ref="D698:D701"/>
    <mergeCell ref="E698:E701"/>
    <mergeCell ref="N698:N701"/>
    <mergeCell ref="A704:A707"/>
    <mergeCell ref="D704:D707"/>
    <mergeCell ref="E704:E707"/>
    <mergeCell ref="N704:N707"/>
    <mergeCell ref="A717:A720"/>
    <mergeCell ref="D717:D720"/>
    <mergeCell ref="E717:E720"/>
    <mergeCell ref="N717:N720"/>
    <mergeCell ref="A737:A740"/>
    <mergeCell ref="D737:D740"/>
    <mergeCell ref="E737:E740"/>
    <mergeCell ref="N737:N740"/>
    <mergeCell ref="A710:A713"/>
    <mergeCell ref="D710:D713"/>
    <mergeCell ref="E710:E713"/>
    <mergeCell ref="A755:A758"/>
    <mergeCell ref="D755:D758"/>
    <mergeCell ref="E755:E758"/>
    <mergeCell ref="N755:N758"/>
    <mergeCell ref="A723:A726"/>
    <mergeCell ref="A743:A746"/>
    <mergeCell ref="D743:D746"/>
    <mergeCell ref="A749:A752"/>
    <mergeCell ref="D749:D752"/>
    <mergeCell ref="A730:A733"/>
    <mergeCell ref="D730:D733"/>
    <mergeCell ref="E730:E733"/>
  </mergeCells>
  <phoneticPr fontId="10" type="noConversion"/>
  <printOptions horizontalCentered="1"/>
  <pageMargins left="0.18" right="0.19" top="0.59055118110236227" bottom="0.47244094488188981" header="0.3" footer="0.23622047244094491"/>
  <pageSetup paperSize="9" scale="70" firstPageNumber="122" orientation="landscape" useFirstPageNumber="1" r:id="rId1"/>
  <headerFooter>
    <oddFooter>&amp;C&amp;P</oddFooter>
  </headerFooter>
  <rowBreaks count="17" manualBreakCount="17">
    <brk id="47" max="13" man="1"/>
    <brk id="83" max="13" man="1"/>
    <brk id="114" max="13" man="1"/>
    <brk id="157" max="13" man="1"/>
    <brk id="185" max="13" man="1"/>
    <brk id="219" max="13" man="1"/>
    <brk id="260" max="13" man="1"/>
    <brk id="288" max="13" man="1"/>
    <brk id="357" max="13" man="1"/>
    <brk id="411" max="13" man="1"/>
    <brk id="456" max="13" man="1"/>
    <brk id="505" max="13" man="1"/>
    <brk id="561" max="13" man="1"/>
    <brk id="612" max="13" man="1"/>
    <brk id="672" max="13" man="1"/>
    <brk id="715" max="13" man="1"/>
    <brk id="759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3:D23"/>
  <sheetViews>
    <sheetView topLeftCell="A13" workbookViewId="0">
      <selection activeCell="B20" sqref="B20"/>
    </sheetView>
  </sheetViews>
  <sheetFormatPr defaultRowHeight="12.75"/>
  <cols>
    <col min="1" max="1" width="16.5703125" style="182" customWidth="1"/>
    <col min="2" max="2" width="23.7109375" style="182" customWidth="1"/>
    <col min="3" max="4" width="9.140625" style="182"/>
  </cols>
  <sheetData>
    <row r="13" spans="1:2">
      <c r="A13" s="182">
        <f>'przedsiewziecia pozostale'!K300+'[1]przedsiewziecia UE'!$L$569</f>
        <v>291408588</v>
      </c>
      <c r="B13" s="182">
        <f>'przedsiewziecia pozostale'!L300+'[1]przedsiewziecia UE'!$M$569</f>
        <v>247170521.63999999</v>
      </c>
    </row>
    <row r="14" spans="1:2">
      <c r="A14" s="182">
        <f>'przedsiewziecia pozostale'!K301+'[1]przedsiewziecia UE'!$L$570</f>
        <v>58479839</v>
      </c>
      <c r="B14" s="182">
        <f>'przedsiewziecia pozostale'!L301+'[1]przedsiewziecia UE'!$M$570</f>
        <v>38134418.960000001</v>
      </c>
    </row>
    <row r="15" spans="1:2">
      <c r="A15" s="182">
        <f>'[1]przedsiewziecia UE'!$L$571</f>
        <v>149857742</v>
      </c>
      <c r="B15" s="182">
        <f>'[1]przedsiewziecia UE'!$M$571</f>
        <v>136722909.25999999</v>
      </c>
    </row>
    <row r="16" spans="1:2">
      <c r="A16" s="182">
        <f>'[1]przedsiewziecia UE'!$L$572</f>
        <v>62984803</v>
      </c>
      <c r="B16" s="182">
        <f>'[1]przedsiewziecia UE'!$M$572</f>
        <v>58600803.039999992</v>
      </c>
    </row>
    <row r="17" spans="1:2">
      <c r="A17" s="182" t="e">
        <f>'przedsiewziecia pozostale'!#REF!+'[1]przedsiewziecia UE'!$L$573</f>
        <v>#REF!</v>
      </c>
      <c r="B17" s="182" t="e">
        <f>'przedsiewziecia pozostale'!#REF!+'[1]przedsiewziecia UE'!$M$573</f>
        <v>#REF!</v>
      </c>
    </row>
    <row r="18" spans="1:2">
      <c r="A18" s="182">
        <f>'[1]przedsiewziecia UE'!$L$574</f>
        <v>29735</v>
      </c>
      <c r="B18" s="182">
        <f>'[1]przedsiewziecia UE'!$M$574</f>
        <v>29119.02</v>
      </c>
    </row>
    <row r="19" spans="1:2">
      <c r="A19" s="182">
        <f>'[1]przedsiewziecia UE'!$L$575</f>
        <v>4060306</v>
      </c>
      <c r="B19" s="182">
        <f>'[1]przedsiewziecia UE'!$M$575</f>
        <v>3934899.55</v>
      </c>
    </row>
    <row r="23" spans="1:2">
      <c r="A23" s="182" t="e">
        <f>SUM(A14:A19)</f>
        <v>#REF!</v>
      </c>
      <c r="B23" s="182" t="e">
        <f>SUM(B14:B19)</f>
        <v>#REF!</v>
      </c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opLeftCell="A4" workbookViewId="0">
      <selection activeCell="A24" sqref="A24"/>
    </sheetView>
  </sheetViews>
  <sheetFormatPr defaultRowHeight="12.75"/>
  <cols>
    <col min="1" max="1" width="46.140625" style="198" customWidth="1"/>
    <col min="2" max="2" width="14.28515625" style="198" customWidth="1"/>
    <col min="3" max="16384" width="9.140625" style="198"/>
  </cols>
  <sheetData>
    <row r="1" spans="1:2" s="201" customFormat="1" ht="25.5" customHeight="1">
      <c r="B1" s="202" t="s">
        <v>213</v>
      </c>
    </row>
    <row r="2" spans="1:2" s="199" customFormat="1" ht="25.5" customHeight="1">
      <c r="A2" s="199" t="s">
        <v>212</v>
      </c>
      <c r="B2" s="200" t="e">
        <f>SUM(B3:B14)</f>
        <v>#REF!</v>
      </c>
    </row>
    <row r="3" spans="1:2">
      <c r="A3" s="198" t="str">
        <f>'przedsiewziecia pozostale'!B446</f>
        <v>Miejski Zarząd Dróg</v>
      </c>
      <c r="B3" s="167">
        <f>'przedsiewziecia pozostale'!L446</f>
        <v>17873916.530000001</v>
      </c>
    </row>
    <row r="4" spans="1:2">
      <c r="A4" s="198" t="e">
        <f>'przedsiewziecia pozostale'!#REF!</f>
        <v>#REF!</v>
      </c>
      <c r="B4" s="167" t="e">
        <f>'przedsiewziecia pozostale'!#REF!</f>
        <v>#REF!</v>
      </c>
    </row>
    <row r="5" spans="1:2">
      <c r="A5" s="198" t="e">
        <f>'przedsiewziecia pozostale'!#REF!</f>
        <v>#REF!</v>
      </c>
      <c r="B5" s="167" t="e">
        <f>'przedsiewziecia pozostale'!#REF!</f>
        <v>#REF!</v>
      </c>
    </row>
    <row r="6" spans="1:2">
      <c r="A6" s="198" t="str">
        <f>'przedsiewziecia pozostale'!B337</f>
        <v>Geopark Kielce</v>
      </c>
      <c r="B6" s="167">
        <f>'przedsiewziecia pozostale'!L337</f>
        <v>2436097.59</v>
      </c>
    </row>
    <row r="7" spans="1:2">
      <c r="A7" s="198" t="e">
        <f>'przedsiewziecia pozostale'!#REF!</f>
        <v>#REF!</v>
      </c>
      <c r="B7" s="167" t="e">
        <f>'przedsiewziecia pozostale'!#REF!</f>
        <v>#REF!</v>
      </c>
    </row>
    <row r="8" spans="1:2">
      <c r="A8" s="198" t="str">
        <f>'przedsiewziecia pozostale'!B614</f>
        <v>Wydział Edukacji, Kultury i Sportu</v>
      </c>
      <c r="B8" s="167">
        <f>'przedsiewziecia pozostale'!L614</f>
        <v>6966861.6799999997</v>
      </c>
    </row>
    <row r="9" spans="1:2">
      <c r="A9" s="198" t="str">
        <f>'przedsiewziecia pozostale'!B400</f>
        <v>Miejski Ośrodek Pomocy Rodzinie</v>
      </c>
      <c r="B9" s="167">
        <f>'przedsiewziecia pozostale'!L400</f>
        <v>943237.81</v>
      </c>
    </row>
    <row r="10" spans="1:2">
      <c r="A10" s="198" t="str">
        <f>'przedsiewziecia pozostale'!B654</f>
        <v>Wydział Inwestycji</v>
      </c>
      <c r="B10" s="167">
        <f>'przedsiewziecia pozostale'!L654</f>
        <v>6108423.8700000001</v>
      </c>
    </row>
    <row r="11" spans="1:2">
      <c r="A11" s="198" t="str">
        <f>'przedsiewziecia pozostale'!B774</f>
        <v xml:space="preserve">Wydział Zarządzania Kryzysowego </v>
      </c>
      <c r="B11" s="167">
        <f>'przedsiewziecia pozostale'!L774</f>
        <v>161180</v>
      </c>
    </row>
    <row r="12" spans="1:2">
      <c r="A12" s="198" t="str">
        <f>'przedsiewziecia pozostale'!B306</f>
        <v>Zakład Obsługi i Informatyki Urzędu Miasta</v>
      </c>
      <c r="B12" s="167">
        <f>'przedsiewziecia pozostale'!L306</f>
        <v>49657.78</v>
      </c>
    </row>
    <row r="13" spans="1:2">
      <c r="A13" s="198" t="str">
        <f>'przedsiewziecia pozostale'!B761</f>
        <v>Wydział Środowiska i Usług Komunalnych</v>
      </c>
      <c r="B13" s="167">
        <f>'przedsiewziecia pozostale'!L761</f>
        <v>0</v>
      </c>
    </row>
    <row r="14" spans="1:2">
      <c r="A14" s="198" t="e">
        <f>'przedsiewziecia pozostale'!#REF!</f>
        <v>#REF!</v>
      </c>
      <c r="B14" s="167" t="e">
        <f>'przedsiewziecia pozostale'!#REF!</f>
        <v>#REF!</v>
      </c>
    </row>
  </sheetData>
  <sortState ref="A3:B14">
    <sortCondition descending="1" ref="B3:B1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przedsiewziecia pozostale</vt:lpstr>
      <vt:lpstr>Arkusz1</vt:lpstr>
      <vt:lpstr>Arkusz2</vt:lpstr>
      <vt:lpstr>'przedsiewziecia pozostale'!Obszar_wydruku</vt:lpstr>
      <vt:lpstr>'przedsiewziecia pozostale'!Tytuły_wydruku</vt:lpstr>
    </vt:vector>
  </TitlesOfParts>
  <Company>ZOUM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dsalwa</dc:creator>
  <cp:lastModifiedBy>izygmunt</cp:lastModifiedBy>
  <cp:lastPrinted>2013-03-28T11:28:20Z</cp:lastPrinted>
  <dcterms:created xsi:type="dcterms:W3CDTF">2006-07-21T07:43:40Z</dcterms:created>
  <dcterms:modified xsi:type="dcterms:W3CDTF">2013-03-28T11:28:33Z</dcterms:modified>
</cp:coreProperties>
</file>