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 tabRatio="703"/>
  </bookViews>
  <sheets>
    <sheet name="przedsiewziecia UE" sheetId="7" r:id="rId1"/>
    <sheet name="Arkusz1" sheetId="11" r:id="rId2"/>
    <sheet name="Arkusz1 (2)" sheetId="23" r:id="rId3"/>
    <sheet name="Arkusz2" sheetId="12" r:id="rId4"/>
    <sheet name="Arkusz3" sheetId="13" r:id="rId5"/>
    <sheet name="Arkusz4" sheetId="14" r:id="rId6"/>
    <sheet name="Arkusz5" sheetId="15" r:id="rId7"/>
    <sheet name="Arkusz6" sheetId="16" r:id="rId8"/>
    <sheet name="Arkusz3 (2)" sheetId="17" r:id="rId9"/>
    <sheet name="Arkusz4 (2)" sheetId="18" r:id="rId10"/>
    <sheet name="Arkusz7" sheetId="19" r:id="rId11"/>
    <sheet name="Arkusz8" sheetId="20" r:id="rId12"/>
    <sheet name="Arkusz9" sheetId="21" r:id="rId13"/>
    <sheet name="Arkusz10" sheetId="22" r:id="rId14"/>
  </sheets>
  <externalReferences>
    <externalReference r:id="rId15"/>
    <externalReference r:id="rId16"/>
    <externalReference r:id="rId17"/>
  </externalReferences>
  <definedNames>
    <definedName name="_xlnm.Print_Area" localSheetId="0">'przedsiewziecia UE'!$A$1:$O$831</definedName>
    <definedName name="_xlnm.Print_Titles" localSheetId="0">'przedsiewziecia UE'!$7:$9</definedName>
  </definedNames>
  <calcPr calcId="145621"/>
</workbook>
</file>

<file path=xl/calcChain.xml><?xml version="1.0" encoding="utf-8"?>
<calcChain xmlns="http://schemas.openxmlformats.org/spreadsheetml/2006/main">
  <c r="J824" i="7" l="1"/>
  <c r="J815" i="7"/>
  <c r="J804" i="7"/>
  <c r="J794" i="7"/>
  <c r="H779" i="7" l="1"/>
  <c r="H775" i="7"/>
  <c r="K775" i="7"/>
  <c r="K776" i="7"/>
  <c r="D13" i="23" l="1"/>
  <c r="C13" i="23"/>
  <c r="F16" i="23"/>
  <c r="D16" i="23"/>
  <c r="B16" i="23" s="1"/>
  <c r="C16" i="23"/>
  <c r="H15" i="23"/>
  <c r="G15" i="23"/>
  <c r="F15" i="23"/>
  <c r="E15" i="23"/>
  <c r="D15" i="23"/>
  <c r="C15" i="23"/>
  <c r="H13" i="23"/>
  <c r="G13" i="23"/>
  <c r="F13" i="23"/>
  <c r="E13" i="23"/>
  <c r="H12" i="23"/>
  <c r="G12" i="23"/>
  <c r="F12" i="23"/>
  <c r="E12" i="23"/>
  <c r="E11" i="23" s="1"/>
  <c r="D12" i="23"/>
  <c r="C12" i="23"/>
  <c r="D9" i="23"/>
  <c r="C9" i="23"/>
  <c r="E8" i="23"/>
  <c r="D8" i="23"/>
  <c r="C8" i="23"/>
  <c r="B8" i="23" s="1"/>
  <c r="E7" i="23"/>
  <c r="D7" i="23"/>
  <c r="C7" i="23"/>
  <c r="B7" i="23" s="1"/>
  <c r="H6" i="23"/>
  <c r="G6" i="23"/>
  <c r="F6" i="23"/>
  <c r="E6" i="23"/>
  <c r="D6" i="23"/>
  <c r="C6" i="23"/>
  <c r="H5" i="23"/>
  <c r="G5" i="23"/>
  <c r="F5" i="23"/>
  <c r="E5" i="23"/>
  <c r="D5" i="23"/>
  <c r="C5" i="23"/>
  <c r="F16" i="11"/>
  <c r="D16" i="11"/>
  <c r="C16" i="11"/>
  <c r="H15" i="11"/>
  <c r="G15" i="11"/>
  <c r="F15" i="11"/>
  <c r="E15" i="11"/>
  <c r="D15" i="11"/>
  <c r="C15" i="11"/>
  <c r="D13" i="11"/>
  <c r="C13" i="11"/>
  <c r="H13" i="11"/>
  <c r="G13" i="11"/>
  <c r="F13" i="11"/>
  <c r="E13" i="11"/>
  <c r="H12" i="11"/>
  <c r="G12" i="11"/>
  <c r="F12" i="11"/>
  <c r="E12" i="11"/>
  <c r="D12" i="11"/>
  <c r="C12" i="11"/>
  <c r="B5" i="23" l="1"/>
  <c r="B15" i="23"/>
  <c r="B6" i="23"/>
  <c r="G11" i="23"/>
  <c r="B12" i="23"/>
  <c r="H11" i="23"/>
  <c r="B13" i="23"/>
  <c r="F11" i="23"/>
  <c r="B9" i="23"/>
  <c r="D11" i="23"/>
  <c r="K830" i="7" l="1"/>
  <c r="K829" i="7"/>
  <c r="K828" i="7"/>
  <c r="K827" i="7"/>
  <c r="K826" i="7"/>
  <c r="K821" i="7"/>
  <c r="K800" i="7"/>
  <c r="K799" i="7"/>
  <c r="K798" i="7"/>
  <c r="K780" i="7"/>
  <c r="K760" i="7"/>
  <c r="K758" i="7"/>
  <c r="K757" i="7"/>
  <c r="K749" i="7"/>
  <c r="K730" i="7"/>
  <c r="K721" i="7"/>
  <c r="K719" i="7"/>
  <c r="K712" i="7"/>
  <c r="K711" i="7"/>
  <c r="K709" i="7"/>
  <c r="K703" i="7"/>
  <c r="K701" i="7"/>
  <c r="K700" i="7"/>
  <c r="K699" i="7"/>
  <c r="K698" i="7"/>
  <c r="K693" i="7"/>
  <c r="K684" i="7"/>
  <c r="K682" i="7"/>
  <c r="K681" i="7"/>
  <c r="K680" i="7"/>
  <c r="K679" i="7"/>
  <c r="K600" i="7"/>
  <c r="K599" i="7"/>
  <c r="K598" i="7"/>
  <c r="K597" i="7"/>
  <c r="K587" i="7"/>
  <c r="K585" i="7"/>
  <c r="N560" i="7"/>
  <c r="K560" i="7"/>
  <c r="N559" i="7"/>
  <c r="K559" i="7"/>
  <c r="N558" i="7"/>
  <c r="K558" i="7"/>
  <c r="N557" i="7"/>
  <c r="K557" i="7"/>
  <c r="N551" i="7"/>
  <c r="K551" i="7"/>
  <c r="N550" i="7"/>
  <c r="K550" i="7"/>
  <c r="N549" i="7"/>
  <c r="K549" i="7"/>
  <c r="N548" i="7"/>
  <c r="K548" i="7"/>
  <c r="N546" i="7"/>
  <c r="K546" i="7"/>
  <c r="N538" i="7"/>
  <c r="K538" i="7"/>
  <c r="N537" i="7"/>
  <c r="K537" i="7"/>
  <c r="N536" i="7"/>
  <c r="K536" i="7"/>
  <c r="N535" i="7"/>
  <c r="K535" i="7"/>
  <c r="N525" i="7"/>
  <c r="K525" i="7"/>
  <c r="N524" i="7"/>
  <c r="K524" i="7"/>
  <c r="N523" i="7"/>
  <c r="K523" i="7"/>
  <c r="N522" i="7"/>
  <c r="K522" i="7"/>
  <c r="N511" i="7"/>
  <c r="K511" i="7"/>
  <c r="N510" i="7"/>
  <c r="K510" i="7"/>
  <c r="N509" i="7"/>
  <c r="K509" i="7"/>
  <c r="N508" i="7"/>
  <c r="K508" i="7"/>
  <c r="N500" i="7"/>
  <c r="K500" i="7"/>
  <c r="N499" i="7"/>
  <c r="K499" i="7"/>
  <c r="N497" i="7"/>
  <c r="K497" i="7"/>
  <c r="N489" i="7"/>
  <c r="K489" i="7"/>
  <c r="N488" i="7"/>
  <c r="K488" i="7"/>
  <c r="N487" i="7"/>
  <c r="K487" i="7"/>
  <c r="N486" i="7"/>
  <c r="K486" i="7"/>
  <c r="N471" i="7"/>
  <c r="K471" i="7"/>
  <c r="N470" i="7"/>
  <c r="K470" i="7"/>
  <c r="N469" i="7"/>
  <c r="K469" i="7"/>
  <c r="N468" i="7"/>
  <c r="K468" i="7"/>
  <c r="N466" i="7"/>
  <c r="K466" i="7"/>
  <c r="N462" i="7"/>
  <c r="K462" i="7"/>
  <c r="N461" i="7"/>
  <c r="K461" i="7"/>
  <c r="N460" i="7"/>
  <c r="K460" i="7"/>
  <c r="N459" i="7"/>
  <c r="K459" i="7"/>
  <c r="N457" i="7"/>
  <c r="K457" i="7"/>
  <c r="N453" i="7"/>
  <c r="K453" i="7"/>
  <c r="N452" i="7"/>
  <c r="K452" i="7"/>
  <c r="N451" i="7"/>
  <c r="K451" i="7"/>
  <c r="N450" i="7"/>
  <c r="K450" i="7"/>
  <c r="N448" i="7"/>
  <c r="K448" i="7"/>
  <c r="N444" i="7"/>
  <c r="K444" i="7"/>
  <c r="N443" i="7"/>
  <c r="K443" i="7"/>
  <c r="N442" i="7"/>
  <c r="K442" i="7"/>
  <c r="N441" i="7"/>
  <c r="K441" i="7"/>
  <c r="N439" i="7"/>
  <c r="K439" i="7"/>
  <c r="N435" i="7"/>
  <c r="K435" i="7"/>
  <c r="N434" i="7"/>
  <c r="K434" i="7"/>
  <c r="N433" i="7"/>
  <c r="K433" i="7"/>
  <c r="N432" i="7"/>
  <c r="K432" i="7"/>
  <c r="N430" i="7"/>
  <c r="K430" i="7"/>
  <c r="N426" i="7"/>
  <c r="K426" i="7"/>
  <c r="N425" i="7"/>
  <c r="K425" i="7"/>
  <c r="N424" i="7"/>
  <c r="K424" i="7"/>
  <c r="N423" i="7"/>
  <c r="K423" i="7"/>
  <c r="N421" i="7"/>
  <c r="K421" i="7"/>
  <c r="N417" i="7"/>
  <c r="K417" i="7"/>
  <c r="N416" i="7"/>
  <c r="K416" i="7"/>
  <c r="N415" i="7"/>
  <c r="K415" i="7"/>
  <c r="N414" i="7"/>
  <c r="K414" i="7"/>
  <c r="N412" i="7"/>
  <c r="K412" i="7"/>
  <c r="N408" i="7"/>
  <c r="K408" i="7"/>
  <c r="N407" i="7"/>
  <c r="K407" i="7"/>
  <c r="N406" i="7"/>
  <c r="K406" i="7"/>
  <c r="N405" i="7"/>
  <c r="K405" i="7"/>
  <c r="N403" i="7"/>
  <c r="K403" i="7"/>
  <c r="N399" i="7"/>
  <c r="K399" i="7"/>
  <c r="N398" i="7"/>
  <c r="K398" i="7"/>
  <c r="N397" i="7"/>
  <c r="K397" i="7"/>
  <c r="N396" i="7"/>
  <c r="K396" i="7"/>
  <c r="N394" i="7"/>
  <c r="K394" i="7"/>
  <c r="N390" i="7"/>
  <c r="K390" i="7"/>
  <c r="N389" i="7"/>
  <c r="K389" i="7"/>
  <c r="N388" i="7"/>
  <c r="K388" i="7"/>
  <c r="N387" i="7"/>
  <c r="K387" i="7"/>
  <c r="N385" i="7"/>
  <c r="K385" i="7"/>
  <c r="N381" i="7"/>
  <c r="I381" i="7"/>
  <c r="H381" i="7"/>
  <c r="K381" i="7"/>
  <c r="K380" i="7"/>
  <c r="K379" i="7"/>
  <c r="K378" i="7"/>
  <c r="K376" i="7"/>
  <c r="K372" i="7"/>
  <c r="K371" i="7"/>
  <c r="K369" i="7"/>
  <c r="K367" i="7"/>
  <c r="K363" i="7"/>
  <c r="K362" i="7"/>
  <c r="K361" i="7"/>
  <c r="K360" i="7"/>
  <c r="K358" i="7"/>
  <c r="K354" i="7"/>
  <c r="K353" i="7"/>
  <c r="K351" i="7"/>
  <c r="K349" i="7"/>
  <c r="K345" i="7"/>
  <c r="K344" i="7"/>
  <c r="K342" i="7"/>
  <c r="K340" i="7"/>
  <c r="K334" i="7"/>
  <c r="K333" i="7"/>
  <c r="K331" i="7"/>
  <c r="K329" i="7"/>
  <c r="K321" i="7"/>
  <c r="K320" i="7"/>
  <c r="K318" i="7"/>
  <c r="K316" i="7"/>
  <c r="K303" i="7"/>
  <c r="K302" i="7"/>
  <c r="K300" i="7"/>
  <c r="K298" i="7"/>
  <c r="K294" i="7"/>
  <c r="K293" i="7"/>
  <c r="K292" i="7"/>
  <c r="K291" i="7"/>
  <c r="K289" i="7"/>
  <c r="K284" i="7"/>
  <c r="K283" i="7"/>
  <c r="K281" i="7"/>
  <c r="K279" i="7"/>
  <c r="K273" i="7"/>
  <c r="K272" i="7"/>
  <c r="K271" i="7"/>
  <c r="K270" i="7"/>
  <c r="K189" i="7"/>
  <c r="K188" i="7"/>
  <c r="K187" i="7"/>
  <c r="K186" i="7"/>
  <c r="K185" i="7"/>
  <c r="K182" i="7"/>
  <c r="K181" i="7"/>
  <c r="K180" i="7"/>
  <c r="K179" i="7"/>
  <c r="K178" i="7"/>
  <c r="K175" i="7"/>
  <c r="K174" i="7"/>
  <c r="K173" i="7"/>
  <c r="K172" i="7"/>
  <c r="K171" i="7"/>
  <c r="H770" i="7"/>
  <c r="H766" i="7"/>
  <c r="M767" i="7"/>
  <c r="M768" i="7"/>
  <c r="M769" i="7"/>
  <c r="M770" i="7"/>
  <c r="M771" i="7"/>
  <c r="M766" i="7"/>
  <c r="L767" i="7"/>
  <c r="N767" i="7" s="1"/>
  <c r="L768" i="7"/>
  <c r="N768" i="7" s="1"/>
  <c r="L769" i="7"/>
  <c r="L770" i="7"/>
  <c r="L771" i="7"/>
  <c r="N771" i="7" s="1"/>
  <c r="L766" i="7"/>
  <c r="J767" i="7"/>
  <c r="J768" i="7"/>
  <c r="J769" i="7"/>
  <c r="J770" i="7"/>
  <c r="J771" i="7"/>
  <c r="J766" i="7"/>
  <c r="G767" i="7"/>
  <c r="G768" i="7"/>
  <c r="I768" i="7" s="1"/>
  <c r="G769" i="7"/>
  <c r="I769" i="7" s="1"/>
  <c r="G770" i="7"/>
  <c r="G771" i="7"/>
  <c r="I771" i="7" s="1"/>
  <c r="G766" i="7"/>
  <c r="N780" i="7"/>
  <c r="K771" i="7"/>
  <c r="I780" i="7"/>
  <c r="H780" i="7"/>
  <c r="H771" i="7" s="1"/>
  <c r="N779" i="7"/>
  <c r="K779" i="7"/>
  <c r="K770" i="7" s="1"/>
  <c r="I779" i="7"/>
  <c r="N778" i="7"/>
  <c r="K778" i="7"/>
  <c r="K769" i="7" s="1"/>
  <c r="I778" i="7"/>
  <c r="H778" i="7"/>
  <c r="H769" i="7" s="1"/>
  <c r="N777" i="7"/>
  <c r="K777" i="7"/>
  <c r="K768" i="7" s="1"/>
  <c r="I777" i="7"/>
  <c r="H777" i="7"/>
  <c r="H768" i="7" s="1"/>
  <c r="N776" i="7"/>
  <c r="K767" i="7"/>
  <c r="H776" i="7"/>
  <c r="I776" i="7" s="1"/>
  <c r="N775" i="7"/>
  <c r="K766" i="7"/>
  <c r="M774" i="7"/>
  <c r="L774" i="7"/>
  <c r="J774" i="7"/>
  <c r="G774" i="7"/>
  <c r="N769" i="7"/>
  <c r="M476" i="7"/>
  <c r="M477" i="7"/>
  <c r="M478" i="7"/>
  <c r="M479" i="7"/>
  <c r="M480" i="7"/>
  <c r="M475" i="7"/>
  <c r="L476" i="7"/>
  <c r="L477" i="7"/>
  <c r="L478" i="7"/>
  <c r="L479" i="7"/>
  <c r="L480" i="7"/>
  <c r="L475" i="7"/>
  <c r="J476" i="7"/>
  <c r="J477" i="7"/>
  <c r="J478" i="7"/>
  <c r="J479" i="7"/>
  <c r="J480" i="7"/>
  <c r="J475" i="7"/>
  <c r="G476" i="7"/>
  <c r="G477" i="7"/>
  <c r="G478" i="7"/>
  <c r="G479" i="7"/>
  <c r="G480" i="7"/>
  <c r="G475" i="7"/>
  <c r="H547" i="7"/>
  <c r="I547" i="7" s="1"/>
  <c r="H546" i="7"/>
  <c r="H534" i="7"/>
  <c r="I534" i="7" s="1"/>
  <c r="H533" i="7"/>
  <c r="I533" i="7" s="1"/>
  <c r="H498" i="7"/>
  <c r="H496" i="7"/>
  <c r="H495" i="7"/>
  <c r="I551" i="7"/>
  <c r="H551" i="7"/>
  <c r="I550" i="7"/>
  <c r="H550" i="7"/>
  <c r="I549" i="7"/>
  <c r="H549" i="7"/>
  <c r="I548" i="7"/>
  <c r="H548" i="7"/>
  <c r="N547" i="7"/>
  <c r="K547" i="7"/>
  <c r="I546" i="7"/>
  <c r="M545" i="7"/>
  <c r="L545" i="7"/>
  <c r="J545" i="7"/>
  <c r="G545" i="7"/>
  <c r="I538" i="7"/>
  <c r="H538" i="7"/>
  <c r="I537" i="7"/>
  <c r="H537" i="7"/>
  <c r="I536" i="7"/>
  <c r="H536" i="7"/>
  <c r="I535" i="7"/>
  <c r="H535" i="7"/>
  <c r="N534" i="7"/>
  <c r="K534" i="7"/>
  <c r="N533" i="7"/>
  <c r="K533" i="7"/>
  <c r="M532" i="7"/>
  <c r="L532" i="7"/>
  <c r="J532" i="7"/>
  <c r="G532" i="7"/>
  <c r="H655" i="7"/>
  <c r="H654" i="7"/>
  <c r="H653" i="7"/>
  <c r="H652" i="7"/>
  <c r="H651" i="7"/>
  <c r="H596" i="7"/>
  <c r="H595" i="7"/>
  <c r="H587" i="7"/>
  <c r="H584" i="7"/>
  <c r="H583" i="7"/>
  <c r="M308" i="7"/>
  <c r="M309" i="7"/>
  <c r="M310" i="7"/>
  <c r="M311" i="7"/>
  <c r="M312" i="7"/>
  <c r="M307" i="7"/>
  <c r="L308" i="7"/>
  <c r="L309" i="7"/>
  <c r="L310" i="7"/>
  <c r="L311" i="7"/>
  <c r="L312" i="7"/>
  <c r="L307" i="7"/>
  <c r="J308" i="7"/>
  <c r="J309" i="7"/>
  <c r="J310" i="7"/>
  <c r="J311" i="7"/>
  <c r="J312" i="7"/>
  <c r="J307" i="7"/>
  <c r="G308" i="7"/>
  <c r="G309" i="7"/>
  <c r="G311" i="7"/>
  <c r="G312" i="7"/>
  <c r="G307" i="7"/>
  <c r="H467" i="7"/>
  <c r="H440" i="7"/>
  <c r="H431" i="7"/>
  <c r="H422" i="7"/>
  <c r="H413" i="7"/>
  <c r="H377" i="7"/>
  <c r="H361" i="7"/>
  <c r="H358" i="7"/>
  <c r="H359" i="7"/>
  <c r="H404" i="7"/>
  <c r="H395" i="7"/>
  <c r="H386" i="7"/>
  <c r="H370" i="7"/>
  <c r="H368" i="7"/>
  <c r="H352" i="7"/>
  <c r="H350" i="7"/>
  <c r="G343" i="7"/>
  <c r="G310" i="7" s="1"/>
  <c r="H343" i="7"/>
  <c r="H341" i="7"/>
  <c r="H332" i="7"/>
  <c r="H330" i="7"/>
  <c r="H319" i="7"/>
  <c r="H317" i="7"/>
  <c r="H628" i="7"/>
  <c r="H630" i="7"/>
  <c r="H627" i="7"/>
  <c r="H626" i="7"/>
  <c r="H629" i="7"/>
  <c r="M787" i="7"/>
  <c r="M788" i="7"/>
  <c r="M789" i="7"/>
  <c r="M790" i="7"/>
  <c r="M791" i="7"/>
  <c r="M786" i="7"/>
  <c r="L787" i="7"/>
  <c r="L788" i="7"/>
  <c r="L789" i="7"/>
  <c r="L790" i="7"/>
  <c r="L791" i="7"/>
  <c r="L786" i="7"/>
  <c r="J787" i="7"/>
  <c r="J788" i="7"/>
  <c r="J789" i="7"/>
  <c r="J790" i="7"/>
  <c r="J791" i="7"/>
  <c r="J786" i="7"/>
  <c r="G787" i="7"/>
  <c r="G788" i="7"/>
  <c r="G789" i="7"/>
  <c r="G790" i="7"/>
  <c r="G791" i="7"/>
  <c r="G786" i="7"/>
  <c r="N770" i="7" l="1"/>
  <c r="N766" i="7"/>
  <c r="H532" i="7"/>
  <c r="I532" i="7" s="1"/>
  <c r="L765" i="7"/>
  <c r="K545" i="7"/>
  <c r="I775" i="7"/>
  <c r="G765" i="7"/>
  <c r="J765" i="7"/>
  <c r="H545" i="7"/>
  <c r="I766" i="7"/>
  <c r="K774" i="7"/>
  <c r="K532" i="7"/>
  <c r="H767" i="7"/>
  <c r="I767" i="7" s="1"/>
  <c r="M765" i="7"/>
  <c r="N765" i="7" s="1"/>
  <c r="K765" i="7"/>
  <c r="I770" i="7"/>
  <c r="N774" i="7"/>
  <c r="H774" i="7"/>
  <c r="I774" i="7" s="1"/>
  <c r="I545" i="7"/>
  <c r="N545" i="7"/>
  <c r="N532" i="7"/>
  <c r="N830" i="7"/>
  <c r="I830" i="7"/>
  <c r="H830" i="7"/>
  <c r="N829" i="7"/>
  <c r="I829" i="7"/>
  <c r="H829" i="7"/>
  <c r="N828" i="7"/>
  <c r="I828" i="7"/>
  <c r="H828" i="7"/>
  <c r="N827" i="7"/>
  <c r="I827" i="7"/>
  <c r="H827" i="7"/>
  <c r="N826" i="7"/>
  <c r="I826" i="7"/>
  <c r="H826" i="7"/>
  <c r="N825" i="7"/>
  <c r="K825" i="7"/>
  <c r="H825" i="7"/>
  <c r="I825" i="7" s="1"/>
  <c r="M824" i="7"/>
  <c r="L824" i="7"/>
  <c r="K824" i="7"/>
  <c r="G824" i="7"/>
  <c r="N821" i="7"/>
  <c r="I821" i="7"/>
  <c r="H821" i="7"/>
  <c r="N820" i="7"/>
  <c r="K820" i="7"/>
  <c r="H820" i="7"/>
  <c r="I820" i="7" s="1"/>
  <c r="N819" i="7"/>
  <c r="K819" i="7"/>
  <c r="I819" i="7"/>
  <c r="H819" i="7"/>
  <c r="N818" i="7"/>
  <c r="K818" i="7"/>
  <c r="I818" i="7"/>
  <c r="H818" i="7"/>
  <c r="N817" i="7"/>
  <c r="K817" i="7"/>
  <c r="H817" i="7"/>
  <c r="I817" i="7" s="1"/>
  <c r="N816" i="7"/>
  <c r="K816" i="7"/>
  <c r="H816" i="7"/>
  <c r="I816" i="7" s="1"/>
  <c r="M815" i="7"/>
  <c r="L815" i="7"/>
  <c r="G815" i="7"/>
  <c r="N810" i="7"/>
  <c r="K810" i="7"/>
  <c r="I810" i="7"/>
  <c r="H810" i="7"/>
  <c r="N809" i="7"/>
  <c r="K809" i="7"/>
  <c r="H809" i="7"/>
  <c r="I809" i="7" s="1"/>
  <c r="N808" i="7"/>
  <c r="K808" i="7"/>
  <c r="I808" i="7"/>
  <c r="H808" i="7"/>
  <c r="N807" i="7"/>
  <c r="K807" i="7"/>
  <c r="I807" i="7"/>
  <c r="H807" i="7"/>
  <c r="N806" i="7"/>
  <c r="K806" i="7"/>
  <c r="H806" i="7"/>
  <c r="I806" i="7" s="1"/>
  <c r="N805" i="7"/>
  <c r="K805" i="7"/>
  <c r="H805" i="7"/>
  <c r="I805" i="7" s="1"/>
  <c r="M804" i="7"/>
  <c r="L804" i="7"/>
  <c r="G804" i="7"/>
  <c r="M662" i="7"/>
  <c r="M663" i="7"/>
  <c r="M664" i="7"/>
  <c r="M665" i="7"/>
  <c r="M666" i="7"/>
  <c r="M661" i="7"/>
  <c r="L662" i="7"/>
  <c r="L663" i="7"/>
  <c r="L664" i="7"/>
  <c r="L665" i="7"/>
  <c r="L666" i="7"/>
  <c r="L661" i="7"/>
  <c r="J662" i="7"/>
  <c r="J663" i="7"/>
  <c r="J664" i="7"/>
  <c r="J665" i="7"/>
  <c r="J666" i="7"/>
  <c r="J661" i="7"/>
  <c r="G662" i="7"/>
  <c r="G663" i="7"/>
  <c r="G664" i="7"/>
  <c r="G665" i="7"/>
  <c r="G666" i="7"/>
  <c r="G661" i="7"/>
  <c r="H749" i="7"/>
  <c r="H748" i="7"/>
  <c r="H747" i="7"/>
  <c r="H746" i="7"/>
  <c r="H745" i="7"/>
  <c r="H738" i="7"/>
  <c r="H729" i="7"/>
  <c r="H674" i="7"/>
  <c r="H720" i="7"/>
  <c r="H759" i="7"/>
  <c r="H756" i="7"/>
  <c r="H755" i="7"/>
  <c r="H739" i="7"/>
  <c r="H736" i="7"/>
  <c r="H735" i="7"/>
  <c r="H730" i="7"/>
  <c r="H727" i="7"/>
  <c r="H726" i="7"/>
  <c r="K726" i="7"/>
  <c r="K727" i="7"/>
  <c r="K728" i="7"/>
  <c r="K729" i="7"/>
  <c r="H721" i="7"/>
  <c r="H718" i="7"/>
  <c r="H717" i="7"/>
  <c r="H692" i="7"/>
  <c r="H688" i="7"/>
  <c r="H765" i="7" l="1"/>
  <c r="I765" i="7" s="1"/>
  <c r="K804" i="7"/>
  <c r="H804" i="7"/>
  <c r="N824" i="7"/>
  <c r="K815" i="7"/>
  <c r="H815" i="7"/>
  <c r="I815" i="7" s="1"/>
  <c r="I804" i="7"/>
  <c r="N804" i="7"/>
  <c r="N815" i="7"/>
  <c r="H824" i="7"/>
  <c r="I824" i="7" s="1"/>
  <c r="H689" i="7"/>
  <c r="H672" i="7"/>
  <c r="M226" i="7" l="1"/>
  <c r="L226" i="7"/>
  <c r="M225" i="7"/>
  <c r="L225" i="7"/>
  <c r="M224" i="7"/>
  <c r="L224" i="7"/>
  <c r="M223" i="7"/>
  <c r="L223" i="7"/>
  <c r="M222" i="7"/>
  <c r="L222" i="7"/>
  <c r="M221" i="7"/>
  <c r="L221" i="7"/>
  <c r="J226" i="7"/>
  <c r="J225" i="7"/>
  <c r="J224" i="7"/>
  <c r="J223" i="7"/>
  <c r="J222" i="7"/>
  <c r="J221" i="7"/>
  <c r="G222" i="7"/>
  <c r="G223" i="7"/>
  <c r="G224" i="7"/>
  <c r="G225" i="7"/>
  <c r="G226" i="7"/>
  <c r="G221" i="7"/>
  <c r="H299" i="7"/>
  <c r="H301" i="7"/>
  <c r="H290" i="7"/>
  <c r="H280" i="7"/>
  <c r="H282" i="7"/>
  <c r="H269" i="7"/>
  <c r="H260" i="7"/>
  <c r="H262" i="7"/>
  <c r="H251" i="7"/>
  <c r="H253" i="7"/>
  <c r="H240" i="7"/>
  <c r="H242" i="7"/>
  <c r="N235" i="7"/>
  <c r="K235" i="7"/>
  <c r="I235" i="7"/>
  <c r="H235" i="7"/>
  <c r="N234" i="7"/>
  <c r="K234" i="7"/>
  <c r="I234" i="7"/>
  <c r="H234" i="7"/>
  <c r="N233" i="7"/>
  <c r="K233" i="7"/>
  <c r="H233" i="7"/>
  <c r="I233" i="7" s="1"/>
  <c r="N232" i="7"/>
  <c r="K232" i="7"/>
  <c r="I232" i="7"/>
  <c r="H232" i="7"/>
  <c r="N231" i="7"/>
  <c r="K231" i="7"/>
  <c r="H231" i="7"/>
  <c r="I231" i="7" s="1"/>
  <c r="N230" i="7"/>
  <c r="K230" i="7"/>
  <c r="I230" i="7"/>
  <c r="H230" i="7"/>
  <c r="M229" i="7"/>
  <c r="L229" i="7"/>
  <c r="J229" i="7"/>
  <c r="G229" i="7"/>
  <c r="H201" i="7"/>
  <c r="I201" i="7" s="1"/>
  <c r="H203" i="7"/>
  <c r="I203" i="7" s="1"/>
  <c r="N205" i="7"/>
  <c r="K205" i="7"/>
  <c r="I205" i="7"/>
  <c r="H205" i="7"/>
  <c r="N204" i="7"/>
  <c r="K204" i="7"/>
  <c r="I204" i="7"/>
  <c r="H204" i="7"/>
  <c r="N203" i="7"/>
  <c r="K203" i="7"/>
  <c r="N202" i="7"/>
  <c r="K202" i="7"/>
  <c r="I202" i="7"/>
  <c r="H202" i="7"/>
  <c r="N201" i="7"/>
  <c r="K201" i="7"/>
  <c r="N200" i="7"/>
  <c r="K200" i="7"/>
  <c r="I200" i="7"/>
  <c r="H200" i="7"/>
  <c r="M199" i="7"/>
  <c r="L199" i="7"/>
  <c r="J199" i="7"/>
  <c r="G199" i="7"/>
  <c r="H213" i="7"/>
  <c r="H211" i="7"/>
  <c r="H194" i="7"/>
  <c r="H192" i="7"/>
  <c r="H184" i="7"/>
  <c r="H177" i="7"/>
  <c r="H170" i="7"/>
  <c r="H162" i="7"/>
  <c r="H146" i="7"/>
  <c r="H148" i="7"/>
  <c r="H137" i="7"/>
  <c r="H123" i="7"/>
  <c r="I123" i="7" s="1"/>
  <c r="H121" i="7"/>
  <c r="I121" i="7" s="1"/>
  <c r="N125" i="7"/>
  <c r="K125" i="7"/>
  <c r="I125" i="7"/>
  <c r="H125" i="7"/>
  <c r="N124" i="7"/>
  <c r="K124" i="7"/>
  <c r="I124" i="7"/>
  <c r="H124" i="7"/>
  <c r="N123" i="7"/>
  <c r="K123" i="7"/>
  <c r="N122" i="7"/>
  <c r="K122" i="7"/>
  <c r="I122" i="7"/>
  <c r="H122" i="7"/>
  <c r="N121" i="7"/>
  <c r="K121" i="7"/>
  <c r="N120" i="7"/>
  <c r="K120" i="7"/>
  <c r="I120" i="7"/>
  <c r="H120" i="7"/>
  <c r="M119" i="7"/>
  <c r="L119" i="7"/>
  <c r="J119" i="7"/>
  <c r="G119" i="7"/>
  <c r="M35" i="7"/>
  <c r="L35" i="7"/>
  <c r="M34" i="7"/>
  <c r="L34" i="7"/>
  <c r="M33" i="7"/>
  <c r="L33" i="7"/>
  <c r="M32" i="7"/>
  <c r="L32" i="7"/>
  <c r="M31" i="7"/>
  <c r="L31" i="7"/>
  <c r="M30" i="7"/>
  <c r="L30" i="7"/>
  <c r="J35" i="7"/>
  <c r="J34" i="7"/>
  <c r="J33" i="7"/>
  <c r="J32" i="7"/>
  <c r="J31" i="7"/>
  <c r="J30" i="7"/>
  <c r="G31" i="7"/>
  <c r="G32" i="7"/>
  <c r="G33" i="7"/>
  <c r="G34" i="7"/>
  <c r="G35" i="7"/>
  <c r="G30" i="7"/>
  <c r="H103" i="7"/>
  <c r="H105" i="7"/>
  <c r="H94" i="7"/>
  <c r="H92" i="7"/>
  <c r="H91" i="7"/>
  <c r="K83" i="7"/>
  <c r="H85" i="7"/>
  <c r="H83" i="7"/>
  <c r="H82" i="7"/>
  <c r="H199" i="7" l="1"/>
  <c r="I199" i="7" s="1"/>
  <c r="K229" i="7"/>
  <c r="K199" i="7"/>
  <c r="N199" i="7"/>
  <c r="H222" i="7"/>
  <c r="H229" i="7"/>
  <c r="I229" i="7" s="1"/>
  <c r="N119" i="7"/>
  <c r="H119" i="7"/>
  <c r="I119" i="7" s="1"/>
  <c r="N229" i="7"/>
  <c r="K119" i="7"/>
  <c r="N87" i="7" l="1"/>
  <c r="K87" i="7"/>
  <c r="I87" i="7"/>
  <c r="H87" i="7"/>
  <c r="N86" i="7"/>
  <c r="K86" i="7"/>
  <c r="I86" i="7"/>
  <c r="H86" i="7"/>
  <c r="N85" i="7"/>
  <c r="K85" i="7"/>
  <c r="I85" i="7"/>
  <c r="N84" i="7"/>
  <c r="K84" i="7"/>
  <c r="I84" i="7"/>
  <c r="H84" i="7"/>
  <c r="N83" i="7"/>
  <c r="I83" i="7"/>
  <c r="N82" i="7"/>
  <c r="K82" i="7"/>
  <c r="I82" i="7"/>
  <c r="M81" i="7"/>
  <c r="L81" i="7"/>
  <c r="J81" i="7"/>
  <c r="G81" i="7"/>
  <c r="N77" i="7"/>
  <c r="K77" i="7"/>
  <c r="I77" i="7"/>
  <c r="H77" i="7"/>
  <c r="N76" i="7"/>
  <c r="K76" i="7"/>
  <c r="I76" i="7"/>
  <c r="H76" i="7"/>
  <c r="N75" i="7"/>
  <c r="K75" i="7"/>
  <c r="H75" i="7"/>
  <c r="I75" i="7" s="1"/>
  <c r="N74" i="7"/>
  <c r="K74" i="7"/>
  <c r="I74" i="7"/>
  <c r="H74" i="7"/>
  <c r="N73" i="7"/>
  <c r="K73" i="7"/>
  <c r="H73" i="7"/>
  <c r="I73" i="7" s="1"/>
  <c r="N72" i="7"/>
  <c r="K72" i="7"/>
  <c r="H72" i="7"/>
  <c r="I72" i="7" s="1"/>
  <c r="M71" i="7"/>
  <c r="L71" i="7"/>
  <c r="J71" i="7"/>
  <c r="G71" i="7"/>
  <c r="H60" i="7"/>
  <c r="H62" i="7"/>
  <c r="H51" i="7"/>
  <c r="H53" i="7"/>
  <c r="H40" i="7"/>
  <c r="H39" i="7"/>
  <c r="K638" i="7"/>
  <c r="K637" i="7"/>
  <c r="K636" i="7"/>
  <c r="K635" i="7"/>
  <c r="K634" i="7"/>
  <c r="K633" i="7"/>
  <c r="K630" i="7"/>
  <c r="K629" i="7"/>
  <c r="K628" i="7"/>
  <c r="K627" i="7"/>
  <c r="K626" i="7"/>
  <c r="K625" i="7"/>
  <c r="K196" i="7"/>
  <c r="K195" i="7"/>
  <c r="K194" i="7"/>
  <c r="K193" i="7"/>
  <c r="K192" i="7"/>
  <c r="K191" i="7"/>
  <c r="K184" i="7"/>
  <c r="K177" i="7"/>
  <c r="K170" i="7"/>
  <c r="K167" i="7"/>
  <c r="K166" i="7"/>
  <c r="K165" i="7"/>
  <c r="K164" i="7"/>
  <c r="K163" i="7"/>
  <c r="K162" i="7"/>
  <c r="K150" i="7"/>
  <c r="K149" i="7"/>
  <c r="K148" i="7"/>
  <c r="K147" i="7"/>
  <c r="K146" i="7"/>
  <c r="K145" i="7"/>
  <c r="K791" i="7"/>
  <c r="K790" i="7"/>
  <c r="K789" i="7"/>
  <c r="K797" i="7"/>
  <c r="K788" i="7" s="1"/>
  <c r="K796" i="7"/>
  <c r="K787" i="7" s="1"/>
  <c r="K795" i="7"/>
  <c r="K786" i="7" s="1"/>
  <c r="K759" i="7"/>
  <c r="K756" i="7"/>
  <c r="K755" i="7"/>
  <c r="K748" i="7"/>
  <c r="K747" i="7"/>
  <c r="K746" i="7"/>
  <c r="K745" i="7"/>
  <c r="K744" i="7"/>
  <c r="K739" i="7"/>
  <c r="K738" i="7"/>
  <c r="K737" i="7"/>
  <c r="K736" i="7"/>
  <c r="K735" i="7"/>
  <c r="K734" i="7"/>
  <c r="K725" i="7"/>
  <c r="K720" i="7"/>
  <c r="K718" i="7"/>
  <c r="K717" i="7"/>
  <c r="K716" i="7"/>
  <c r="K710" i="7"/>
  <c r="K708" i="7"/>
  <c r="K707" i="7"/>
  <c r="K702" i="7"/>
  <c r="K692" i="7"/>
  <c r="K691" i="7"/>
  <c r="K690" i="7"/>
  <c r="K689" i="7"/>
  <c r="K688" i="7"/>
  <c r="K683" i="7"/>
  <c r="K675" i="7"/>
  <c r="K674" i="7"/>
  <c r="K673" i="7"/>
  <c r="K672" i="7"/>
  <c r="K671" i="7"/>
  <c r="K670" i="7"/>
  <c r="K656" i="7"/>
  <c r="K655" i="7"/>
  <c r="K654" i="7"/>
  <c r="K653" i="7"/>
  <c r="K652" i="7"/>
  <c r="K651" i="7"/>
  <c r="K596" i="7"/>
  <c r="K595" i="7"/>
  <c r="K586" i="7"/>
  <c r="K584" i="7"/>
  <c r="K583" i="7"/>
  <c r="K582" i="7"/>
  <c r="K556" i="7"/>
  <c r="K555" i="7"/>
  <c r="K521" i="7"/>
  <c r="K520" i="7"/>
  <c r="K507" i="7"/>
  <c r="K506" i="7"/>
  <c r="K498" i="7"/>
  <c r="K496" i="7"/>
  <c r="K495" i="7"/>
  <c r="K480" i="7"/>
  <c r="K478" i="7"/>
  <c r="K485" i="7"/>
  <c r="K484" i="7"/>
  <c r="K467" i="7"/>
  <c r="K458" i="7"/>
  <c r="K449" i="7"/>
  <c r="K440" i="7"/>
  <c r="K431" i="7"/>
  <c r="K422" i="7"/>
  <c r="K413" i="7"/>
  <c r="K404" i="7"/>
  <c r="K395" i="7"/>
  <c r="K386" i="7"/>
  <c r="K377" i="7"/>
  <c r="K370" i="7"/>
  <c r="K368" i="7"/>
  <c r="K359" i="7"/>
  <c r="K352" i="7"/>
  <c r="K350" i="7"/>
  <c r="K343" i="7"/>
  <c r="K341" i="7"/>
  <c r="K332" i="7"/>
  <c r="K330" i="7"/>
  <c r="K312" i="7"/>
  <c r="K311" i="7"/>
  <c r="K319" i="7"/>
  <c r="K309" i="7"/>
  <c r="K317" i="7"/>
  <c r="K307" i="7"/>
  <c r="K301" i="7"/>
  <c r="K299" i="7"/>
  <c r="K290" i="7"/>
  <c r="K282" i="7"/>
  <c r="K280" i="7"/>
  <c r="K269" i="7"/>
  <c r="K268" i="7"/>
  <c r="K264" i="7"/>
  <c r="K263" i="7"/>
  <c r="K262" i="7"/>
  <c r="K261" i="7"/>
  <c r="K260" i="7"/>
  <c r="K259" i="7"/>
  <c r="K255" i="7"/>
  <c r="K254" i="7"/>
  <c r="K253" i="7"/>
  <c r="K252" i="7"/>
  <c r="K251" i="7"/>
  <c r="K250" i="7"/>
  <c r="K244" i="7"/>
  <c r="K243" i="7"/>
  <c r="K225" i="7" s="1"/>
  <c r="K242" i="7"/>
  <c r="K241" i="7"/>
  <c r="K240" i="7"/>
  <c r="K239" i="7"/>
  <c r="K221" i="7" s="1"/>
  <c r="K215" i="7"/>
  <c r="K214" i="7"/>
  <c r="K213" i="7"/>
  <c r="K212" i="7"/>
  <c r="K211" i="7"/>
  <c r="K210" i="7"/>
  <c r="K107" i="7"/>
  <c r="K106" i="7"/>
  <c r="K105" i="7"/>
  <c r="K104" i="7"/>
  <c r="K103" i="7"/>
  <c r="K102" i="7"/>
  <c r="K226" i="7" l="1"/>
  <c r="K223" i="7"/>
  <c r="K222" i="7"/>
  <c r="K224" i="7"/>
  <c r="K475" i="7"/>
  <c r="K476" i="7"/>
  <c r="K308" i="7"/>
  <c r="K310" i="7"/>
  <c r="K661" i="7"/>
  <c r="K663" i="7"/>
  <c r="K665" i="7"/>
  <c r="K477" i="7"/>
  <c r="K479" i="7"/>
  <c r="K662" i="7"/>
  <c r="K664" i="7"/>
  <c r="K666" i="7"/>
  <c r="K71" i="7"/>
  <c r="H81" i="7"/>
  <c r="H31" i="7"/>
  <c r="H71" i="7"/>
  <c r="I71" i="7" s="1"/>
  <c r="N81" i="7"/>
  <c r="K81" i="7"/>
  <c r="N71" i="7"/>
  <c r="I81" i="7"/>
  <c r="B19" i="22"/>
  <c r="B12" i="22"/>
  <c r="B2" i="22"/>
  <c r="B2" i="21"/>
  <c r="B3" i="21"/>
  <c r="B4" i="21"/>
  <c r="B5" i="21"/>
  <c r="B6" i="21"/>
  <c r="B2" i="20"/>
  <c r="B12" i="20"/>
  <c r="B10" i="20"/>
  <c r="B11" i="20"/>
  <c r="B3" i="20"/>
  <c r="B6" i="20" s="1"/>
  <c r="B5" i="20"/>
  <c r="B4" i="20"/>
  <c r="B5" i="19"/>
  <c r="B4" i="19"/>
  <c r="B8" i="19"/>
  <c r="B6" i="19"/>
  <c r="B9" i="19"/>
  <c r="I17" i="18"/>
  <c r="H17" i="18"/>
  <c r="F8" i="17"/>
  <c r="F6" i="17"/>
  <c r="F7" i="17"/>
  <c r="H17" i="14"/>
  <c r="I17" i="14"/>
  <c r="F8" i="13"/>
  <c r="F9" i="13"/>
  <c r="F10" i="13"/>
  <c r="D13" i="12"/>
  <c r="D13" i="18" s="1"/>
  <c r="I14" i="12"/>
  <c r="I14" i="18" s="1"/>
  <c r="H14" i="12"/>
  <c r="H14" i="18" s="1"/>
  <c r="G14" i="12"/>
  <c r="G14" i="18" s="1"/>
  <c r="F14" i="12"/>
  <c r="F14" i="18" s="1"/>
  <c r="E14" i="12"/>
  <c r="E14" i="18" s="1"/>
  <c r="D14" i="12"/>
  <c r="D14" i="18" s="1"/>
  <c r="I13" i="12"/>
  <c r="I13" i="18" s="1"/>
  <c r="H13" i="12"/>
  <c r="H13" i="18" s="1"/>
  <c r="G13" i="12"/>
  <c r="G13" i="18" s="1"/>
  <c r="F13" i="12"/>
  <c r="F13" i="18" s="1"/>
  <c r="E13" i="12"/>
  <c r="E13" i="18" s="1"/>
  <c r="G17" i="12"/>
  <c r="G17" i="18" s="1"/>
  <c r="F17" i="12"/>
  <c r="F17" i="18" s="1"/>
  <c r="E17" i="12"/>
  <c r="E17" i="18" s="1"/>
  <c r="D17" i="12"/>
  <c r="D17" i="18" s="1"/>
  <c r="I16" i="12"/>
  <c r="I16" i="14" s="1"/>
  <c r="H16" i="12"/>
  <c r="H15" i="18" s="1"/>
  <c r="G16" i="12"/>
  <c r="G16" i="14" s="1"/>
  <c r="F16" i="12"/>
  <c r="F15" i="18" s="1"/>
  <c r="E16" i="12"/>
  <c r="E16" i="14" s="1"/>
  <c r="D16" i="12"/>
  <c r="D15" i="18" s="1"/>
  <c r="D9" i="11"/>
  <c r="E7" i="11"/>
  <c r="D7" i="11"/>
  <c r="C7" i="11"/>
  <c r="C9" i="11"/>
  <c r="F7" i="12"/>
  <c r="D7" i="12"/>
  <c r="D8" i="13" s="1"/>
  <c r="E7" i="12"/>
  <c r="E8" i="13" s="1"/>
  <c r="D9" i="12"/>
  <c r="D10" i="13" s="1"/>
  <c r="E9" i="12"/>
  <c r="E10" i="13" s="1"/>
  <c r="F8" i="12"/>
  <c r="F27" i="12" s="1"/>
  <c r="E8" i="12"/>
  <c r="E9" i="13" s="1"/>
  <c r="D8" i="12"/>
  <c r="D9" i="13" s="1"/>
  <c r="I6" i="12"/>
  <c r="H6" i="12"/>
  <c r="G6" i="12"/>
  <c r="F7" i="13" s="1"/>
  <c r="F6" i="12"/>
  <c r="E6" i="12"/>
  <c r="E7" i="13" s="1"/>
  <c r="D6" i="12"/>
  <c r="D7" i="13" s="1"/>
  <c r="I5" i="12"/>
  <c r="H5" i="12"/>
  <c r="G5" i="12"/>
  <c r="F6" i="13" s="1"/>
  <c r="F5" i="12"/>
  <c r="E5" i="12"/>
  <c r="E6" i="13" s="1"/>
  <c r="D5" i="12"/>
  <c r="D6" i="13" s="1"/>
  <c r="G27" i="12"/>
  <c r="H27" i="12"/>
  <c r="I27" i="12"/>
  <c r="E5" i="11"/>
  <c r="E8" i="11"/>
  <c r="D8" i="11"/>
  <c r="C8" i="11"/>
  <c r="H6" i="11"/>
  <c r="G6" i="11"/>
  <c r="F6" i="11"/>
  <c r="E6" i="11"/>
  <c r="D6" i="11"/>
  <c r="C6" i="11"/>
  <c r="I370" i="7"/>
  <c r="I471" i="7"/>
  <c r="H471" i="7"/>
  <c r="I470" i="7"/>
  <c r="H470" i="7"/>
  <c r="I469" i="7"/>
  <c r="H469" i="7"/>
  <c r="I468" i="7"/>
  <c r="H468" i="7"/>
  <c r="N467" i="7"/>
  <c r="I467" i="7"/>
  <c r="I466" i="7"/>
  <c r="H466" i="7"/>
  <c r="M465" i="7"/>
  <c r="L465" i="7"/>
  <c r="J465" i="7"/>
  <c r="G465" i="7"/>
  <c r="I462" i="7"/>
  <c r="H462" i="7"/>
  <c r="I461" i="7"/>
  <c r="H461" i="7"/>
  <c r="I460" i="7"/>
  <c r="H460" i="7"/>
  <c r="I459" i="7"/>
  <c r="H459" i="7"/>
  <c r="N458" i="7"/>
  <c r="H458" i="7"/>
  <c r="I458" i="7" s="1"/>
  <c r="I457" i="7"/>
  <c r="H457" i="7"/>
  <c r="M456" i="7"/>
  <c r="L456" i="7"/>
  <c r="J456" i="7"/>
  <c r="G456" i="7"/>
  <c r="H449" i="7"/>
  <c r="I453" i="7"/>
  <c r="H453" i="7"/>
  <c r="I452" i="7"/>
  <c r="H452" i="7"/>
  <c r="I451" i="7"/>
  <c r="H451" i="7"/>
  <c r="I450" i="7"/>
  <c r="H450" i="7"/>
  <c r="N449" i="7"/>
  <c r="I448" i="7"/>
  <c r="H448" i="7"/>
  <c r="M447" i="7"/>
  <c r="L447" i="7"/>
  <c r="J447" i="7"/>
  <c r="G447" i="7"/>
  <c r="I431" i="7"/>
  <c r="I435" i="7"/>
  <c r="H435" i="7"/>
  <c r="I434" i="7"/>
  <c r="H434" i="7"/>
  <c r="I433" i="7"/>
  <c r="H433" i="7"/>
  <c r="I432" i="7"/>
  <c r="H432" i="7"/>
  <c r="N431" i="7"/>
  <c r="I430" i="7"/>
  <c r="H430" i="7"/>
  <c r="M429" i="7"/>
  <c r="L429" i="7"/>
  <c r="J429" i="7"/>
  <c r="G429" i="7"/>
  <c r="I426" i="7"/>
  <c r="H426" i="7"/>
  <c r="I425" i="7"/>
  <c r="H425" i="7"/>
  <c r="I424" i="7"/>
  <c r="H424" i="7"/>
  <c r="I423" i="7"/>
  <c r="H423" i="7"/>
  <c r="N422" i="7"/>
  <c r="I422" i="7"/>
  <c r="I421" i="7"/>
  <c r="H421" i="7"/>
  <c r="M420" i="7"/>
  <c r="L420" i="7"/>
  <c r="J420" i="7"/>
  <c r="G420" i="7"/>
  <c r="I368" i="7"/>
  <c r="N372" i="7"/>
  <c r="I372" i="7"/>
  <c r="H372" i="7"/>
  <c r="N371" i="7"/>
  <c r="I371" i="7"/>
  <c r="H371" i="7"/>
  <c r="N370" i="7"/>
  <c r="N369" i="7"/>
  <c r="I369" i="7"/>
  <c r="H369" i="7"/>
  <c r="N368" i="7"/>
  <c r="N367" i="7"/>
  <c r="I367" i="7"/>
  <c r="H367" i="7"/>
  <c r="M366" i="7"/>
  <c r="L366" i="7"/>
  <c r="J366" i="7"/>
  <c r="G366" i="7"/>
  <c r="N303" i="7"/>
  <c r="I303" i="7"/>
  <c r="H303" i="7"/>
  <c r="N302" i="7"/>
  <c r="I302" i="7"/>
  <c r="H302" i="7"/>
  <c r="N301" i="7"/>
  <c r="I301" i="7"/>
  <c r="N300" i="7"/>
  <c r="I300" i="7"/>
  <c r="H300" i="7"/>
  <c r="N299" i="7"/>
  <c r="I299" i="7"/>
  <c r="N298" i="7"/>
  <c r="I298" i="7"/>
  <c r="H298" i="7"/>
  <c r="M297" i="7"/>
  <c r="L297" i="7"/>
  <c r="J297" i="7"/>
  <c r="G297" i="7"/>
  <c r="N294" i="7"/>
  <c r="I294" i="7"/>
  <c r="H294" i="7"/>
  <c r="N293" i="7"/>
  <c r="I293" i="7"/>
  <c r="H293" i="7"/>
  <c r="N292" i="7"/>
  <c r="H292" i="7"/>
  <c r="I292" i="7" s="1"/>
  <c r="N291" i="7"/>
  <c r="I291" i="7"/>
  <c r="H291" i="7"/>
  <c r="N290" i="7"/>
  <c r="I290" i="7"/>
  <c r="N289" i="7"/>
  <c r="I289" i="7"/>
  <c r="H289" i="7"/>
  <c r="M288" i="7"/>
  <c r="L288" i="7"/>
  <c r="J288" i="7"/>
  <c r="G288" i="7"/>
  <c r="N284" i="7"/>
  <c r="I284" i="7"/>
  <c r="H284" i="7"/>
  <c r="N283" i="7"/>
  <c r="I283" i="7"/>
  <c r="H283" i="7"/>
  <c r="N282" i="7"/>
  <c r="I282" i="7"/>
  <c r="N281" i="7"/>
  <c r="I281" i="7"/>
  <c r="H281" i="7"/>
  <c r="N280" i="7"/>
  <c r="I280" i="7"/>
  <c r="N279" i="7"/>
  <c r="I279" i="7"/>
  <c r="H279" i="7"/>
  <c r="M278" i="7"/>
  <c r="L278" i="7"/>
  <c r="J278" i="7"/>
  <c r="G278" i="7"/>
  <c r="N255" i="7"/>
  <c r="I255" i="7"/>
  <c r="H255" i="7"/>
  <c r="N254" i="7"/>
  <c r="I254" i="7"/>
  <c r="H254" i="7"/>
  <c r="N253" i="7"/>
  <c r="I253" i="7"/>
  <c r="N252" i="7"/>
  <c r="I252" i="7"/>
  <c r="H252" i="7"/>
  <c r="N251" i="7"/>
  <c r="I251" i="7"/>
  <c r="N250" i="7"/>
  <c r="I250" i="7"/>
  <c r="H250" i="7"/>
  <c r="M249" i="7"/>
  <c r="L249" i="7"/>
  <c r="J249" i="7"/>
  <c r="G249" i="7"/>
  <c r="N215" i="7"/>
  <c r="I215" i="7"/>
  <c r="H215" i="7"/>
  <c r="N214" i="7"/>
  <c r="I214" i="7"/>
  <c r="H214" i="7"/>
  <c r="N213" i="7"/>
  <c r="I213" i="7"/>
  <c r="N212" i="7"/>
  <c r="I212" i="7"/>
  <c r="H212" i="7"/>
  <c r="N211" i="7"/>
  <c r="I211" i="7"/>
  <c r="N210" i="7"/>
  <c r="I210" i="7"/>
  <c r="H210" i="7"/>
  <c r="M209" i="7"/>
  <c r="L209" i="7"/>
  <c r="J209" i="7"/>
  <c r="G209" i="7"/>
  <c r="M157" i="7"/>
  <c r="G3" i="12" s="1"/>
  <c r="F4" i="13" s="1"/>
  <c r="M130" i="7"/>
  <c r="H744" i="7"/>
  <c r="H734" i="7"/>
  <c r="H725" i="7"/>
  <c r="H716" i="7"/>
  <c r="H698" i="7"/>
  <c r="H670" i="7"/>
  <c r="H760" i="7"/>
  <c r="H758" i="7"/>
  <c r="H757" i="7"/>
  <c r="H737" i="7"/>
  <c r="H728" i="7"/>
  <c r="H719" i="7"/>
  <c r="H703" i="7"/>
  <c r="H702" i="7"/>
  <c r="H701" i="7"/>
  <c r="H700" i="7"/>
  <c r="H699" i="7"/>
  <c r="H693" i="7"/>
  <c r="H691" i="7"/>
  <c r="H690" i="7"/>
  <c r="H684" i="7"/>
  <c r="H683" i="7"/>
  <c r="H665" i="7" s="1"/>
  <c r="H682" i="7"/>
  <c r="H681" i="7"/>
  <c r="H680" i="7"/>
  <c r="H679" i="7"/>
  <c r="H675" i="7"/>
  <c r="H673" i="7"/>
  <c r="H671" i="7"/>
  <c r="H800" i="7"/>
  <c r="H791" i="7" s="1"/>
  <c r="H799" i="7"/>
  <c r="H790" i="7" s="1"/>
  <c r="H798" i="7"/>
  <c r="H789" i="7" s="1"/>
  <c r="H797" i="7"/>
  <c r="H788" i="7" s="1"/>
  <c r="H796" i="7"/>
  <c r="H787" i="7" s="1"/>
  <c r="H795" i="7"/>
  <c r="H786" i="7" s="1"/>
  <c r="D27" i="12" l="1"/>
  <c r="B13" i="20"/>
  <c r="E27" i="12"/>
  <c r="B15" i="20"/>
  <c r="H662" i="7"/>
  <c r="I449" i="7"/>
  <c r="H308" i="7"/>
  <c r="H664" i="7"/>
  <c r="H663" i="7"/>
  <c r="H666" i="7"/>
  <c r="H661" i="7"/>
  <c r="D4" i="12"/>
  <c r="D5" i="13" s="1"/>
  <c r="C14" i="18"/>
  <c r="C13" i="18"/>
  <c r="I13" i="14"/>
  <c r="G13" i="14"/>
  <c r="E13" i="14"/>
  <c r="H16" i="14"/>
  <c r="F16" i="14"/>
  <c r="D16" i="14"/>
  <c r="H14" i="14"/>
  <c r="F14" i="14"/>
  <c r="D14" i="14"/>
  <c r="E9" i="17"/>
  <c r="E10" i="17"/>
  <c r="E15" i="18"/>
  <c r="G15" i="18"/>
  <c r="I15" i="18"/>
  <c r="D13" i="14"/>
  <c r="H13" i="14"/>
  <c r="F13" i="14"/>
  <c r="I14" i="14"/>
  <c r="G14" i="14"/>
  <c r="E14" i="14"/>
  <c r="F4" i="17"/>
  <c r="D5" i="17"/>
  <c r="D9" i="17"/>
  <c r="F9" i="17"/>
  <c r="D10" i="17"/>
  <c r="F10" i="17"/>
  <c r="D6" i="17"/>
  <c r="E6" i="17"/>
  <c r="C17" i="18"/>
  <c r="G17" i="14"/>
  <c r="E17" i="14"/>
  <c r="E7" i="17"/>
  <c r="E8" i="17"/>
  <c r="F17" i="14"/>
  <c r="D17" i="14"/>
  <c r="D7" i="17"/>
  <c r="C7" i="17" s="1"/>
  <c r="D8" i="17"/>
  <c r="K456" i="7"/>
  <c r="C27" i="12"/>
  <c r="G37" i="12" s="1"/>
  <c r="H288" i="7"/>
  <c r="I288" i="7" s="1"/>
  <c r="H420" i="7"/>
  <c r="H465" i="7"/>
  <c r="I465" i="7" s="1"/>
  <c r="K465" i="7"/>
  <c r="C8" i="12"/>
  <c r="B8" i="11"/>
  <c r="K249" i="7"/>
  <c r="H456" i="7"/>
  <c r="I456" i="7" s="1"/>
  <c r="H209" i="7"/>
  <c r="I209" i="7" s="1"/>
  <c r="K288" i="7"/>
  <c r="K297" i="7"/>
  <c r="N429" i="7"/>
  <c r="H429" i="7"/>
  <c r="I429" i="7" s="1"/>
  <c r="K429" i="7"/>
  <c r="I420" i="7"/>
  <c r="N249" i="7"/>
  <c r="H249" i="7"/>
  <c r="I249" i="7" s="1"/>
  <c r="N278" i="7"/>
  <c r="H278" i="7"/>
  <c r="I278" i="7" s="1"/>
  <c r="K278" i="7"/>
  <c r="N288" i="7"/>
  <c r="N366" i="7"/>
  <c r="H366" i="7"/>
  <c r="I366" i="7" s="1"/>
  <c r="N447" i="7"/>
  <c r="H447" i="7"/>
  <c r="I447" i="7" s="1"/>
  <c r="K447" i="7"/>
  <c r="N456" i="7"/>
  <c r="N465" i="7"/>
  <c r="K366" i="7"/>
  <c r="N209" i="7"/>
  <c r="K209" i="7"/>
  <c r="N297" i="7"/>
  <c r="H297" i="7"/>
  <c r="I297" i="7" s="1"/>
  <c r="N420" i="7"/>
  <c r="K420" i="7"/>
  <c r="H656" i="7"/>
  <c r="H625" i="7"/>
  <c r="H638" i="7"/>
  <c r="H637" i="7"/>
  <c r="H636" i="7"/>
  <c r="H635" i="7"/>
  <c r="H634" i="7"/>
  <c r="H633" i="7"/>
  <c r="H586" i="7"/>
  <c r="H585" i="7"/>
  <c r="H600" i="7"/>
  <c r="H599" i="7"/>
  <c r="H598" i="7"/>
  <c r="H597" i="7"/>
  <c r="H582" i="7"/>
  <c r="I394" i="7"/>
  <c r="H394" i="7"/>
  <c r="I403" i="7"/>
  <c r="H403" i="7"/>
  <c r="I412" i="7"/>
  <c r="H412" i="7"/>
  <c r="I439" i="7"/>
  <c r="H439" i="7"/>
  <c r="I444" i="7"/>
  <c r="H444" i="7"/>
  <c r="I443" i="7"/>
  <c r="H443" i="7"/>
  <c r="I442" i="7"/>
  <c r="H442" i="7"/>
  <c r="I441" i="7"/>
  <c r="H441" i="7"/>
  <c r="I417" i="7"/>
  <c r="H417" i="7"/>
  <c r="I416" i="7"/>
  <c r="H416" i="7"/>
  <c r="I415" i="7"/>
  <c r="H415" i="7"/>
  <c r="I414" i="7"/>
  <c r="H414" i="7"/>
  <c r="I408" i="7"/>
  <c r="H408" i="7"/>
  <c r="I407" i="7"/>
  <c r="H407" i="7"/>
  <c r="I406" i="7"/>
  <c r="H406" i="7"/>
  <c r="I405" i="7"/>
  <c r="H405" i="7"/>
  <c r="I399" i="7"/>
  <c r="H399" i="7"/>
  <c r="I398" i="7"/>
  <c r="H398" i="7"/>
  <c r="I397" i="7"/>
  <c r="H397" i="7"/>
  <c r="I396" i="7"/>
  <c r="H396" i="7"/>
  <c r="I189" i="7"/>
  <c r="H189" i="7"/>
  <c r="I188" i="7"/>
  <c r="H188" i="7"/>
  <c r="I187" i="7"/>
  <c r="H187" i="7"/>
  <c r="I186" i="7"/>
  <c r="H186" i="7"/>
  <c r="I185" i="7"/>
  <c r="H185" i="7"/>
  <c r="I182" i="7"/>
  <c r="H182" i="7"/>
  <c r="I181" i="7"/>
  <c r="H181" i="7"/>
  <c r="I180" i="7"/>
  <c r="H180" i="7"/>
  <c r="I179" i="7"/>
  <c r="H179" i="7"/>
  <c r="I178" i="7"/>
  <c r="H178" i="7"/>
  <c r="I175" i="7"/>
  <c r="H175" i="7"/>
  <c r="I174" i="7"/>
  <c r="H174" i="7"/>
  <c r="I173" i="7"/>
  <c r="H173" i="7"/>
  <c r="I172" i="7"/>
  <c r="H172" i="7"/>
  <c r="I171" i="7"/>
  <c r="H171" i="7"/>
  <c r="H196" i="7"/>
  <c r="H195" i="7"/>
  <c r="H193" i="7"/>
  <c r="H191" i="7"/>
  <c r="H167" i="7"/>
  <c r="H166" i="7"/>
  <c r="H165" i="7"/>
  <c r="H164" i="7"/>
  <c r="H163" i="7"/>
  <c r="H150" i="7"/>
  <c r="H149" i="7"/>
  <c r="H147" i="7"/>
  <c r="H145" i="7"/>
  <c r="H139" i="7"/>
  <c r="H140" i="7"/>
  <c r="H141" i="7"/>
  <c r="H142" i="7"/>
  <c r="H138" i="7"/>
  <c r="H390" i="7"/>
  <c r="H389" i="7"/>
  <c r="H388" i="7"/>
  <c r="H387" i="7"/>
  <c r="H385" i="7"/>
  <c r="H380" i="7"/>
  <c r="H378" i="7"/>
  <c r="H376" i="7"/>
  <c r="H363" i="7"/>
  <c r="H362" i="7"/>
  <c r="H360" i="7"/>
  <c r="H354" i="7"/>
  <c r="H353" i="7"/>
  <c r="H351" i="7"/>
  <c r="H349" i="7"/>
  <c r="H345" i="7"/>
  <c r="H344" i="7"/>
  <c r="H342" i="7"/>
  <c r="H340" i="7"/>
  <c r="H334" i="7"/>
  <c r="H333" i="7"/>
  <c r="H331" i="7"/>
  <c r="H329" i="7"/>
  <c r="H321" i="7"/>
  <c r="H320" i="7"/>
  <c r="H318" i="7"/>
  <c r="H316" i="7"/>
  <c r="H273" i="7"/>
  <c r="H272" i="7"/>
  <c r="H271" i="7"/>
  <c r="H224" i="7" s="1"/>
  <c r="H270" i="7"/>
  <c r="H268" i="7"/>
  <c r="H264" i="7"/>
  <c r="H263" i="7"/>
  <c r="H261" i="7"/>
  <c r="H259" i="7"/>
  <c r="H244" i="7"/>
  <c r="H243" i="7"/>
  <c r="H241" i="7"/>
  <c r="H223" i="7" s="1"/>
  <c r="H239" i="7"/>
  <c r="H107" i="7"/>
  <c r="H106" i="7"/>
  <c r="H104" i="7"/>
  <c r="H102" i="7"/>
  <c r="H96" i="7"/>
  <c r="H95" i="7"/>
  <c r="H93" i="7"/>
  <c r="H64" i="7"/>
  <c r="H63" i="7"/>
  <c r="H61" i="7"/>
  <c r="H59" i="7"/>
  <c r="H55" i="7"/>
  <c r="H54" i="7"/>
  <c r="H52" i="7"/>
  <c r="H50" i="7"/>
  <c r="H42" i="7"/>
  <c r="H33" i="7" s="1"/>
  <c r="H43" i="7"/>
  <c r="H44" i="7"/>
  <c r="H41" i="7"/>
  <c r="H509" i="7"/>
  <c r="H510" i="7"/>
  <c r="H511" i="7"/>
  <c r="H489" i="7"/>
  <c r="H488" i="7"/>
  <c r="H487" i="7"/>
  <c r="H486" i="7"/>
  <c r="H500" i="7"/>
  <c r="H499" i="7"/>
  <c r="H497" i="7"/>
  <c r="H508" i="7"/>
  <c r="H523" i="7"/>
  <c r="H524" i="7"/>
  <c r="H525" i="7"/>
  <c r="H522" i="7"/>
  <c r="H557" i="7"/>
  <c r="H558" i="7"/>
  <c r="H559" i="7"/>
  <c r="H560" i="7"/>
  <c r="H556" i="7"/>
  <c r="H555" i="7"/>
  <c r="H521" i="7"/>
  <c r="H520" i="7"/>
  <c r="H507" i="7"/>
  <c r="H506" i="7"/>
  <c r="H485" i="7"/>
  <c r="H484" i="7"/>
  <c r="C8" i="17" l="1"/>
  <c r="H475" i="7"/>
  <c r="H476" i="7"/>
  <c r="E37" i="12"/>
  <c r="H221" i="7"/>
  <c r="H225" i="7"/>
  <c r="H309" i="7"/>
  <c r="H312" i="7"/>
  <c r="H310" i="7"/>
  <c r="H479" i="7"/>
  <c r="H477" i="7"/>
  <c r="H478" i="7"/>
  <c r="H480" i="7"/>
  <c r="H307" i="7"/>
  <c r="H30" i="7"/>
  <c r="H311" i="7"/>
  <c r="H226" i="7"/>
  <c r="H32" i="7"/>
  <c r="H34" i="7"/>
  <c r="H35" i="7"/>
  <c r="F37" i="12"/>
  <c r="I37" i="12"/>
  <c r="C10" i="17"/>
  <c r="C9" i="17"/>
  <c r="C15" i="18"/>
  <c r="C6" i="17"/>
  <c r="D37" i="12"/>
  <c r="H37" i="12"/>
  <c r="C37" i="12" l="1"/>
  <c r="J157" i="7"/>
  <c r="J156" i="7"/>
  <c r="J155" i="7"/>
  <c r="M155" i="7"/>
  <c r="E3" i="12" s="1"/>
  <c r="M154" i="7"/>
  <c r="M111" i="7" s="1"/>
  <c r="J154" i="7"/>
  <c r="E4" i="13" l="1"/>
  <c r="E4" i="17"/>
  <c r="D3" i="12"/>
  <c r="J133" i="7"/>
  <c r="J114" i="7" s="1"/>
  <c r="J132" i="7"/>
  <c r="J113" i="7" s="1"/>
  <c r="J131" i="7"/>
  <c r="J112" i="7" s="1"/>
  <c r="J130" i="7"/>
  <c r="J111" i="7" s="1"/>
  <c r="D4" i="13" l="1"/>
  <c r="D4" i="17"/>
  <c r="C4" i="17" s="1"/>
  <c r="H687" i="7"/>
  <c r="I684" i="7"/>
  <c r="N693" i="7"/>
  <c r="N692" i="7"/>
  <c r="I692" i="7"/>
  <c r="N691" i="7"/>
  <c r="I691" i="7"/>
  <c r="N690" i="7"/>
  <c r="I690" i="7"/>
  <c r="N689" i="7"/>
  <c r="I689" i="7"/>
  <c r="N688" i="7"/>
  <c r="I688" i="7"/>
  <c r="M687" i="7"/>
  <c r="L687" i="7"/>
  <c r="J687" i="7"/>
  <c r="N684" i="7"/>
  <c r="N683" i="7"/>
  <c r="I683" i="7"/>
  <c r="N682" i="7"/>
  <c r="I682" i="7"/>
  <c r="N681" i="7"/>
  <c r="I681" i="7"/>
  <c r="N680" i="7"/>
  <c r="I680" i="7"/>
  <c r="N679" i="7"/>
  <c r="I679" i="7"/>
  <c r="M678" i="7"/>
  <c r="L678" i="7"/>
  <c r="J678" i="7"/>
  <c r="G678" i="7"/>
  <c r="K678" i="7" l="1"/>
  <c r="I693" i="7"/>
  <c r="N687" i="7"/>
  <c r="N678" i="7"/>
  <c r="G687" i="7"/>
  <c r="I687" i="7" s="1"/>
  <c r="H678" i="7"/>
  <c r="I678" i="7" s="1"/>
  <c r="K687" i="7"/>
  <c r="H505" i="7"/>
  <c r="I511" i="7"/>
  <c r="I510" i="7"/>
  <c r="I509" i="7"/>
  <c r="I508" i="7"/>
  <c r="N507" i="7"/>
  <c r="I507" i="7"/>
  <c r="N506" i="7"/>
  <c r="I506" i="7"/>
  <c r="M505" i="7"/>
  <c r="L505" i="7"/>
  <c r="J505" i="7"/>
  <c r="G505" i="7"/>
  <c r="I413" i="7"/>
  <c r="N413" i="7"/>
  <c r="M411" i="7"/>
  <c r="L411" i="7"/>
  <c r="J411" i="7"/>
  <c r="G411" i="7"/>
  <c r="I404" i="7"/>
  <c r="N404" i="7"/>
  <c r="M402" i="7"/>
  <c r="L402" i="7"/>
  <c r="J402" i="7"/>
  <c r="G402" i="7"/>
  <c r="I395" i="7"/>
  <c r="N395" i="7"/>
  <c r="M393" i="7"/>
  <c r="L393" i="7"/>
  <c r="J393" i="7"/>
  <c r="G393" i="7"/>
  <c r="I361" i="7"/>
  <c r="I359" i="7"/>
  <c r="N363" i="7"/>
  <c r="I363" i="7"/>
  <c r="N362" i="7"/>
  <c r="I362" i="7"/>
  <c r="N361" i="7"/>
  <c r="N360" i="7"/>
  <c r="I360" i="7"/>
  <c r="N359" i="7"/>
  <c r="N358" i="7"/>
  <c r="M357" i="7"/>
  <c r="L357" i="7"/>
  <c r="J357" i="7"/>
  <c r="G357" i="7"/>
  <c r="I352" i="7"/>
  <c r="I350" i="7"/>
  <c r="I341" i="7"/>
  <c r="N354" i="7"/>
  <c r="I354" i="7"/>
  <c r="N353" i="7"/>
  <c r="I353" i="7"/>
  <c r="N352" i="7"/>
  <c r="N351" i="7"/>
  <c r="I351" i="7"/>
  <c r="N350" i="7"/>
  <c r="N349" i="7"/>
  <c r="I349" i="7"/>
  <c r="M348" i="7"/>
  <c r="L348" i="7"/>
  <c r="J348" i="7"/>
  <c r="G348" i="7"/>
  <c r="N345" i="7"/>
  <c r="I345" i="7"/>
  <c r="N344" i="7"/>
  <c r="I344" i="7"/>
  <c r="N343" i="7"/>
  <c r="N342" i="7"/>
  <c r="I342" i="7"/>
  <c r="N341" i="7"/>
  <c r="N340" i="7"/>
  <c r="I340" i="7"/>
  <c r="M339" i="7"/>
  <c r="L339" i="7"/>
  <c r="J339" i="7"/>
  <c r="I330" i="7"/>
  <c r="N334" i="7"/>
  <c r="I334" i="7"/>
  <c r="N333" i="7"/>
  <c r="I333" i="7"/>
  <c r="N332" i="7"/>
  <c r="I332" i="7"/>
  <c r="N331" i="7"/>
  <c r="I331" i="7"/>
  <c r="N330" i="7"/>
  <c r="N329" i="7"/>
  <c r="I329" i="7"/>
  <c r="M328" i="7"/>
  <c r="L328" i="7"/>
  <c r="J328" i="7"/>
  <c r="G328" i="7"/>
  <c r="N321" i="7"/>
  <c r="I321" i="7"/>
  <c r="N320" i="7"/>
  <c r="I320" i="7"/>
  <c r="N319" i="7"/>
  <c r="N318" i="7"/>
  <c r="I318" i="7"/>
  <c r="N317" i="7"/>
  <c r="N316" i="7"/>
  <c r="I316" i="7"/>
  <c r="M315" i="7"/>
  <c r="L315" i="7"/>
  <c r="J315" i="7"/>
  <c r="G315" i="7"/>
  <c r="I260" i="7"/>
  <c r="N264" i="7"/>
  <c r="I264" i="7"/>
  <c r="N263" i="7"/>
  <c r="I263" i="7"/>
  <c r="N262" i="7"/>
  <c r="I262" i="7"/>
  <c r="N261" i="7"/>
  <c r="I261" i="7"/>
  <c r="N260" i="7"/>
  <c r="N259" i="7"/>
  <c r="I259" i="7"/>
  <c r="M258" i="7"/>
  <c r="L258" i="7"/>
  <c r="J258" i="7"/>
  <c r="G258" i="7"/>
  <c r="N244" i="7"/>
  <c r="I244" i="7"/>
  <c r="N243" i="7"/>
  <c r="I243" i="7"/>
  <c r="N242" i="7"/>
  <c r="N241" i="7"/>
  <c r="I241" i="7"/>
  <c r="N240" i="7"/>
  <c r="N239" i="7"/>
  <c r="I239" i="7"/>
  <c r="M238" i="7"/>
  <c r="L238" i="7"/>
  <c r="J238" i="7"/>
  <c r="G238" i="7"/>
  <c r="N505" i="7" l="1"/>
  <c r="H393" i="7"/>
  <c r="I393" i="7" s="1"/>
  <c r="G339" i="7"/>
  <c r="I319" i="7"/>
  <c r="I358" i="7"/>
  <c r="K505" i="7"/>
  <c r="I505" i="7"/>
  <c r="K411" i="7"/>
  <c r="K393" i="7"/>
  <c r="H411" i="7"/>
  <c r="I411" i="7" s="1"/>
  <c r="N411" i="7"/>
  <c r="N402" i="7"/>
  <c r="I343" i="7"/>
  <c r="K402" i="7"/>
  <c r="H238" i="7"/>
  <c r="I238" i="7" s="1"/>
  <c r="H402" i="7"/>
  <c r="I402" i="7" s="1"/>
  <c r="K348" i="7"/>
  <c r="N393" i="7"/>
  <c r="K339" i="7"/>
  <c r="H315" i="7"/>
  <c r="I315" i="7" s="1"/>
  <c r="H339" i="7"/>
  <c r="H348" i="7"/>
  <c r="N357" i="7"/>
  <c r="I240" i="7"/>
  <c r="I317" i="7"/>
  <c r="K357" i="7"/>
  <c r="H357" i="7"/>
  <c r="I357" i="7" s="1"/>
  <c r="N238" i="7"/>
  <c r="H258" i="7"/>
  <c r="I258" i="7" s="1"/>
  <c r="N315" i="7"/>
  <c r="N339" i="7"/>
  <c r="N348" i="7"/>
  <c r="H328" i="7"/>
  <c r="I328" i="7" s="1"/>
  <c r="I348" i="7"/>
  <c r="K238" i="7"/>
  <c r="I242" i="7"/>
  <c r="N258" i="7"/>
  <c r="K258" i="7"/>
  <c r="K315" i="7"/>
  <c r="N328" i="7"/>
  <c r="K328" i="7"/>
  <c r="I148" i="7"/>
  <c r="H131" i="7"/>
  <c r="H130" i="7"/>
  <c r="N35" i="7"/>
  <c r="N34" i="7"/>
  <c r="N32" i="7"/>
  <c r="I32" i="7"/>
  <c r="I34" i="7"/>
  <c r="I35" i="7"/>
  <c r="I103" i="7"/>
  <c r="I92" i="7"/>
  <c r="I94" i="7"/>
  <c r="I60" i="7"/>
  <c r="I53" i="7"/>
  <c r="I51" i="7"/>
  <c r="N44" i="7"/>
  <c r="K44" i="7"/>
  <c r="I44" i="7"/>
  <c r="N43" i="7"/>
  <c r="K43" i="7"/>
  <c r="I43" i="7"/>
  <c r="N42" i="7"/>
  <c r="K42" i="7"/>
  <c r="I42" i="7"/>
  <c r="N41" i="7"/>
  <c r="K41" i="7"/>
  <c r="I41" i="7"/>
  <c r="N40" i="7"/>
  <c r="K40" i="7"/>
  <c r="I40" i="7"/>
  <c r="N39" i="7"/>
  <c r="K39" i="7"/>
  <c r="I39" i="7"/>
  <c r="M38" i="7"/>
  <c r="L38" i="7"/>
  <c r="J38" i="7"/>
  <c r="G38" i="7"/>
  <c r="B12" i="18"/>
  <c r="C17" i="14"/>
  <c r="D26" i="12"/>
  <c r="B3" i="17"/>
  <c r="B2" i="16"/>
  <c r="B2" i="15"/>
  <c r="B12" i="14"/>
  <c r="B4" i="14" s="1"/>
  <c r="B3" i="13"/>
  <c r="B3" i="14" s="1"/>
  <c r="M12" i="12"/>
  <c r="M2" i="12"/>
  <c r="C17" i="12"/>
  <c r="I25" i="12"/>
  <c r="H25" i="12"/>
  <c r="G25" i="12"/>
  <c r="F25" i="12"/>
  <c r="E25" i="12"/>
  <c r="D25" i="12"/>
  <c r="E26" i="12"/>
  <c r="E28" i="12"/>
  <c r="I28" i="12"/>
  <c r="H28" i="12"/>
  <c r="G28" i="12"/>
  <c r="F28" i="12"/>
  <c r="I26" i="12"/>
  <c r="H26" i="12"/>
  <c r="G26" i="12"/>
  <c r="F26" i="12"/>
  <c r="B16" i="11"/>
  <c r="H5" i="11"/>
  <c r="G5" i="11"/>
  <c r="F5" i="11"/>
  <c r="D5" i="11"/>
  <c r="C5" i="11"/>
  <c r="N312" i="7"/>
  <c r="N311" i="7"/>
  <c r="N309" i="7"/>
  <c r="N308" i="7"/>
  <c r="N307" i="7"/>
  <c r="I309" i="7"/>
  <c r="I311" i="7"/>
  <c r="I312" i="7"/>
  <c r="H438" i="7"/>
  <c r="N666" i="7"/>
  <c r="N665" i="7"/>
  <c r="N664" i="7"/>
  <c r="N662" i="7"/>
  <c r="N661" i="7"/>
  <c r="I662" i="7"/>
  <c r="I664" i="7"/>
  <c r="I665" i="7"/>
  <c r="I666" i="7"/>
  <c r="L622" i="7"/>
  <c r="L621" i="7"/>
  <c r="L620" i="7"/>
  <c r="L619" i="7"/>
  <c r="L618" i="7"/>
  <c r="L617" i="7"/>
  <c r="C14" i="11" s="1"/>
  <c r="J622" i="7"/>
  <c r="J613" i="7" s="1"/>
  <c r="J621" i="7"/>
  <c r="J612" i="7" s="1"/>
  <c r="J620" i="7"/>
  <c r="J611" i="7" s="1"/>
  <c r="J619" i="7"/>
  <c r="J610" i="7" s="1"/>
  <c r="J618" i="7"/>
  <c r="J609" i="7" s="1"/>
  <c r="J617" i="7"/>
  <c r="J608" i="7" s="1"/>
  <c r="G618" i="7"/>
  <c r="G619" i="7"/>
  <c r="G610" i="7" s="1"/>
  <c r="G620" i="7"/>
  <c r="G611" i="7" s="1"/>
  <c r="G621" i="7"/>
  <c r="G612" i="7" s="1"/>
  <c r="G622" i="7"/>
  <c r="G613" i="7" s="1"/>
  <c r="M578" i="7"/>
  <c r="M577" i="7"/>
  <c r="M576" i="7"/>
  <c r="M575" i="7"/>
  <c r="M574" i="7"/>
  <c r="M573" i="7"/>
  <c r="H574" i="7"/>
  <c r="H575" i="7"/>
  <c r="H576" i="7"/>
  <c r="H577" i="7"/>
  <c r="H578" i="7"/>
  <c r="L578" i="7"/>
  <c r="L577" i="7"/>
  <c r="L576" i="7"/>
  <c r="L575" i="7"/>
  <c r="L574" i="7"/>
  <c r="L573" i="7"/>
  <c r="J578" i="7"/>
  <c r="J577" i="7"/>
  <c r="J576" i="7"/>
  <c r="J575" i="7"/>
  <c r="J574" i="7"/>
  <c r="J573" i="7"/>
  <c r="G574" i="7"/>
  <c r="G575" i="7"/>
  <c r="G576" i="7"/>
  <c r="G577" i="7"/>
  <c r="G578" i="7"/>
  <c r="N480" i="7"/>
  <c r="N479" i="7"/>
  <c r="N477" i="7"/>
  <c r="I477" i="7"/>
  <c r="I479" i="7"/>
  <c r="I480" i="7"/>
  <c r="N226" i="7"/>
  <c r="N225" i="7"/>
  <c r="N224" i="7"/>
  <c r="N223" i="7"/>
  <c r="I223" i="7"/>
  <c r="I224" i="7"/>
  <c r="I226" i="7"/>
  <c r="M159" i="7"/>
  <c r="M158" i="7"/>
  <c r="H3" i="12" s="1"/>
  <c r="M156" i="7"/>
  <c r="H155" i="7"/>
  <c r="H156" i="7"/>
  <c r="H157" i="7"/>
  <c r="H158" i="7"/>
  <c r="H159" i="7"/>
  <c r="L159" i="7"/>
  <c r="L158" i="7"/>
  <c r="L157" i="7"/>
  <c r="L156" i="7"/>
  <c r="L155" i="7"/>
  <c r="L154" i="7"/>
  <c r="J159" i="7"/>
  <c r="J158" i="7"/>
  <c r="G155" i="7"/>
  <c r="G156" i="7"/>
  <c r="I156" i="7" s="1"/>
  <c r="G157" i="7"/>
  <c r="G158" i="7"/>
  <c r="I158" i="7" s="1"/>
  <c r="G159" i="7"/>
  <c r="I159" i="7" s="1"/>
  <c r="M135" i="7"/>
  <c r="M134" i="7"/>
  <c r="M133" i="7"/>
  <c r="M114" i="7" s="1"/>
  <c r="M132" i="7"/>
  <c r="M131" i="7"/>
  <c r="M112" i="7" s="1"/>
  <c r="H132" i="7"/>
  <c r="H134" i="7"/>
  <c r="H135" i="7"/>
  <c r="L135" i="7"/>
  <c r="H4" i="23" s="1"/>
  <c r="L134" i="7"/>
  <c r="G4" i="23" s="1"/>
  <c r="L133" i="7"/>
  <c r="F4" i="23" s="1"/>
  <c r="L132" i="7"/>
  <c r="E4" i="23" s="1"/>
  <c r="L131" i="7"/>
  <c r="D4" i="23" s="1"/>
  <c r="L130" i="7"/>
  <c r="C4" i="23" s="1"/>
  <c r="J135" i="7"/>
  <c r="J134" i="7"/>
  <c r="G131" i="7"/>
  <c r="G132" i="7"/>
  <c r="G133" i="7"/>
  <c r="G134" i="7"/>
  <c r="G135" i="7"/>
  <c r="I711" i="7"/>
  <c r="I710" i="7"/>
  <c r="I720" i="7"/>
  <c r="I719" i="7"/>
  <c r="I729" i="7"/>
  <c r="I728" i="7"/>
  <c r="I738" i="7"/>
  <c r="I737" i="7"/>
  <c r="I748" i="7"/>
  <c r="I747" i="7"/>
  <c r="I760" i="7"/>
  <c r="I759" i="7"/>
  <c r="I758" i="7"/>
  <c r="I757" i="7"/>
  <c r="I800" i="7"/>
  <c r="I799" i="7"/>
  <c r="I600" i="7"/>
  <c r="I599" i="7"/>
  <c r="I598" i="7"/>
  <c r="I597" i="7"/>
  <c r="K577" i="7"/>
  <c r="I586" i="7"/>
  <c r="K574" i="7"/>
  <c r="K576" i="7"/>
  <c r="I560" i="7"/>
  <c r="I559" i="7"/>
  <c r="I558" i="7"/>
  <c r="I557" i="7"/>
  <c r="I525" i="7"/>
  <c r="I524" i="7"/>
  <c r="I523" i="7"/>
  <c r="I522" i="7"/>
  <c r="I500" i="7"/>
  <c r="I499" i="7"/>
  <c r="I497" i="7"/>
  <c r="I273" i="7"/>
  <c r="I272" i="7"/>
  <c r="I271" i="7"/>
  <c r="I270" i="7"/>
  <c r="I268" i="7"/>
  <c r="I196" i="7"/>
  <c r="I195" i="7"/>
  <c r="I193" i="7"/>
  <c r="I191" i="7"/>
  <c r="K159" i="7"/>
  <c r="I167" i="7"/>
  <c r="I166" i="7"/>
  <c r="I165" i="7"/>
  <c r="I164" i="7"/>
  <c r="I163" i="7"/>
  <c r="I150" i="7"/>
  <c r="I149" i="7"/>
  <c r="I147" i="7"/>
  <c r="I145" i="7"/>
  <c r="K142" i="7"/>
  <c r="K135" i="7" s="1"/>
  <c r="I142" i="7"/>
  <c r="K141" i="7"/>
  <c r="I141" i="7"/>
  <c r="K140" i="7"/>
  <c r="I140" i="7"/>
  <c r="K139" i="7"/>
  <c r="I139" i="7"/>
  <c r="K138" i="7"/>
  <c r="K131" i="7" s="1"/>
  <c r="K96" i="7"/>
  <c r="K95" i="7"/>
  <c r="K94" i="7"/>
  <c r="K93" i="7"/>
  <c r="K92" i="7"/>
  <c r="K91" i="7"/>
  <c r="K64" i="7"/>
  <c r="K63" i="7"/>
  <c r="K62" i="7"/>
  <c r="K61" i="7"/>
  <c r="K60" i="7"/>
  <c r="K59" i="7"/>
  <c r="K51" i="7"/>
  <c r="K52" i="7"/>
  <c r="K53" i="7"/>
  <c r="K54" i="7"/>
  <c r="K55" i="7"/>
  <c r="K50" i="7"/>
  <c r="N107" i="7"/>
  <c r="I107" i="7"/>
  <c r="N106" i="7"/>
  <c r="I106" i="7"/>
  <c r="N96" i="7"/>
  <c r="I96" i="7"/>
  <c r="N95" i="7"/>
  <c r="I95" i="7"/>
  <c r="M101" i="7"/>
  <c r="L101" i="7"/>
  <c r="J101" i="7"/>
  <c r="G101" i="7"/>
  <c r="M90" i="7"/>
  <c r="L90" i="7"/>
  <c r="J90" i="7"/>
  <c r="G90" i="7"/>
  <c r="M58" i="7"/>
  <c r="L58" i="7"/>
  <c r="J58" i="7"/>
  <c r="G58" i="7"/>
  <c r="N64" i="7"/>
  <c r="I64" i="7"/>
  <c r="N63" i="7"/>
  <c r="I63" i="7"/>
  <c r="I55" i="7"/>
  <c r="I703" i="7"/>
  <c r="I702" i="7"/>
  <c r="I701" i="7"/>
  <c r="I675" i="7"/>
  <c r="I674" i="7"/>
  <c r="I673" i="7"/>
  <c r="K647" i="7"/>
  <c r="K646" i="7"/>
  <c r="K645" i="7"/>
  <c r="K644" i="7"/>
  <c r="K643" i="7"/>
  <c r="K642" i="7"/>
  <c r="K619" i="7"/>
  <c r="K610" i="7" s="1"/>
  <c r="K620" i="7"/>
  <c r="K611" i="7" s="1"/>
  <c r="K622" i="7"/>
  <c r="K613" i="7" s="1"/>
  <c r="N556" i="7"/>
  <c r="I556" i="7"/>
  <c r="N555" i="7"/>
  <c r="I555" i="7"/>
  <c r="M554" i="7"/>
  <c r="L554" i="7"/>
  <c r="J554" i="7"/>
  <c r="H554" i="7"/>
  <c r="G554" i="7"/>
  <c r="N521" i="7"/>
  <c r="I521" i="7"/>
  <c r="N520" i="7"/>
  <c r="I520" i="7"/>
  <c r="M519" i="7"/>
  <c r="L519" i="7"/>
  <c r="J519" i="7"/>
  <c r="H519" i="7"/>
  <c r="G519" i="7"/>
  <c r="N498" i="7"/>
  <c r="I498" i="7"/>
  <c r="N496" i="7"/>
  <c r="I496" i="7"/>
  <c r="N495" i="7"/>
  <c r="I495" i="7"/>
  <c r="M494" i="7"/>
  <c r="L494" i="7"/>
  <c r="J494" i="7"/>
  <c r="H494" i="7"/>
  <c r="G494" i="7"/>
  <c r="I489" i="7"/>
  <c r="I488" i="7"/>
  <c r="I487" i="7"/>
  <c r="I486" i="7"/>
  <c r="I485" i="7"/>
  <c r="N484" i="7"/>
  <c r="I484" i="7"/>
  <c r="M483" i="7"/>
  <c r="J483" i="7"/>
  <c r="H483" i="7"/>
  <c r="G483" i="7"/>
  <c r="N440" i="7"/>
  <c r="I440" i="7"/>
  <c r="M438" i="7"/>
  <c r="L438" i="7"/>
  <c r="J438" i="7"/>
  <c r="G438" i="7"/>
  <c r="I390" i="7"/>
  <c r="I389" i="7"/>
  <c r="I388" i="7"/>
  <c r="I387" i="7"/>
  <c r="N386" i="7"/>
  <c r="I386" i="7"/>
  <c r="I385" i="7"/>
  <c r="M384" i="7"/>
  <c r="L384" i="7"/>
  <c r="J384" i="7"/>
  <c r="H384" i="7"/>
  <c r="G384" i="7"/>
  <c r="N380" i="7"/>
  <c r="I380" i="7"/>
  <c r="N379" i="7"/>
  <c r="I379" i="7"/>
  <c r="N378" i="7"/>
  <c r="I378" i="7"/>
  <c r="N377" i="7"/>
  <c r="I377" i="7"/>
  <c r="N376" i="7"/>
  <c r="I376" i="7"/>
  <c r="M375" i="7"/>
  <c r="L375" i="7"/>
  <c r="J375" i="7"/>
  <c r="G375" i="7"/>
  <c r="N105" i="7"/>
  <c r="N104" i="7"/>
  <c r="I104" i="7"/>
  <c r="N103" i="7"/>
  <c r="N102" i="7"/>
  <c r="I102" i="7"/>
  <c r="N94" i="7"/>
  <c r="N93" i="7"/>
  <c r="I93" i="7"/>
  <c r="N92" i="7"/>
  <c r="N91" i="7"/>
  <c r="I91" i="7"/>
  <c r="N62" i="7"/>
  <c r="N61" i="7"/>
  <c r="I61" i="7"/>
  <c r="N60" i="7"/>
  <c r="N59" i="7"/>
  <c r="I59" i="7"/>
  <c r="N55" i="7"/>
  <c r="N54" i="7"/>
  <c r="I54" i="7"/>
  <c r="N53" i="7"/>
  <c r="N52" i="7"/>
  <c r="I52" i="7"/>
  <c r="N51" i="7"/>
  <c r="N50" i="7"/>
  <c r="I50" i="7"/>
  <c r="M49" i="7"/>
  <c r="L49" i="7"/>
  <c r="J49" i="7"/>
  <c r="G49" i="7"/>
  <c r="I269" i="7"/>
  <c r="N800" i="7"/>
  <c r="N799" i="7"/>
  <c r="N798" i="7"/>
  <c r="I798" i="7"/>
  <c r="N797" i="7"/>
  <c r="I797" i="7"/>
  <c r="N796" i="7"/>
  <c r="I796" i="7"/>
  <c r="N795" i="7"/>
  <c r="I795" i="7"/>
  <c r="M794" i="7"/>
  <c r="L794" i="7"/>
  <c r="H794" i="7"/>
  <c r="G794" i="7"/>
  <c r="N791" i="7"/>
  <c r="I791" i="7"/>
  <c r="N790" i="7"/>
  <c r="N789" i="7"/>
  <c r="I789" i="7"/>
  <c r="N788" i="7"/>
  <c r="N786" i="7"/>
  <c r="N760" i="7"/>
  <c r="N759" i="7"/>
  <c r="N758" i="7"/>
  <c r="N757" i="7"/>
  <c r="N756" i="7"/>
  <c r="I756" i="7"/>
  <c r="N755" i="7"/>
  <c r="I755" i="7"/>
  <c r="M754" i="7"/>
  <c r="L754" i="7"/>
  <c r="J754" i="7"/>
  <c r="H754" i="7"/>
  <c r="G754" i="7"/>
  <c r="N749" i="7"/>
  <c r="I749" i="7"/>
  <c r="N748" i="7"/>
  <c r="N747" i="7"/>
  <c r="N746" i="7"/>
  <c r="I746" i="7"/>
  <c r="N745" i="7"/>
  <c r="I745" i="7"/>
  <c r="N744" i="7"/>
  <c r="I744" i="7"/>
  <c r="M743" i="7"/>
  <c r="L743" i="7"/>
  <c r="J743" i="7"/>
  <c r="H743" i="7"/>
  <c r="G743" i="7"/>
  <c r="N739" i="7"/>
  <c r="I739" i="7"/>
  <c r="N738" i="7"/>
  <c r="N737" i="7"/>
  <c r="N736" i="7"/>
  <c r="I736" i="7"/>
  <c r="N735" i="7"/>
  <c r="I735" i="7"/>
  <c r="N734" i="7"/>
  <c r="I734" i="7"/>
  <c r="M733" i="7"/>
  <c r="L733" i="7"/>
  <c r="J733" i="7"/>
  <c r="H733" i="7"/>
  <c r="G733" i="7"/>
  <c r="N730" i="7"/>
  <c r="I730" i="7"/>
  <c r="N729" i="7"/>
  <c r="N728" i="7"/>
  <c r="N727" i="7"/>
  <c r="I727" i="7"/>
  <c r="N726" i="7"/>
  <c r="I726" i="7"/>
  <c r="N725" i="7"/>
  <c r="I725" i="7"/>
  <c r="M724" i="7"/>
  <c r="L724" i="7"/>
  <c r="J724" i="7"/>
  <c r="H724" i="7"/>
  <c r="G724" i="7"/>
  <c r="N721" i="7"/>
  <c r="I721" i="7"/>
  <c r="N720" i="7"/>
  <c r="N719" i="7"/>
  <c r="N718" i="7"/>
  <c r="I718" i="7"/>
  <c r="N717" i="7"/>
  <c r="I717" i="7"/>
  <c r="N716" i="7"/>
  <c r="I716" i="7"/>
  <c r="M715" i="7"/>
  <c r="L715" i="7"/>
  <c r="J715" i="7"/>
  <c r="H715" i="7"/>
  <c r="G715" i="7"/>
  <c r="N712" i="7"/>
  <c r="I712" i="7"/>
  <c r="N711" i="7"/>
  <c r="N710" i="7"/>
  <c r="N709" i="7"/>
  <c r="I709" i="7"/>
  <c r="N708" i="7"/>
  <c r="I708" i="7"/>
  <c r="N707" i="7"/>
  <c r="I707" i="7"/>
  <c r="M706" i="7"/>
  <c r="L706" i="7"/>
  <c r="J706" i="7"/>
  <c r="H706" i="7"/>
  <c r="G706" i="7"/>
  <c r="N703" i="7"/>
  <c r="N702" i="7"/>
  <c r="N701" i="7"/>
  <c r="N700" i="7"/>
  <c r="I700" i="7"/>
  <c r="N699" i="7"/>
  <c r="I699" i="7"/>
  <c r="N698" i="7"/>
  <c r="I698" i="7"/>
  <c r="M697" i="7"/>
  <c r="L697" i="7"/>
  <c r="J697" i="7"/>
  <c r="H697" i="7"/>
  <c r="G697" i="7"/>
  <c r="N675" i="7"/>
  <c r="N674" i="7"/>
  <c r="N673" i="7"/>
  <c r="N672" i="7"/>
  <c r="I672" i="7"/>
  <c r="N671" i="7"/>
  <c r="I671" i="7"/>
  <c r="N670" i="7"/>
  <c r="I670" i="7"/>
  <c r="M669" i="7"/>
  <c r="L669" i="7"/>
  <c r="J669" i="7"/>
  <c r="H669" i="7"/>
  <c r="G669" i="7"/>
  <c r="N656" i="7"/>
  <c r="I656" i="7"/>
  <c r="N655" i="7"/>
  <c r="I655" i="7"/>
  <c r="N654" i="7"/>
  <c r="I654" i="7"/>
  <c r="N653" i="7"/>
  <c r="I653" i="7"/>
  <c r="N652" i="7"/>
  <c r="I652" i="7"/>
  <c r="N651" i="7"/>
  <c r="I651" i="7"/>
  <c r="M650" i="7"/>
  <c r="L650" i="7"/>
  <c r="J650" i="7"/>
  <c r="H650" i="7"/>
  <c r="G650" i="7"/>
  <c r="M647" i="7"/>
  <c r="L647" i="7"/>
  <c r="J647" i="7"/>
  <c r="H647" i="7"/>
  <c r="G647" i="7"/>
  <c r="M646" i="7"/>
  <c r="L646" i="7"/>
  <c r="N646" i="7" s="1"/>
  <c r="J646" i="7"/>
  <c r="H646" i="7"/>
  <c r="G646" i="7"/>
  <c r="M645" i="7"/>
  <c r="L645" i="7"/>
  <c r="N645" i="7" s="1"/>
  <c r="J645" i="7"/>
  <c r="H645" i="7"/>
  <c r="G645" i="7"/>
  <c r="M644" i="7"/>
  <c r="L644" i="7"/>
  <c r="J644" i="7"/>
  <c r="H644" i="7"/>
  <c r="G644" i="7"/>
  <c r="M643" i="7"/>
  <c r="L643" i="7"/>
  <c r="J643" i="7"/>
  <c r="H643" i="7"/>
  <c r="G643" i="7"/>
  <c r="M642" i="7"/>
  <c r="L642" i="7"/>
  <c r="J642" i="7"/>
  <c r="H642" i="7"/>
  <c r="G642" i="7"/>
  <c r="H267" i="7"/>
  <c r="G267" i="7"/>
  <c r="H581" i="7"/>
  <c r="G581" i="7"/>
  <c r="H594" i="7"/>
  <c r="G594" i="7"/>
  <c r="M594" i="7"/>
  <c r="L594" i="7"/>
  <c r="J594" i="7"/>
  <c r="M581" i="7"/>
  <c r="L581" i="7"/>
  <c r="J581" i="7"/>
  <c r="M267" i="7"/>
  <c r="L267" i="7"/>
  <c r="J267" i="7"/>
  <c r="N638" i="7"/>
  <c r="I638" i="7"/>
  <c r="N637" i="7"/>
  <c r="I637" i="7"/>
  <c r="N636" i="7"/>
  <c r="I636" i="7"/>
  <c r="N635" i="7"/>
  <c r="I635" i="7"/>
  <c r="N634" i="7"/>
  <c r="I634" i="7"/>
  <c r="N633" i="7"/>
  <c r="I633" i="7"/>
  <c r="N630" i="7"/>
  <c r="I630" i="7"/>
  <c r="N629" i="7"/>
  <c r="I629" i="7"/>
  <c r="N628" i="7"/>
  <c r="I628" i="7"/>
  <c r="N627" i="7"/>
  <c r="I627" i="7"/>
  <c r="N626" i="7"/>
  <c r="I626" i="7"/>
  <c r="N625" i="7"/>
  <c r="I625" i="7"/>
  <c r="M622" i="7"/>
  <c r="I15" i="12" s="1"/>
  <c r="H622" i="7"/>
  <c r="H613" i="7" s="1"/>
  <c r="M621" i="7"/>
  <c r="H621" i="7"/>
  <c r="H612" i="7" s="1"/>
  <c r="M620" i="7"/>
  <c r="G15" i="12" s="1"/>
  <c r="H620" i="7"/>
  <c r="H611" i="7" s="1"/>
  <c r="M619" i="7"/>
  <c r="F15" i="12" s="1"/>
  <c r="H619" i="7"/>
  <c r="H610" i="7" s="1"/>
  <c r="M618" i="7"/>
  <c r="E15" i="12" s="1"/>
  <c r="H618" i="7"/>
  <c r="H609" i="7" s="1"/>
  <c r="M617" i="7"/>
  <c r="C14" i="23" s="1"/>
  <c r="H617" i="7"/>
  <c r="H608" i="7" s="1"/>
  <c r="G617" i="7"/>
  <c r="G608" i="7" s="1"/>
  <c r="H573" i="7"/>
  <c r="G573" i="7"/>
  <c r="N600" i="7"/>
  <c r="N599" i="7"/>
  <c r="N598" i="7"/>
  <c r="N597" i="7"/>
  <c r="N596" i="7"/>
  <c r="I596" i="7"/>
  <c r="N595" i="7"/>
  <c r="I595" i="7"/>
  <c r="I225" i="7"/>
  <c r="N273" i="7"/>
  <c r="N272" i="7"/>
  <c r="N271" i="7"/>
  <c r="N270" i="7"/>
  <c r="N269" i="7"/>
  <c r="N268" i="7"/>
  <c r="H154" i="7"/>
  <c r="G154" i="7"/>
  <c r="N196" i="7"/>
  <c r="N195" i="7"/>
  <c r="N194" i="7"/>
  <c r="I194" i="7"/>
  <c r="N193" i="7"/>
  <c r="N192" i="7"/>
  <c r="I192" i="7"/>
  <c r="N191" i="7"/>
  <c r="N189" i="7"/>
  <c r="N188" i="7"/>
  <c r="N187" i="7"/>
  <c r="N186" i="7"/>
  <c r="N185" i="7"/>
  <c r="N184" i="7"/>
  <c r="I184" i="7"/>
  <c r="N182" i="7"/>
  <c r="N181" i="7"/>
  <c r="N180" i="7"/>
  <c r="N179" i="7"/>
  <c r="N178" i="7"/>
  <c r="N177" i="7"/>
  <c r="I177" i="7"/>
  <c r="N175" i="7"/>
  <c r="N174" i="7"/>
  <c r="N173" i="7"/>
  <c r="N172" i="7"/>
  <c r="N171" i="7"/>
  <c r="N170" i="7"/>
  <c r="I170" i="7"/>
  <c r="N167" i="7"/>
  <c r="N166" i="7"/>
  <c r="N165" i="7"/>
  <c r="N164" i="7"/>
  <c r="N163" i="7"/>
  <c r="N162" i="7"/>
  <c r="I162" i="7"/>
  <c r="K137" i="7"/>
  <c r="N150" i="7"/>
  <c r="N149" i="7"/>
  <c r="N148" i="7"/>
  <c r="N147" i="7"/>
  <c r="N146" i="7"/>
  <c r="N145" i="7"/>
  <c r="N142" i="7"/>
  <c r="N141" i="7"/>
  <c r="N140" i="7"/>
  <c r="N139" i="7"/>
  <c r="N138" i="7"/>
  <c r="N137" i="7"/>
  <c r="I138" i="7"/>
  <c r="G130" i="7"/>
  <c r="N586" i="7"/>
  <c r="N585" i="7"/>
  <c r="N583" i="7"/>
  <c r="I587" i="7"/>
  <c r="I585" i="7"/>
  <c r="I584" i="7"/>
  <c r="I583" i="7"/>
  <c r="I582" i="7"/>
  <c r="N584" i="7"/>
  <c r="N587" i="7"/>
  <c r="N582" i="7"/>
  <c r="N221" i="7"/>
  <c r="N485" i="7"/>
  <c r="L483" i="7"/>
  <c r="I221" i="7"/>
  <c r="G220" i="7"/>
  <c r="H113" i="7" l="1"/>
  <c r="B4" i="23"/>
  <c r="H564" i="7"/>
  <c r="K116" i="7"/>
  <c r="M113" i="7"/>
  <c r="D3" i="11"/>
  <c r="D3" i="23"/>
  <c r="D2" i="23" s="1"/>
  <c r="H3" i="11"/>
  <c r="H3" i="23"/>
  <c r="H2" i="23" s="1"/>
  <c r="E3" i="11"/>
  <c r="E3" i="23"/>
  <c r="E2" i="23" s="1"/>
  <c r="F3" i="11"/>
  <c r="F2" i="11" s="1"/>
  <c r="F3" i="23"/>
  <c r="F2" i="23" s="1"/>
  <c r="G564" i="7"/>
  <c r="B14" i="23"/>
  <c r="C11" i="23"/>
  <c r="B11" i="23" s="1"/>
  <c r="C3" i="11"/>
  <c r="C3" i="23"/>
  <c r="G3" i="11"/>
  <c r="G3" i="23"/>
  <c r="G2" i="23" s="1"/>
  <c r="M115" i="7"/>
  <c r="K567" i="7"/>
  <c r="G568" i="7"/>
  <c r="G566" i="7"/>
  <c r="J564" i="7"/>
  <c r="J566" i="7"/>
  <c r="J568" i="7"/>
  <c r="H569" i="7"/>
  <c r="H567" i="7"/>
  <c r="H565" i="7"/>
  <c r="G569" i="7"/>
  <c r="G567" i="7"/>
  <c r="J565" i="7"/>
  <c r="J567" i="7"/>
  <c r="J569" i="7"/>
  <c r="H568" i="7"/>
  <c r="H566" i="7"/>
  <c r="I577" i="7"/>
  <c r="N577" i="7"/>
  <c r="I576" i="7"/>
  <c r="N576" i="7"/>
  <c r="L115" i="7"/>
  <c r="H116" i="7"/>
  <c r="H26" i="7" s="1"/>
  <c r="I646" i="7"/>
  <c r="L113" i="7"/>
  <c r="N113" i="7" s="1"/>
  <c r="N794" i="7"/>
  <c r="I790" i="7"/>
  <c r="G111" i="7"/>
  <c r="G21" i="7" s="1"/>
  <c r="G116" i="7"/>
  <c r="G114" i="7"/>
  <c r="G112" i="7"/>
  <c r="J116" i="7"/>
  <c r="J26" i="7" s="1"/>
  <c r="L112" i="7"/>
  <c r="L114" i="7"/>
  <c r="L116" i="7"/>
  <c r="H115" i="7"/>
  <c r="H25" i="7" s="1"/>
  <c r="M116" i="7"/>
  <c r="G113" i="7"/>
  <c r="J115" i="7"/>
  <c r="J25" i="7" s="1"/>
  <c r="L111" i="7"/>
  <c r="G115" i="7"/>
  <c r="H111" i="7"/>
  <c r="H112" i="7"/>
  <c r="F4" i="12"/>
  <c r="H4" i="12"/>
  <c r="K31" i="7"/>
  <c r="K33" i="7"/>
  <c r="K35" i="7"/>
  <c r="E4" i="12"/>
  <c r="E5" i="17" s="1"/>
  <c r="G4" i="12"/>
  <c r="F5" i="17" s="1"/>
  <c r="F3" i="17" s="1"/>
  <c r="I4" i="12"/>
  <c r="K30" i="7"/>
  <c r="K32" i="7"/>
  <c r="K34" i="7"/>
  <c r="M608" i="7"/>
  <c r="M564" i="7" s="1"/>
  <c r="D15" i="12"/>
  <c r="D12" i="12" s="1"/>
  <c r="E15" i="14"/>
  <c r="E12" i="14" s="1"/>
  <c r="E4" i="14" s="1"/>
  <c r="E16" i="18"/>
  <c r="E12" i="18" s="1"/>
  <c r="F16" i="18"/>
  <c r="F12" i="18" s="1"/>
  <c r="F15" i="14"/>
  <c r="F12" i="14" s="1"/>
  <c r="F4" i="14" s="1"/>
  <c r="G15" i="14"/>
  <c r="G16" i="18"/>
  <c r="M612" i="7"/>
  <c r="M568" i="7" s="1"/>
  <c r="H15" i="12"/>
  <c r="I15" i="14"/>
  <c r="I12" i="14" s="1"/>
  <c r="I4" i="14" s="1"/>
  <c r="I16" i="18"/>
  <c r="I12" i="18" s="1"/>
  <c r="F3" i="12"/>
  <c r="F24" i="12" s="1"/>
  <c r="I3" i="12"/>
  <c r="I24" i="12" s="1"/>
  <c r="D4" i="11"/>
  <c r="L22" i="7"/>
  <c r="F4" i="11"/>
  <c r="H4" i="11"/>
  <c r="H2" i="11" s="1"/>
  <c r="M23" i="7"/>
  <c r="M25" i="7"/>
  <c r="I30" i="7"/>
  <c r="I134" i="7"/>
  <c r="I115" i="7"/>
  <c r="C4" i="11"/>
  <c r="E4" i="11"/>
  <c r="G4" i="11"/>
  <c r="G2" i="11" s="1"/>
  <c r="M26" i="7"/>
  <c r="I112" i="7"/>
  <c r="N754" i="7"/>
  <c r="I754" i="7"/>
  <c r="N706" i="7"/>
  <c r="N724" i="7"/>
  <c r="I743" i="7"/>
  <c r="N715" i="7"/>
  <c r="I697" i="7"/>
  <c r="I339" i="7"/>
  <c r="N669" i="7"/>
  <c r="N642" i="7"/>
  <c r="N644" i="7"/>
  <c r="N650" i="7"/>
  <c r="N519" i="7"/>
  <c r="I786" i="7"/>
  <c r="I650" i="7"/>
  <c r="M609" i="7"/>
  <c r="M565" i="7" s="1"/>
  <c r="M610" i="7"/>
  <c r="M566" i="7" s="1"/>
  <c r="M611" i="7"/>
  <c r="M567" i="7" s="1"/>
  <c r="M613" i="7"/>
  <c r="M569" i="7" s="1"/>
  <c r="C11" i="11"/>
  <c r="L608" i="7"/>
  <c r="L564" i="7" s="1"/>
  <c r="H11" i="11"/>
  <c r="L613" i="7"/>
  <c r="L569" i="7" s="1"/>
  <c r="D11" i="11"/>
  <c r="L609" i="7"/>
  <c r="L565" i="7" s="1"/>
  <c r="G609" i="7"/>
  <c r="G565" i="7" s="1"/>
  <c r="G11" i="11"/>
  <c r="L612" i="7"/>
  <c r="L568" i="7" s="1"/>
  <c r="F11" i="11"/>
  <c r="L611" i="7"/>
  <c r="L567" i="7" s="1"/>
  <c r="E11" i="11"/>
  <c r="L610" i="7"/>
  <c r="L566" i="7" s="1"/>
  <c r="N483" i="7"/>
  <c r="N594" i="7"/>
  <c r="I438" i="7"/>
  <c r="I574" i="7"/>
  <c r="N574" i="7"/>
  <c r="N578" i="7"/>
  <c r="I554" i="7"/>
  <c r="I494" i="7"/>
  <c r="I483" i="7"/>
  <c r="N438" i="7"/>
  <c r="H23" i="7"/>
  <c r="G572" i="7"/>
  <c r="G29" i="7"/>
  <c r="N31" i="7"/>
  <c r="I618" i="7"/>
  <c r="L474" i="7"/>
  <c r="J572" i="7"/>
  <c r="I573" i="7"/>
  <c r="N132" i="7"/>
  <c r="I146" i="7"/>
  <c r="K754" i="7"/>
  <c r="H90" i="7"/>
  <c r="I90" i="7" s="1"/>
  <c r="G24" i="7"/>
  <c r="J616" i="7"/>
  <c r="M21" i="7"/>
  <c r="I137" i="7"/>
  <c r="K384" i="7"/>
  <c r="H133" i="7"/>
  <c r="H114" i="7" s="1"/>
  <c r="N267" i="7"/>
  <c r="J641" i="7"/>
  <c r="K715" i="7"/>
  <c r="K58" i="7"/>
  <c r="N30" i="7"/>
  <c r="H58" i="7"/>
  <c r="I58" i="7" s="1"/>
  <c r="H101" i="7"/>
  <c r="I101" i="7" s="1"/>
  <c r="N33" i="7"/>
  <c r="K90" i="7"/>
  <c r="L29" i="7"/>
  <c r="C8" i="13"/>
  <c r="C6" i="13"/>
  <c r="I33" i="7"/>
  <c r="I31" i="7"/>
  <c r="N155" i="7"/>
  <c r="N134" i="7"/>
  <c r="M616" i="7"/>
  <c r="I620" i="7"/>
  <c r="H785" i="7"/>
  <c r="M785" i="7"/>
  <c r="N49" i="7"/>
  <c r="I62" i="7"/>
  <c r="I105" i="7"/>
  <c r="K618" i="7"/>
  <c r="K609" i="7" s="1"/>
  <c r="K565" i="7" s="1"/>
  <c r="K617" i="7"/>
  <c r="K608" i="7" s="1"/>
  <c r="K706" i="7"/>
  <c r="K733" i="7"/>
  <c r="K578" i="7"/>
  <c r="K569" i="7" s="1"/>
  <c r="K575" i="7"/>
  <c r="K566" i="7" s="1"/>
  <c r="K594" i="7"/>
  <c r="I131" i="7"/>
  <c r="J129" i="7"/>
  <c r="I157" i="7"/>
  <c r="I155" i="7"/>
  <c r="I222" i="7"/>
  <c r="J474" i="7"/>
  <c r="H38" i="7"/>
  <c r="I38" i="7" s="1"/>
  <c r="L153" i="7"/>
  <c r="H153" i="7"/>
  <c r="N130" i="7"/>
  <c r="L616" i="7"/>
  <c r="J22" i="7"/>
  <c r="M129" i="7"/>
  <c r="L129" i="7"/>
  <c r="N621" i="7"/>
  <c r="N135" i="7"/>
  <c r="N617" i="7"/>
  <c r="K130" i="7"/>
  <c r="N697" i="7"/>
  <c r="K573" i="7"/>
  <c r="M29" i="7"/>
  <c r="C5" i="15" s="1"/>
  <c r="N38" i="7"/>
  <c r="N581" i="7"/>
  <c r="I594" i="7"/>
  <c r="G641" i="7"/>
  <c r="N647" i="7"/>
  <c r="N743" i="7"/>
  <c r="I787" i="7"/>
  <c r="K650" i="7"/>
  <c r="K697" i="7"/>
  <c r="K494" i="7"/>
  <c r="K519" i="7"/>
  <c r="K581" i="7"/>
  <c r="J220" i="7"/>
  <c r="H49" i="7"/>
  <c r="I49" i="7" s="1"/>
  <c r="K38" i="7"/>
  <c r="B5" i="11"/>
  <c r="C16" i="12"/>
  <c r="G21" i="12"/>
  <c r="I21" i="12"/>
  <c r="E21" i="12"/>
  <c r="C10" i="13"/>
  <c r="B6" i="11"/>
  <c r="F21" i="12"/>
  <c r="H21" i="12"/>
  <c r="J785" i="7"/>
  <c r="B13" i="11"/>
  <c r="F22" i="12"/>
  <c r="H22" i="12"/>
  <c r="D22" i="12"/>
  <c r="J660" i="7"/>
  <c r="G22" i="12"/>
  <c r="I22" i="12"/>
  <c r="E22" i="12"/>
  <c r="G660" i="7"/>
  <c r="H660" i="7"/>
  <c r="K743" i="7"/>
  <c r="I647" i="7"/>
  <c r="N618" i="7"/>
  <c r="N622" i="7"/>
  <c r="G12" i="18"/>
  <c r="K554" i="7"/>
  <c r="N476" i="7"/>
  <c r="H474" i="7"/>
  <c r="G306" i="7"/>
  <c r="M220" i="7"/>
  <c r="C6" i="15" s="1"/>
  <c r="K155" i="7"/>
  <c r="K112" i="7" s="1"/>
  <c r="K157" i="7"/>
  <c r="K158" i="7"/>
  <c r="J29" i="7"/>
  <c r="J24" i="7"/>
  <c r="C25" i="12"/>
  <c r="I35" i="12" s="1"/>
  <c r="I613" i="7"/>
  <c r="J607" i="7"/>
  <c r="N620" i="7"/>
  <c r="L785" i="7"/>
  <c r="K483" i="7"/>
  <c r="I622" i="7"/>
  <c r="N619" i="7"/>
  <c r="I267" i="7"/>
  <c r="I642" i="7"/>
  <c r="H641" i="7"/>
  <c r="N643" i="7"/>
  <c r="I644" i="7"/>
  <c r="I645" i="7"/>
  <c r="K641" i="7"/>
  <c r="I669" i="7"/>
  <c r="I706" i="7"/>
  <c r="I794" i="7"/>
  <c r="N375" i="7"/>
  <c r="I384" i="7"/>
  <c r="N494" i="7"/>
  <c r="N554" i="7"/>
  <c r="K669" i="7"/>
  <c r="K785" i="7"/>
  <c r="N58" i="7"/>
  <c r="N90" i="7"/>
  <c r="K49" i="7"/>
  <c r="K132" i="7"/>
  <c r="K134" i="7"/>
  <c r="K375" i="7"/>
  <c r="I478" i="7"/>
  <c r="I476" i="7"/>
  <c r="H572" i="7"/>
  <c r="M572" i="7"/>
  <c r="N575" i="7"/>
  <c r="H375" i="7"/>
  <c r="I375" i="7" s="1"/>
  <c r="K154" i="7"/>
  <c r="M660" i="7"/>
  <c r="C3" i="16" s="1"/>
  <c r="C16" i="14"/>
  <c r="I611" i="7"/>
  <c r="I612" i="7"/>
  <c r="C14" i="12"/>
  <c r="H2" i="12"/>
  <c r="C9" i="13"/>
  <c r="I154" i="7"/>
  <c r="G153" i="7"/>
  <c r="N131" i="7"/>
  <c r="J153" i="7"/>
  <c r="N156" i="7"/>
  <c r="N157" i="7"/>
  <c r="L24" i="7"/>
  <c r="N159" i="7"/>
  <c r="L26" i="7"/>
  <c r="N26" i="7" s="1"/>
  <c r="M153" i="7"/>
  <c r="N573" i="7"/>
  <c r="D21" i="12"/>
  <c r="C5" i="12"/>
  <c r="D28" i="12"/>
  <c r="C28" i="12" s="1"/>
  <c r="C9" i="12"/>
  <c r="M641" i="7"/>
  <c r="C4" i="16" s="1"/>
  <c r="B7" i="11"/>
  <c r="I621" i="7"/>
  <c r="N154" i="7"/>
  <c r="H616" i="7"/>
  <c r="C7" i="12"/>
  <c r="N158" i="7"/>
  <c r="L641" i="7"/>
  <c r="L572" i="7"/>
  <c r="N133" i="7"/>
  <c r="L306" i="7"/>
  <c r="G785" i="7"/>
  <c r="I785" i="7" s="1"/>
  <c r="G129" i="7"/>
  <c r="I475" i="7"/>
  <c r="N663" i="7"/>
  <c r="I575" i="7"/>
  <c r="I661" i="7"/>
  <c r="C6" i="12"/>
  <c r="H220" i="7"/>
  <c r="I220" i="7" s="1"/>
  <c r="G12" i="14"/>
  <c r="G4" i="14" s="1"/>
  <c r="I581" i="7"/>
  <c r="I643" i="7"/>
  <c r="I715" i="7"/>
  <c r="I724" i="7"/>
  <c r="I733" i="7"/>
  <c r="N787" i="7"/>
  <c r="I788" i="7"/>
  <c r="N384" i="7"/>
  <c r="I519" i="7"/>
  <c r="K724" i="7"/>
  <c r="K794" i="7"/>
  <c r="N101" i="7"/>
  <c r="K101" i="7"/>
  <c r="K133" i="7"/>
  <c r="K156" i="7"/>
  <c r="K220" i="7"/>
  <c r="K438" i="7"/>
  <c r="J23" i="7"/>
  <c r="N478" i="7"/>
  <c r="I578" i="7"/>
  <c r="I663" i="7"/>
  <c r="L660" i="7"/>
  <c r="C7" i="16"/>
  <c r="B15" i="11"/>
  <c r="C14" i="14"/>
  <c r="E24" i="12"/>
  <c r="N310" i="7"/>
  <c r="M306" i="7"/>
  <c r="C3" i="15" s="1"/>
  <c r="G616" i="7"/>
  <c r="I135" i="7"/>
  <c r="I132" i="7"/>
  <c r="N475" i="7"/>
  <c r="M474" i="7"/>
  <c r="C7" i="15" s="1"/>
  <c r="C13" i="12"/>
  <c r="G474" i="7"/>
  <c r="I617" i="7"/>
  <c r="N733" i="7"/>
  <c r="K621" i="7"/>
  <c r="K612" i="7" s="1"/>
  <c r="K568" i="7" s="1"/>
  <c r="K267" i="7"/>
  <c r="J306" i="7"/>
  <c r="H24" i="12"/>
  <c r="F12" i="12"/>
  <c r="I130" i="7"/>
  <c r="I619" i="7"/>
  <c r="N222" i="7"/>
  <c r="L220" i="7"/>
  <c r="I307" i="7"/>
  <c r="I308" i="7"/>
  <c r="B9" i="11"/>
  <c r="E12" i="12"/>
  <c r="I12" i="12"/>
  <c r="C13" i="14"/>
  <c r="C26" i="12"/>
  <c r="B12" i="11"/>
  <c r="C2" i="11" l="1"/>
  <c r="B3" i="23"/>
  <c r="C2" i="23"/>
  <c r="B2" i="23" s="1"/>
  <c r="D2" i="11"/>
  <c r="K114" i="7"/>
  <c r="K24" i="7" s="1"/>
  <c r="K15" i="7" s="1"/>
  <c r="E2" i="11"/>
  <c r="K564" i="7"/>
  <c r="H23" i="12"/>
  <c r="N785" i="7"/>
  <c r="E5" i="13"/>
  <c r="F5" i="13"/>
  <c r="F3" i="13" s="1"/>
  <c r="G3" i="14" s="1"/>
  <c r="K113" i="7"/>
  <c r="K23" i="7" s="1"/>
  <c r="K111" i="7"/>
  <c r="K21" i="7" s="1"/>
  <c r="K115" i="7"/>
  <c r="K25" i="7" s="1"/>
  <c r="H16" i="18"/>
  <c r="H12" i="18" s="1"/>
  <c r="H15" i="14"/>
  <c r="H12" i="14" s="1"/>
  <c r="H4" i="14" s="1"/>
  <c r="D16" i="18"/>
  <c r="C16" i="18" s="1"/>
  <c r="D15" i="14"/>
  <c r="B4" i="11"/>
  <c r="I2" i="12"/>
  <c r="C5" i="17"/>
  <c r="J16" i="7"/>
  <c r="N612" i="7"/>
  <c r="N568" i="7"/>
  <c r="I609" i="7"/>
  <c r="G563" i="7"/>
  <c r="N613" i="7"/>
  <c r="G15" i="7"/>
  <c r="I474" i="7"/>
  <c r="N641" i="7"/>
  <c r="I641" i="7"/>
  <c r="K474" i="7"/>
  <c r="N572" i="7"/>
  <c r="N608" i="7"/>
  <c r="N609" i="7"/>
  <c r="H16" i="7"/>
  <c r="I133" i="7"/>
  <c r="N566" i="7"/>
  <c r="N153" i="7"/>
  <c r="G22" i="7"/>
  <c r="N111" i="7"/>
  <c r="H110" i="7"/>
  <c r="K572" i="7"/>
  <c r="N129" i="7"/>
  <c r="M16" i="7"/>
  <c r="N616" i="7"/>
  <c r="L607" i="7"/>
  <c r="I660" i="7"/>
  <c r="I572" i="7"/>
  <c r="B14" i="11"/>
  <c r="L23" i="7"/>
  <c r="N23" i="7" s="1"/>
  <c r="I567" i="7"/>
  <c r="I569" i="7"/>
  <c r="N220" i="7"/>
  <c r="I568" i="7"/>
  <c r="K153" i="7"/>
  <c r="I153" i="7"/>
  <c r="H29" i="7"/>
  <c r="I29" i="7" s="1"/>
  <c r="I616" i="7"/>
  <c r="L21" i="7"/>
  <c r="L12" i="7" s="1"/>
  <c r="J14" i="7"/>
  <c r="J13" i="7"/>
  <c r="H129" i="7"/>
  <c r="I129" i="7" s="1"/>
  <c r="I114" i="7"/>
  <c r="G25" i="7"/>
  <c r="I25" i="7" s="1"/>
  <c r="N29" i="7"/>
  <c r="H35" i="12"/>
  <c r="E35" i="12"/>
  <c r="C7" i="13"/>
  <c r="J15" i="7"/>
  <c r="D3" i="17"/>
  <c r="C22" i="12"/>
  <c r="G32" i="12" s="1"/>
  <c r="J563" i="7"/>
  <c r="N660" i="7"/>
  <c r="K660" i="7"/>
  <c r="G35" i="12"/>
  <c r="D35" i="12"/>
  <c r="F35" i="12"/>
  <c r="D12" i="18"/>
  <c r="N567" i="7"/>
  <c r="L13" i="7"/>
  <c r="C6" i="16"/>
  <c r="M12" i="7"/>
  <c r="B3" i="11"/>
  <c r="E3" i="17"/>
  <c r="N112" i="7"/>
  <c r="K129" i="7"/>
  <c r="C4" i="13"/>
  <c r="D3" i="13"/>
  <c r="D3" i="14" s="1"/>
  <c r="M14" i="7"/>
  <c r="M22" i="7"/>
  <c r="K26" i="7"/>
  <c r="K17" i="7" s="1"/>
  <c r="B2" i="11"/>
  <c r="N565" i="7"/>
  <c r="L15" i="7"/>
  <c r="N611" i="7"/>
  <c r="N610" i="7"/>
  <c r="M607" i="7"/>
  <c r="C5" i="16" s="1"/>
  <c r="F23" i="12"/>
  <c r="F20" i="12" s="1"/>
  <c r="D38" i="12"/>
  <c r="H38" i="12"/>
  <c r="G38" i="12"/>
  <c r="F38" i="12"/>
  <c r="I38" i="12"/>
  <c r="E38" i="12"/>
  <c r="L25" i="7"/>
  <c r="N115" i="7"/>
  <c r="C21" i="12"/>
  <c r="D31" i="12" s="1"/>
  <c r="J110" i="7"/>
  <c r="J21" i="7"/>
  <c r="J12" i="7" s="1"/>
  <c r="B11" i="11"/>
  <c r="L110" i="7"/>
  <c r="F2" i="12"/>
  <c r="N116" i="7"/>
  <c r="N564" i="7"/>
  <c r="H20" i="12"/>
  <c r="I564" i="7"/>
  <c r="G12" i="12"/>
  <c r="G23" i="12"/>
  <c r="D24" i="12"/>
  <c r="D2" i="12"/>
  <c r="C3" i="12"/>
  <c r="K306" i="7"/>
  <c r="K22" i="7"/>
  <c r="I310" i="7"/>
  <c r="H24" i="7"/>
  <c r="K616" i="7"/>
  <c r="M24" i="7"/>
  <c r="N114" i="7"/>
  <c r="I113" i="7"/>
  <c r="G23" i="7"/>
  <c r="G26" i="7"/>
  <c r="I116" i="7"/>
  <c r="N306" i="7"/>
  <c r="E23" i="12"/>
  <c r="H12" i="12"/>
  <c r="D23" i="12"/>
  <c r="C4" i="12"/>
  <c r="E2" i="12"/>
  <c r="I23" i="12"/>
  <c r="M110" i="7"/>
  <c r="C4" i="15" s="1"/>
  <c r="D12" i="14"/>
  <c r="I610" i="7"/>
  <c r="H607" i="7"/>
  <c r="G110" i="7"/>
  <c r="I111" i="7"/>
  <c r="K29" i="7"/>
  <c r="G2" i="12"/>
  <c r="G24" i="12"/>
  <c r="I608" i="7"/>
  <c r="G607" i="7"/>
  <c r="H22" i="7"/>
  <c r="H306" i="7"/>
  <c r="I306" i="7" s="1"/>
  <c r="E3" i="13"/>
  <c r="E3" i="14" s="1"/>
  <c r="C15" i="12"/>
  <c r="J17" i="7"/>
  <c r="H17" i="7"/>
  <c r="N474" i="7"/>
  <c r="H21" i="7"/>
  <c r="G36" i="12"/>
  <c r="H36" i="12"/>
  <c r="I36" i="12"/>
  <c r="E36" i="12"/>
  <c r="F36" i="12"/>
  <c r="D36" i="12"/>
  <c r="C15" i="14" l="1"/>
  <c r="C5" i="13"/>
  <c r="C12" i="18"/>
  <c r="C12" i="14"/>
  <c r="D4" i="14"/>
  <c r="L563" i="7"/>
  <c r="L17" i="7"/>
  <c r="L14" i="7"/>
  <c r="N14" i="7" s="1"/>
  <c r="I110" i="7"/>
  <c r="K14" i="7"/>
  <c r="C35" i="12"/>
  <c r="K110" i="7"/>
  <c r="G13" i="7"/>
  <c r="G16" i="7"/>
  <c r="I16" i="7" s="1"/>
  <c r="N21" i="7"/>
  <c r="I565" i="7"/>
  <c r="E32" i="12"/>
  <c r="F32" i="12"/>
  <c r="D32" i="12"/>
  <c r="H32" i="12"/>
  <c r="I32" i="12"/>
  <c r="C3" i="17"/>
  <c r="M563" i="7"/>
  <c r="K13" i="7"/>
  <c r="M17" i="7"/>
  <c r="N12" i="7"/>
  <c r="C2" i="16"/>
  <c r="M13" i="7"/>
  <c r="N13" i="7" s="1"/>
  <c r="C3" i="13"/>
  <c r="N22" i="7"/>
  <c r="J11" i="7"/>
  <c r="M20" i="7"/>
  <c r="J20" i="7"/>
  <c r="I607" i="7"/>
  <c r="N607" i="7"/>
  <c r="N569" i="7"/>
  <c r="C36" i="12"/>
  <c r="C12" i="12"/>
  <c r="C38" i="12"/>
  <c r="L16" i="7"/>
  <c r="N16" i="7" s="1"/>
  <c r="L20" i="7"/>
  <c r="N25" i="7"/>
  <c r="H31" i="12"/>
  <c r="I31" i="12"/>
  <c r="F31" i="12"/>
  <c r="E31" i="12"/>
  <c r="G31" i="12"/>
  <c r="H13" i="7"/>
  <c r="I22" i="7"/>
  <c r="K20" i="7"/>
  <c r="K12" i="7"/>
  <c r="G20" i="7"/>
  <c r="I21" i="7"/>
  <c r="G12" i="7"/>
  <c r="H14" i="7"/>
  <c r="H563" i="7"/>
  <c r="I563" i="7" s="1"/>
  <c r="I566" i="7"/>
  <c r="C2" i="15"/>
  <c r="N110" i="7"/>
  <c r="G14" i="7"/>
  <c r="I23" i="7"/>
  <c r="H15" i="7"/>
  <c r="I15" i="7" s="1"/>
  <c r="I24" i="7"/>
  <c r="C24" i="12"/>
  <c r="H12" i="7"/>
  <c r="H20" i="7"/>
  <c r="I20" i="12"/>
  <c r="C23" i="12"/>
  <c r="E33" i="12" s="1"/>
  <c r="D20" i="12"/>
  <c r="E20" i="12"/>
  <c r="G17" i="7"/>
  <c r="I17" i="7" s="1"/>
  <c r="I26" i="7"/>
  <c r="M15" i="7"/>
  <c r="N15" i="7" s="1"/>
  <c r="N24" i="7"/>
  <c r="K607" i="7"/>
  <c r="G20" i="12"/>
  <c r="C2" i="12"/>
  <c r="C9" i="15" l="1"/>
  <c r="C9" i="16"/>
  <c r="C20" i="14"/>
  <c r="C12" i="13"/>
  <c r="C32" i="12"/>
  <c r="N17" i="7"/>
  <c r="N563" i="7"/>
  <c r="I13" i="7"/>
  <c r="N20" i="7"/>
  <c r="G33" i="12"/>
  <c r="C31" i="12"/>
  <c r="L11" i="7"/>
  <c r="M11" i="7"/>
  <c r="H11" i="7"/>
  <c r="I14" i="7"/>
  <c r="H33" i="12"/>
  <c r="F33" i="12"/>
  <c r="E34" i="12"/>
  <c r="I34" i="12"/>
  <c r="H34" i="12"/>
  <c r="G34" i="12"/>
  <c r="F34" i="12"/>
  <c r="D34" i="12"/>
  <c r="I12" i="7"/>
  <c r="G11" i="7"/>
  <c r="C20" i="12"/>
  <c r="E30" i="12" s="1"/>
  <c r="I33" i="12"/>
  <c r="I20" i="7"/>
  <c r="K16" i="7"/>
  <c r="K11" i="7" s="1"/>
  <c r="K563" i="7"/>
  <c r="D33" i="12"/>
  <c r="C33" i="12" l="1"/>
  <c r="C34" i="12"/>
  <c r="N11" i="7"/>
  <c r="I11" i="7"/>
  <c r="D30" i="12"/>
  <c r="H30" i="12"/>
  <c r="F30" i="12"/>
  <c r="G30" i="12"/>
  <c r="I30" i="12"/>
  <c r="C30" i="12" l="1"/>
  <c r="B3" i="19"/>
  <c r="B2" i="19" s="1"/>
  <c r="C42" i="12"/>
  <c r="C41" i="12"/>
  <c r="C4" i="14" l="1"/>
  <c r="D5" i="14"/>
  <c r="E5" i="14"/>
  <c r="G5" i="14"/>
  <c r="F5" i="14"/>
  <c r="H5" i="14"/>
  <c r="C3" i="14"/>
  <c r="C5" i="14" s="1"/>
  <c r="I5" i="14"/>
  <c r="B5" i="14"/>
</calcChain>
</file>

<file path=xl/sharedStrings.xml><?xml version="1.0" encoding="utf-8"?>
<sst xmlns="http://schemas.openxmlformats.org/spreadsheetml/2006/main" count="1909" uniqueCount="556">
  <si>
    <t>Stan zaawansowania prac,                                                                          zrealizowany zakres rzeczowy - wskaźniki ilościowe</t>
  </si>
  <si>
    <t>1.</t>
  </si>
  <si>
    <t>I.</t>
  </si>
  <si>
    <t>A</t>
  </si>
  <si>
    <t>w zł</t>
  </si>
  <si>
    <t>Lp.</t>
  </si>
  <si>
    <t>Źródło</t>
  </si>
  <si>
    <t>- środki wymienione w art. 5 ust. 1 pkt 2 i 3 u.f.p.</t>
  </si>
  <si>
    <t>- kredyty, pożyczki, obligacje</t>
  </si>
  <si>
    <t>Program:</t>
  </si>
  <si>
    <t>Priorytet:</t>
  </si>
  <si>
    <t>Działanie:</t>
  </si>
  <si>
    <t>Projekt:</t>
  </si>
  <si>
    <t>II.</t>
  </si>
  <si>
    <t>Plan                       na początek                       roku</t>
  </si>
  <si>
    <t>- środki własne miasta</t>
  </si>
  <si>
    <t>Miasto Kielce</t>
  </si>
  <si>
    <t>Wykaz programów, projektów lub zadań związanych z programami realizowanymi z udziałem środków,</t>
  </si>
  <si>
    <t>o których mowa w art. 5 ust. 1 pkt 2 i 3 ufp</t>
  </si>
  <si>
    <t>Nazwa i cel przedsięwzięcia</t>
  </si>
  <si>
    <t>Ogółem przedsięwzięcia:</t>
  </si>
  <si>
    <t>Ogółem przedsięwzięcia bieżące:</t>
  </si>
  <si>
    <t>- środki inne</t>
  </si>
  <si>
    <t>Cel:</t>
  </si>
  <si>
    <t>Łączne nakłady finansowe</t>
  </si>
  <si>
    <t>Przewidywane nakłady i źródła finansowania</t>
  </si>
  <si>
    <t>Okres                 realizacji</t>
  </si>
  <si>
    <t>Ogółem przedsięwzięcia majątkowe:</t>
  </si>
  <si>
    <t>Wartość przedsięwzięcia:</t>
  </si>
  <si>
    <t>Dział           Rozdział</t>
  </si>
  <si>
    <t>Zmiany dokonane w trakcie roku budżetowego</t>
  </si>
  <si>
    <t>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</si>
  <si>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</si>
  <si>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</si>
  <si>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</si>
  <si>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</si>
  <si>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</si>
  <si>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</si>
  <si>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</si>
  <si>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</si>
  <si>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</si>
  <si>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</si>
  <si>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</si>
  <si>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</si>
  <si>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</si>
  <si>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- środki własne miasta pozaprojektowe</t>
  </si>
  <si>
    <t>Stopień realizacji   projektów         %                 7:6</t>
  </si>
  <si>
    <t>Stopień realizacji   projektów   %               12:11</t>
  </si>
  <si>
    <t>KIELECKI PARK TECHNOLOGICZNY</t>
  </si>
  <si>
    <t>Program Operacyjny Innowacyjna Gospodarka</t>
  </si>
  <si>
    <t>2.</t>
  </si>
  <si>
    <t>2011   2013</t>
  </si>
  <si>
    <t>710  71095</t>
  </si>
  <si>
    <t>852  85219</t>
  </si>
  <si>
    <t>853  85395</t>
  </si>
  <si>
    <t>Program Operacyjny Kapitał Ludzki</t>
  </si>
  <si>
    <t>852   85201</t>
  </si>
  <si>
    <t>852  85204</t>
  </si>
  <si>
    <t>852  85214</t>
  </si>
  <si>
    <t>3.</t>
  </si>
  <si>
    <t>MIEJSKI URZAD PRACY</t>
  </si>
  <si>
    <t>4.</t>
  </si>
  <si>
    <t>WYDZIAŁ EDUKACJI, KULTURY I SPORTU</t>
  </si>
  <si>
    <t>Priorytet VII: Promocja integracji społecznej</t>
  </si>
  <si>
    <t>gospodarki</t>
  </si>
  <si>
    <t>Priorytet VIII: Społeczeństwo informacyjne - zwiększenie innowacyjności</t>
  </si>
  <si>
    <t>Działanie 8.3: Przeciwdziałanie wykluczeniu cyfrowemu e-inclusion</t>
  </si>
  <si>
    <t>Przeciwdziałanie wykluczeniu cyfrowemu osób dotkniętych ubóstwem</t>
  </si>
  <si>
    <t>Działanie 7.1: Rozwój i upowszechnienie aktywnej integracji</t>
  </si>
  <si>
    <t xml:space="preserve">Zapewnienie równego dostępu do zatrudnienia osobom zagrożonym </t>
  </si>
  <si>
    <t xml:space="preserve">wykluczeniem społecznym oraz dyskryminowanym na rynku pracy, </t>
  </si>
  <si>
    <t>a także podwyższenie ich umiejętności życiowych, społecznych</t>
  </si>
  <si>
    <t>i zawodowych</t>
  </si>
  <si>
    <t xml:space="preserve">Działanie 6.1: Poprawa dostępu do zatrudnienia oraz wspieranie </t>
  </si>
  <si>
    <t>aktywności zawodowej w regionie</t>
  </si>
  <si>
    <t>Priorytet IX: Rozwój wykształcenia i kompetencji w regionach</t>
  </si>
  <si>
    <t>5.</t>
  </si>
  <si>
    <t>6.</t>
  </si>
  <si>
    <t>Działanie 9.2: Podniesienie atrakcyjności i jakości szkolnictwa zawodowego</t>
  </si>
  <si>
    <t>7.</t>
  </si>
  <si>
    <t>Działanie 9.4: Wysoko wykwalifikowane kadry systemu oświaty</t>
  </si>
  <si>
    <t>Program Uczenie Się Przez Całe Życie</t>
  </si>
  <si>
    <t>Comenius</t>
  </si>
  <si>
    <t>Partnerski Projekt Comeniusa</t>
  </si>
  <si>
    <t>Leonardo Da Vinci</t>
  </si>
  <si>
    <t>Projekt Mobilności Leonardo Da Vinci</t>
  </si>
  <si>
    <t>Regionalny Program Operacyjny Województwa Świętokrzyskiego</t>
  </si>
  <si>
    <t>Oś Priorytetowa 2: Wsparcie innowacyjności, budowa społeczeństwa</t>
  </si>
  <si>
    <t>informacyjnego oraz wzrost potencjału inwestycyjnego regionu</t>
  </si>
  <si>
    <t>WYDZIAŁ PROJEKTÓW STRUKTURALNYCH I STRATEGII MIASTA</t>
  </si>
  <si>
    <t>Program Operacyjny Rozwój Polski Wschodniej</t>
  </si>
  <si>
    <t>Oś Priorytetowa 3: Wojewódzkie ośrodki wzrostu</t>
  </si>
  <si>
    <t>Działanie 3.1: Systemy miejskiego transportu zbiorowego</t>
  </si>
  <si>
    <t>600  60095</t>
  </si>
  <si>
    <t>Priorytet I: Nowoczesna Gospodarka</t>
  </si>
  <si>
    <t>Promocja i Współpraca, Komponent Promocja</t>
  </si>
  <si>
    <t xml:space="preserve">Stworzenie sieci współpracy pomiędzy regionami Polski Wschodniej dla </t>
  </si>
  <si>
    <t xml:space="preserve">wzmocnienia konkurencyjności i innowacyjności regionalnej gospodarki </t>
  </si>
  <si>
    <t xml:space="preserve">poprzez standaryzację obsługi inwestora, stałą współpracę i wymianę </t>
  </si>
  <si>
    <t xml:space="preserve">doświadczeń, wymianę informacji, w tym szczególnie o terenach </t>
  </si>
  <si>
    <t>inwestycyjnych, wspólną bazę terenów inwestycyjnych</t>
  </si>
  <si>
    <t>750  75075</t>
  </si>
  <si>
    <t>Oś Priorytetowa 6: Wzmocnienie ośrodków miejskich i rewitalizacja</t>
  </si>
  <si>
    <t>małych miast</t>
  </si>
  <si>
    <t>wzrostu</t>
  </si>
  <si>
    <t xml:space="preserve">Promocja projektu, mającego na celu zwiększenie atrakcyjności </t>
  </si>
  <si>
    <t>społeczno-gospodarczej i przestrzennej Kielc oraz zapewnienie skute-</t>
  </si>
  <si>
    <t>cznego pełnienia przez miasto funkcji regionalnego ośrodka metropoli-</t>
  </si>
  <si>
    <t xml:space="preserve">talnego. Dzięki jego realizacji nastąpi poprawa estetyki rewitalizowanego </t>
  </si>
  <si>
    <t>terenu, co będzie miało wpływ na jakość życia mieszkańców</t>
  </si>
  <si>
    <t>Promocja projektu, majacego na celu zwiekszenie konkurencyjności re-</t>
  </si>
  <si>
    <t>gionu oraz rozwój funkcji metropolitalnych miasta Kielce poprzez popra-</t>
  </si>
  <si>
    <t>wę jakości infrastruktury drogowej i transportu publicznego w mieście oraz</t>
  </si>
  <si>
    <t>stworzenie przyjaznej mieszkańcom i środowisku komunikacji publicznej</t>
  </si>
  <si>
    <t>ZAKŁAD OBSŁUGI I INFORMATYKI URZĘDU MIASTA</t>
  </si>
  <si>
    <t>Działanie 2.2: Budowa infrastruktury społeczeństwa informacyjnego</t>
  </si>
  <si>
    <t xml:space="preserve">Rozbudowa lokalnej infrastruktury społeczeństwa informacyjnego w </t>
  </si>
  <si>
    <t xml:space="preserve">formie budowy miejskiej sieci światłowodowej w latach 2010-2012 dla </t>
  </si>
  <si>
    <t>jednostek sektora publicznego, zapewniającej bezpieczny internet szero-</t>
  </si>
  <si>
    <t>kopasmowy i wyrównanie dysproporcji w zakresie dostępu do internetu,</t>
  </si>
  <si>
    <t>a także umożliwiającej wykorzystanie nowoczesnych technologii</t>
  </si>
  <si>
    <t>750  75023</t>
  </si>
  <si>
    <t xml:space="preserve">Ulepszona wymiana danych, lepsza komunikacja na wielu szczeblach </t>
  </si>
  <si>
    <t xml:space="preserve">administracji, szybki dostęp o każdej porze do serwisu informacyjnego, </t>
  </si>
  <si>
    <t xml:space="preserve">czytelne zarządzanie ładem przestrzennym w województwie. (Kolejny </t>
  </si>
  <si>
    <t>etap informatyzacji Ośrodka Dokumentacji Geodezyjnej i Kartograficznej)</t>
  </si>
  <si>
    <t>720  72095</t>
  </si>
  <si>
    <t>GEOPARK KIELCE</t>
  </si>
  <si>
    <t>Oś Priorytetowa 6: Polska gospodarka na rynku międzynarodowym</t>
  </si>
  <si>
    <t xml:space="preserve">Działanie 6.4: Inwestycje w produkty turystyczne o znaczeniu </t>
  </si>
  <si>
    <t>ponadregionalnym</t>
  </si>
  <si>
    <t>Edukacyjno-turystyczny</t>
  </si>
  <si>
    <t>150  15095</t>
  </si>
  <si>
    <t>Priorytet I: Innowacyjna Gospodarka</t>
  </si>
  <si>
    <t>Działanie 1.3: Wspieranie innowacji</t>
  </si>
  <si>
    <t xml:space="preserve">Utworzenie wielofunkcyjnego terenu aktywności gospodarczej pn. </t>
  </si>
  <si>
    <t>MIEJSKI ZARZĄD DRÓG</t>
  </si>
  <si>
    <t>Poprawa i rozbudowa infrastruktury drogowej</t>
  </si>
  <si>
    <t>Rozwój systemów komunikacji publicznej</t>
  </si>
  <si>
    <t>600  60016</t>
  </si>
  <si>
    <t>2004  2015</t>
  </si>
  <si>
    <t>600  60015</t>
  </si>
  <si>
    <t>2004  2013</t>
  </si>
  <si>
    <t>Oś Priorytetowa 3: Podniesienie jakości systemu komunikacyjnego regionu</t>
  </si>
  <si>
    <t>Działanie 3.1: Rozwój nowoczesnej infrastruktury komunikacyjnej</t>
  </si>
  <si>
    <t>o znaczeniu regionalnym i ponadregionalnym</t>
  </si>
  <si>
    <t xml:space="preserve">od granicy miasta do ul. Karczówkowskiej w Kielcach (ul. Krakowska </t>
  </si>
  <si>
    <t>2008  2013</t>
  </si>
  <si>
    <t xml:space="preserve">i otwarcie komunikacyjne historycznego obszaru Stadion - Ogród </t>
  </si>
  <si>
    <t>Ożywienie i poprawa funkcjonalnosci zabytkowego Śródmieścia Miasta</t>
  </si>
  <si>
    <t xml:space="preserve">od ul. Sienkiewicza do ul. Seminaryjskiej), Czerwonego Krzyża, </t>
  </si>
  <si>
    <t xml:space="preserve">Działanie 6.1: Wzmocnienie regionalnych i sub-regionalnych ośrodków </t>
  </si>
  <si>
    <t>ZARZĄD TRANSPORTU MIEJSKIEGO W KIELCACH</t>
  </si>
  <si>
    <t>Stworzenie mieszkańcom przyjaznej komunikacji publicznej</t>
  </si>
  <si>
    <t>600  60004</t>
  </si>
  <si>
    <t>MIEJSKI OŚRODEK POMOCY RODZINIE</t>
  </si>
  <si>
    <t>Świadczenie  usług doradczych w postaci audytów marketingowych</t>
  </si>
  <si>
    <t>Wartość projektu:</t>
  </si>
  <si>
    <t>Priorytet 8: Regionalne Kadry Gospodarki</t>
  </si>
  <si>
    <t>Działanie 8.2: Transfer wiedzy</t>
  </si>
  <si>
    <t>Działanie 8.1: Rozwój pracowników i przedsiębiorstw w regionie</t>
  </si>
  <si>
    <t>Kompleksowe wsparcie szkoleniowo-doradcze dla przedsiębiorstw</t>
  </si>
  <si>
    <t>710      71095</t>
  </si>
  <si>
    <t>150       15013</t>
  </si>
  <si>
    <t>150     15013</t>
  </si>
  <si>
    <t>150     15011</t>
  </si>
  <si>
    <t>jakości usług edukacyjnych świadczonych w systemie oświaty</t>
  </si>
  <si>
    <t>Działanie 9.1: Wyrównywanie szans edukacyjnych i zapewnienie wysokiej</t>
  </si>
  <si>
    <t>Gminie Kielce</t>
  </si>
  <si>
    <t>proinnowacyjne oraz ich sieci o znaczeniu ponadregionalnym</t>
  </si>
  <si>
    <t xml:space="preserve">Stworzenie formalnego forum współpracy instytucji regionalnych </t>
  </si>
  <si>
    <t xml:space="preserve">tj. uczestników procesów innowacji bazujących na procesach transferu </t>
  </si>
  <si>
    <t xml:space="preserve">wiedzy i technologii pomiędzy sferą B+R i przedsiębiorstwami w zakresie </t>
  </si>
  <si>
    <t xml:space="preserve">wzornictwa w postaci Kręgu Innowacji wzornictwo. Ponadto w wyniku </t>
  </si>
  <si>
    <t xml:space="preserve">realizacji projektu zostanie wdrożony portfel proinnowacyjnych usług </t>
  </si>
  <si>
    <t xml:space="preserve">doradczych (strategie produktowe, rebranding marki) w oparciu </t>
  </si>
  <si>
    <t>o Laboratorium Design</t>
  </si>
  <si>
    <t>Priorytet 5. Dyfuzja innowacji</t>
  </si>
  <si>
    <t xml:space="preserve">Działanie 5.2 Wspieranie instytucji otoczenia biznesu świadczących usługi </t>
  </si>
  <si>
    <t xml:space="preserve">Ludzie-Biznes-Innowacje - kompleksowe wsparcie szkoleniowo-doradcze dla </t>
  </si>
  <si>
    <t>kadry zarządzajacej i pracowników/nic firm</t>
  </si>
  <si>
    <t>wzrostu konkurencyjności gospodarki regionalnej</t>
  </si>
  <si>
    <t>2011  2013</t>
  </si>
  <si>
    <t>Podniesienie efektywności kształcenia kieleckich nauczycieli gimnazjów</t>
  </si>
  <si>
    <t>w zakresie umiejętności sprawdzanych na egzaminach zewnętrznych</t>
  </si>
  <si>
    <t>Wyeliminowanie trudności oraz rozszerzenie umiejętności uczniów</t>
  </si>
  <si>
    <t>w procesie edukacyjnym poprzez indywidualizację procesu kształcenia</t>
  </si>
  <si>
    <t>dzieci z klas I-III w Gminie Kielce oraz zapewnienie oferty edukacyjno-</t>
  </si>
  <si>
    <t>wychowawczo-profilaktycznej zgodnej z potrzebami i możliwościami edu-</t>
  </si>
  <si>
    <t>kacyjnymi i rozwojowymi dzieci biorącymi udział w I etapie edukacyjnym</t>
  </si>
  <si>
    <t>801  80130</t>
  </si>
  <si>
    <t>Budowa infrastruktury Kieleckiego Parku Technologicznego</t>
  </si>
  <si>
    <t>Świat w moim domu</t>
  </si>
  <si>
    <t>Działanie szansą na przyszłość</t>
  </si>
  <si>
    <t>Profesjonalni na co dzień</t>
  </si>
  <si>
    <t>Nauczyciel sukcesu</t>
  </si>
  <si>
    <t>Indywidualizacja nauczania i wychowania, klas I-III Szkół podstawowych w</t>
  </si>
  <si>
    <t>801  80101</t>
  </si>
  <si>
    <t>801  80110</t>
  </si>
  <si>
    <t>Wyeliminowanie negatywnych stereotypów o europejskich stylach życia</t>
  </si>
  <si>
    <t>i zbudowanie w uczniach szkół partnerskich europejskiej tożsamości</t>
  </si>
  <si>
    <t>801  80120</t>
  </si>
  <si>
    <t>Euroguide: A Students Guidebook through Young Europe</t>
  </si>
  <si>
    <t>The World through Our Eyes</t>
  </si>
  <si>
    <t>Young Explorers</t>
  </si>
  <si>
    <t xml:space="preserve">Rozwój systemu komunikacji publicznej w Kieleckim Obszarze </t>
  </si>
  <si>
    <t>Metropolitalnym</t>
  </si>
  <si>
    <t>Tworzenie i rozwój sieci współpracy Centrów Obsługi Inwestora</t>
  </si>
  <si>
    <t>Rewitalizacja Zabytkowego Sródmieścia Kielc - etap I</t>
  </si>
  <si>
    <t>Rewitalizacja Zabytkowego Sródmieścia Kielc - etap II</t>
  </si>
  <si>
    <t xml:space="preserve">E- Świętokrzyskie - budowa sieci światłowodowych wraz z urządzeniami </t>
  </si>
  <si>
    <t>na terenie Miasta Kielce</t>
  </si>
  <si>
    <t xml:space="preserve">E- Świętokrzyskie  Budowa Systemu Informacji Przestrzennej </t>
  </si>
  <si>
    <t>Województwa Świętokrzyskiego</t>
  </si>
  <si>
    <t>Geopark Kielce - Centrum Geoedukacji</t>
  </si>
  <si>
    <t>Rozbudowa ul. Ściegiennego w ciągu drogi krajowej nr 73 w Kielcach</t>
  </si>
  <si>
    <t xml:space="preserve">Budowa węzła drogowego u zbiegu ulic: Armii Krajowej, Żelaznej, </t>
  </si>
  <si>
    <t>Grunwaldzkiej, Żytniej w Kielcach</t>
  </si>
  <si>
    <t xml:space="preserve">Przebudowa i rozbudowa drogi wojewódzkiej nr 762 na odcinku </t>
  </si>
  <si>
    <t>i ul. Armii Krajowej)</t>
  </si>
  <si>
    <t xml:space="preserve">Rewitalizacja Miasta Kielce - przywrócenie przestrzeni publicznej </t>
  </si>
  <si>
    <t xml:space="preserve">Rewitalizacja Śródmieścia Kielc - przebudowa ulic: Wesoła (na odcinku </t>
  </si>
  <si>
    <t>Mickiewicza i Św. Leonarda (na odcinku od Rynku do ul. Wesołej)</t>
  </si>
  <si>
    <t>Bieżące</t>
  </si>
  <si>
    <t>POKL</t>
  </si>
  <si>
    <t>POIG</t>
  </si>
  <si>
    <t>PORPW</t>
  </si>
  <si>
    <t>RPOWŚ</t>
  </si>
  <si>
    <t>Majątkowe</t>
  </si>
  <si>
    <t>Leonardo da Vinci</t>
  </si>
  <si>
    <t>POIŚ</t>
  </si>
  <si>
    <t>Razem</t>
  </si>
  <si>
    <t>własne</t>
  </si>
  <si>
    <t>UE</t>
  </si>
  <si>
    <t>kredyty</t>
  </si>
  <si>
    <t>kredyty poza.</t>
  </si>
  <si>
    <t>własne poza.</t>
  </si>
  <si>
    <t>dotacje i inne</t>
  </si>
  <si>
    <t xml:space="preserve">Uczeń z pasją. Rozwijanie kompetencji kluczowych w powiązaniu z dalszą </t>
  </si>
  <si>
    <t>edukacją i rynkiem pracy</t>
  </si>
  <si>
    <t>Wydatki bieżące</t>
  </si>
  <si>
    <t>w tym:</t>
  </si>
  <si>
    <t>Łączne wydatki</t>
  </si>
  <si>
    <t>Liczba przedsięwzięć</t>
  </si>
  <si>
    <t>Wydatki na przedsięwzięcia majątkowe</t>
  </si>
  <si>
    <t>Wydatki na przedsięwzięcia majątkowe:</t>
  </si>
  <si>
    <t>Program Operacyjny Infrastruktura i Środowisko</t>
  </si>
  <si>
    <t>kredyty poza-             projektowe</t>
  </si>
  <si>
    <t>własne poza-             projektowe</t>
  </si>
  <si>
    <t>Liczba przedsię-wzięć</t>
  </si>
  <si>
    <t>Miejski Ośrodek Pomocy Rodzinie</t>
  </si>
  <si>
    <t>Miejski Urząd Pracy</t>
  </si>
  <si>
    <t>Wydział Edukacji, Kultury i Sportu</t>
  </si>
  <si>
    <t>Wydział Projektów Strukturalnych i Strategii Miasta</t>
  </si>
  <si>
    <t>Wydatki na przedsięwzięcia bieżące</t>
  </si>
  <si>
    <t>Zakład Obsługi i Informatyki Urzędu Miasta</t>
  </si>
  <si>
    <t>Geopark Kielce</t>
  </si>
  <si>
    <t>Kielecki Park Technologiczny</t>
  </si>
  <si>
    <t>Miejski Zarząd Dróg</t>
  </si>
  <si>
    <t>środki własne</t>
  </si>
  <si>
    <t>środki wymienione w art. 5 ust. 1 pkt 2 i 3 ufp</t>
  </si>
  <si>
    <t>środki inne</t>
  </si>
  <si>
    <t>środki własne pozaprojektowe</t>
  </si>
  <si>
    <t>kredyty pozaprojektowe</t>
  </si>
  <si>
    <t xml:space="preserve">Wiedza i gospodarka - rozwój kompetencji naukowych i biznesowych dla </t>
  </si>
  <si>
    <t xml:space="preserve">Europejska Współpraca Terytorialna - Program Komisji Europejskiej </t>
  </si>
  <si>
    <t>Central Europe (Program dla Europy Środkowej)</t>
  </si>
  <si>
    <t>Wspieranie innowacyjności w Europie Środkowej</t>
  </si>
  <si>
    <t>Poprawa Ramowych Warunków dla Innowacji</t>
  </si>
  <si>
    <t xml:space="preserve">Central European Living Lab for Territorial Innovation - CentraLab </t>
  </si>
  <si>
    <t xml:space="preserve">(Środkowoeuropejskie "Żywe laboratorium" w zakresie Innowacji </t>
  </si>
  <si>
    <t>Terytorialnych)</t>
  </si>
  <si>
    <t>2012   2014</t>
  </si>
  <si>
    <t>750      75075</t>
  </si>
  <si>
    <t>Audyt Marketingowy Młodej  Firmy</t>
  </si>
  <si>
    <t>Kręgi Innowacji</t>
  </si>
  <si>
    <t>Działanie 7.2: Przeciwdziałanie wykluczeniu i wzmacnianie sektora</t>
  </si>
  <si>
    <t>ekonomii społecznej</t>
  </si>
  <si>
    <t>Złap okazję</t>
  </si>
  <si>
    <t>2012  2014</t>
  </si>
  <si>
    <t>Pl Novum subsydium</t>
  </si>
  <si>
    <t>2012  2015</t>
  </si>
  <si>
    <t>Rozwój kompetencji kluczowych z przedmiotów matematyczno-</t>
  </si>
  <si>
    <t xml:space="preserve">przyrodniczych, języków obcych i technologii ICT w kontekście dalszej </t>
  </si>
  <si>
    <t>edukacji i rynku pracy</t>
  </si>
  <si>
    <t>Akademia kariery</t>
  </si>
  <si>
    <t xml:space="preserve">Podniesienie kwalifikacji nauczycieli. Doskonalenie metod pracy </t>
  </si>
  <si>
    <t>z dziećmi</t>
  </si>
  <si>
    <t>Kompetentni absolwenci kieleckiego gastronomika</t>
  </si>
  <si>
    <t>Podniesienie jakości kształcenia zawodowego. Zdobywanie nowych</t>
  </si>
  <si>
    <t>umiejętności</t>
  </si>
  <si>
    <t>2012  2013</t>
  </si>
  <si>
    <t>Work it out</t>
  </si>
  <si>
    <t>Podniesienie jakości kształcenia, zdobywanie nowych doświadczeń podczas wizyt w krajach unijnych</t>
  </si>
  <si>
    <t>podczas wizyt w krajach unijnych</t>
  </si>
  <si>
    <t xml:space="preserve">Rozwijanie wśród młodzieży i kadry nauczycielskiej wiedzy </t>
  </si>
  <si>
    <t>o różnorodności kultur i języków europejskich i zrozumienia ich wartości</t>
  </si>
  <si>
    <t>2009  2013</t>
  </si>
  <si>
    <t>2010  2015</t>
  </si>
  <si>
    <t>Rewitalizacja Miasta Kielce - przywrócenie przestrzeni publicznej</t>
  </si>
  <si>
    <t>i otwarcie historycznego obszaru Stadion-Ogród</t>
  </si>
  <si>
    <t>Metropolitalnym - wprowadzenie Systemu Kieleckiej Karty Miejskiej</t>
  </si>
  <si>
    <t>Rozwój systemu komunikacji publicznej w Kieleckim Obszarze Metropolital-</t>
  </si>
  <si>
    <t xml:space="preserve">Zwiększenie aktywizacji zawodowo-społecznej i ułatwienie powrotu/wejścia </t>
  </si>
  <si>
    <t>Wzmocnienie i rozwój usług pośrednictwa pracy i poradnictwa zawodowego</t>
  </si>
  <si>
    <t>2010  2014</t>
  </si>
  <si>
    <t>Priorytet I: Zatrudnienie i integracja społeczna</t>
  </si>
  <si>
    <t>Działanie 1.2: Wsparcie systemowe instytucji pomocy i integracji społecznej</t>
  </si>
  <si>
    <t>Pilotażowe wdrożenie standardów usług w zakresie bezdomności i przetesto-</t>
  </si>
  <si>
    <t>wania Modelu Gminnego Standardu Wychodzenia z Bezdomności przez</t>
  </si>
  <si>
    <t>Kieleckie Partnerstwo Lokalne</t>
  </si>
  <si>
    <t>Wdrożenie standardów usług w zakresie bezdomności i przetestowanie Modelu</t>
  </si>
  <si>
    <t>Pakiet 2 w 1</t>
  </si>
  <si>
    <t>2011  2014</t>
  </si>
  <si>
    <t>Priorytet VI: Rynek pracy otwarty dla wszystkich</t>
  </si>
  <si>
    <t>Wracam do gry</t>
  </si>
  <si>
    <t>Zawodowy Team</t>
  </si>
  <si>
    <t>Działanie 6.2: Wsparcie oraz promocja przedsiębiorczości i samozatrudnienia</t>
  </si>
  <si>
    <t>Biznes na miarę</t>
  </si>
  <si>
    <t>Działanie 9.1: Wyrównanie szans edukacyjnych i zapewnienie wysokiej</t>
  </si>
  <si>
    <t>i społecznych uczniów Zasadniczej Szkoły Zawodowej Nr 8 w Kielcach</t>
  </si>
  <si>
    <t xml:space="preserve">Projekt unijny mający na celu wspieranie umiejętności zawodowych </t>
  </si>
  <si>
    <t>i społecznych uczniów Zasadniczej Szkoły Zawodowej nr 8 w Kielcach</t>
  </si>
  <si>
    <t>Woda leczy, bawi, pracuje, ale szkodzi czasem też</t>
  </si>
  <si>
    <t xml:space="preserve">Projekt mający na celu wymianę młodzieży pomiędzy krajami Unii Europejskiej </t>
  </si>
  <si>
    <t>w celu poznania nowego spojrzenia na wodę</t>
  </si>
  <si>
    <t>Young Europeans Unite for a Sustainability</t>
  </si>
  <si>
    <t xml:space="preserve">Projekt mający na celu zapoznanie dzieci z kulturą innych krajów Unii </t>
  </si>
  <si>
    <t>Europejskiej</t>
  </si>
  <si>
    <t>Nowe szanse dla branży elektronicznej</t>
  </si>
  <si>
    <t xml:space="preserve">Projekt mający na celu wyjazd młodzieży do krajów Unii Europejskiej, gdzie </t>
  </si>
  <si>
    <t>zapoznają się z nowymi rozwiązaniami w branży elektrotechnicznej</t>
  </si>
  <si>
    <t>Trainingabroad a key to a successful career</t>
  </si>
  <si>
    <t>w celu poznania wzajemnych kultur</t>
  </si>
  <si>
    <t>Zagraniczny staż szansą na europejskie kwalifikacje zawodowe uczniów</t>
  </si>
  <si>
    <t xml:space="preserve">Projekt mający na celu wyjazdy zagraniczne młodzieży ZSPG2 w celu </t>
  </si>
  <si>
    <t>podnoszenia kwalifikacji zawodowych</t>
  </si>
  <si>
    <t>2007  2013</t>
  </si>
  <si>
    <t>2005  2013</t>
  </si>
  <si>
    <t>Inne</t>
  </si>
  <si>
    <t>Kwota</t>
  </si>
  <si>
    <t>Dochody ogółem z tytułu realizacji przedsięwzięć współfinansowanych środkami z UE</t>
  </si>
  <si>
    <t>dochody bieżące, w tym:</t>
  </si>
  <si>
    <t>płatności w ramach budżetu środków europejskich</t>
  </si>
  <si>
    <t>środki na realizację programów edukacyjnych „Comenius” i „Leonardo da Vinci”</t>
  </si>
  <si>
    <t>środki na realizację projektu "Rola Miast w zintegrowanym rozwoju regionalnym" w ramach programu URBACT II</t>
  </si>
  <si>
    <t>dochody majątkowe, w tym:</t>
  </si>
  <si>
    <t>dotacje celowe otrzymane na programy finansowane z udziałem środków europejskich oraz środków, o których mowa w art. 5 ust. 1 pkt 3 oraz ust. 3 pkt 5 i 6 ustawy o finansach publicznych</t>
  </si>
  <si>
    <t xml:space="preserve">środki inne </t>
  </si>
  <si>
    <t>Wyszczególnienie</t>
  </si>
  <si>
    <t>Program Operacyjny Innwacyjna Gospodarka</t>
  </si>
  <si>
    <t>Środki na realizację programów edukacyjnych „Comenius” i „Leonardo da Vinci”</t>
  </si>
  <si>
    <t>Środki na realizację projektu "Rola Miast w zintegrowanym rozwoju regionalnym" w ramach programu URBACT II</t>
  </si>
  <si>
    <t>Inne, np. Polsko-Litewski Fundusz Wymiany Młodzieży, Polsko-Niemiecka Współpraca Młodzieży</t>
  </si>
  <si>
    <t>Kwota planu</t>
  </si>
  <si>
    <t>Wydatki na przedsięwzięcia współfinansowane środkami z UE</t>
  </si>
  <si>
    <t>środki własne miasta</t>
  </si>
  <si>
    <t>środki wymienione w art. 5 ust.1 pkt 2 i 3 u.f.p.</t>
  </si>
  <si>
    <t>kredyty, pożyczki i obligacje</t>
  </si>
  <si>
    <t>środki własne miasta pozaprojektowe</t>
  </si>
  <si>
    <t>Wydatki ogółem</t>
  </si>
  <si>
    <t>Rok 2013</t>
  </si>
  <si>
    <t>Wydatki poniesione                do dnia              30.06.2013r.</t>
  </si>
  <si>
    <t>Planowane wydatki                      po zmianach                          na 30.06.2013r.</t>
  </si>
  <si>
    <t>Wykonanie                       na dzień            30.06.2013r.</t>
  </si>
  <si>
    <t>- kredyty pozaprojektowe</t>
  </si>
  <si>
    <t xml:space="preserve">Utworzenie metodologii Żywych Laboratoriów, tj. miejsc, gdzie tworzone </t>
  </si>
  <si>
    <t>są innowacje technologiczne, społeczne i ekonomiczne</t>
  </si>
  <si>
    <t xml:space="preserve">Inwencja II - transfer wiedzy, technologii i innowacyjności wsparciem dla </t>
  </si>
  <si>
    <t xml:space="preserve">kluczowych specjalizacji świętokrzyskiej gospodarki i konkurencyjności </t>
  </si>
  <si>
    <t>przedsiębiorstw</t>
  </si>
  <si>
    <t>Rozwój innowacyjnych kierunków potencjału gospodarczego i kadrowego WŚ</t>
  </si>
  <si>
    <t>2013   2015</t>
  </si>
  <si>
    <t>Perspektywy RSI Swietokrzyskie IV Etap</t>
  </si>
  <si>
    <t>Rozwój innowacyjności firm, poprzez usługi proinnowacyjne, a także rozwój</t>
  </si>
  <si>
    <t>współpracy i wymiany informacji B+R i firm prowadzącej do podniesienia</t>
  </si>
  <si>
    <t xml:space="preserve">ich zdolności do rozwoju, w tym wdrażania rozwiązań innowacyjnych i </t>
  </si>
  <si>
    <t>produktowe, procesowe, organizacyjne i marketingowe</t>
  </si>
  <si>
    <t>generowania nowych miejsc pracy w oparciu o nowoczesne rozwiązania</t>
  </si>
  <si>
    <t xml:space="preserve">Wzmocnienie współpracy środowiska naukowego z przedsiębiorcami </t>
  </si>
  <si>
    <t>w regionie</t>
  </si>
  <si>
    <t>Okno na świat</t>
  </si>
  <si>
    <t>Przeciwdziałanie wykluczeniu cyfrowemu osób znajdujących się w trudnej</t>
  </si>
  <si>
    <t>sytuacji materialnej i niepełnosprawnych ze 150 gospodarstw domowych</t>
  </si>
  <si>
    <t>(GD) na terenie Gminy Kielce</t>
  </si>
  <si>
    <t>Spółdzielnia socjalna - szansa na lepsze życie</t>
  </si>
  <si>
    <t>Poprawa dostepu do zatrudnienia conajmniej 50% osób zagrożonych</t>
  </si>
  <si>
    <t xml:space="preserve">wykluczeniem społecznym, korzystających ze świadczeń MOPR </t>
  </si>
  <si>
    <t>w Kielcach w okresie 01.01.2013-30.06.2014.</t>
  </si>
  <si>
    <t>2013  2014</t>
  </si>
  <si>
    <t xml:space="preserve">Działanie 9.6: Doradztwo dla osób dorosłych w zakresie diagnozy potrzeb </t>
  </si>
  <si>
    <t xml:space="preserve">oraz wyboru kierunków i formy podnoszenia swoich kompetencji i </t>
  </si>
  <si>
    <t>podwyższania kwalifikacji</t>
  </si>
  <si>
    <t>Doradztwo edukacyjne - mamy dla Ciebie szkolenie</t>
  </si>
  <si>
    <t>Stworzenie kompleksowego systemu doradztwa edukacyjnego w Kielcach</t>
  </si>
  <si>
    <t>2013  2015</t>
  </si>
  <si>
    <t xml:space="preserve">Wzrost aktywności oraz integracji społecznej i zawodowej w 2012/2014 </t>
  </si>
  <si>
    <t xml:space="preserve">roku 30 osób (16K i 14M) niepełnosprawnych, bezrobotnych zarejestrowanych </t>
  </si>
  <si>
    <t xml:space="preserve">w MUP Kielce w wieku aktywności zawodowej, zagrożonych wykluczeniem </t>
  </si>
  <si>
    <t>społecznym i zawodowym</t>
  </si>
  <si>
    <t>na rynek pracy kobietom wychowującym dziecko do lat 6-ciu</t>
  </si>
  <si>
    <t xml:space="preserve">w MUP Kielce w latach 2011-2014 poprzez dofinansowanie zatrudnienia 5 </t>
  </si>
  <si>
    <t xml:space="preserve">pośredników pracy i 3 doradców zawodowych oraz podniesienie ich </t>
  </si>
  <si>
    <t>kwalifikacji i kompetencji zawodowch</t>
  </si>
  <si>
    <t>Wzorst aktywności zawodowej oraz zdolności do zatrudnienia 200 osób</t>
  </si>
  <si>
    <t>długotrwale bezrobotnych zarejestrowanych w MUP Kielce w tym 98 K</t>
  </si>
  <si>
    <t>i 102 M w latach 2012-2014</t>
  </si>
  <si>
    <t>Rozwój kadr MUP poprzez podniesienie ich kwalifikacji i umiejętności</t>
  </si>
  <si>
    <t>zawodowych i personalnych</t>
  </si>
  <si>
    <t>Wsparcie oraz promocja przedsiębiorczości i samozatrudnienia</t>
  </si>
  <si>
    <t>MUP jest partnerem projektu realizowanego od maja 2013 roku - stąd niskie wykonanie na dzień 30.06.2013r. Liderem projektu jest Wyższa Szkoła Ekonomii i Prawa im. Prof. Edwarda Lipińskiego</t>
  </si>
  <si>
    <t>Realizacja projektu przebiega prawidłowo. Planowane są zmiany w planie projektu, które zostaną wprowadzone do systemu OTAGO po akceptacji instytucji wdrażającej.</t>
  </si>
  <si>
    <t>Realizacja projektu przebiega zgodnie z harmonogramem. Zmiany dokonane w trakcie roku budżetowego mają związek ze środkami zaoszczędzonymi w roku poprzednim.</t>
  </si>
  <si>
    <t>Realizacja projektu przebiega prawidłowo.</t>
  </si>
  <si>
    <t>Projekt realizowany w partnerstwie z Uniwersytetem J. Kochanowskiego - zgodnie z harmonogramem projektu wydatki w roku 2013 ponoszone są od marca - realizacja przebiega prawidłowo .</t>
  </si>
  <si>
    <t>Działanie 8.2: Drogi krajowe poza siecią TEN-T</t>
  </si>
  <si>
    <t>Oś Priorytetowa 8: Bezpieczeństwo transportu i krajowe sieci</t>
  </si>
  <si>
    <t>transportowe</t>
  </si>
  <si>
    <t>Inwestycja wtrakcie realizacji. Termin zakończenia maj 2015 r.  Wykonywana jest budowa światłowodów przez Miasto. Gazownia będzie budować fragment gazociągu (od strony  miasta do ul. Kalinowej).</t>
  </si>
  <si>
    <t>Budowa pętli autobusowej przy ul. Olszewskiego w rejonie Kieleckiego</t>
  </si>
  <si>
    <t xml:space="preserve"> Parku Technologicznego wraz z przebudową ul. Olszewskiego pod </t>
  </si>
  <si>
    <t>potrzeby buspasów i ścieżki rowerowej</t>
  </si>
  <si>
    <t>Budowa zintegrowanych nowoczesnych peronów przystankowych</t>
  </si>
  <si>
    <t>nym - Budowa bus-pasów w ciągu ulicy Grunwaldzkiej  i al. Szajnowicza-</t>
  </si>
  <si>
    <t xml:space="preserve">Iwanowa w Kielcach na odcinku od ul. Podklasztornej do ul. Massalskiego </t>
  </si>
  <si>
    <t>wraz ze skrzyżowaniem</t>
  </si>
  <si>
    <t>Oś priorytetowa V: Zrównoważony rozwój potencjału turystycznego oparty</t>
  </si>
  <si>
    <t>o warunki naturalne</t>
  </si>
  <si>
    <t>Program Operacyjny Rozwój Polski Wschodniej 2007-2013</t>
  </si>
  <si>
    <t>Działanie 5.2 Trasy rowerowe</t>
  </si>
  <si>
    <t>Trasy rowerowe w Polsce Wschodniej - województwo świętokrzyskie</t>
  </si>
  <si>
    <t>Poprawa infrastruktury rowerowej</t>
  </si>
  <si>
    <t>Metropolitalnym - Budowa bus-pasów w ciągu ulic Tarnowska-Żródłowa</t>
  </si>
  <si>
    <t xml:space="preserve">Al. Solidarności ( na odcinku od ul. Bohaterów Warszawy do </t>
  </si>
  <si>
    <t>Al. Tysiąclecia PP)</t>
  </si>
  <si>
    <t>Rozwój systemu komunikacji publicznej</t>
  </si>
  <si>
    <t xml:space="preserve">Metropolitalnym - budowa pętli autobusowej na Bukówce wraz  </t>
  </si>
  <si>
    <t xml:space="preserve">z parkingiem przesiadkowym i infrastrukturą towarzyszącą oraz budowa </t>
  </si>
  <si>
    <t>pętli manewrowej dla autobusów komunikacji miejskiej przy ul.</t>
  </si>
  <si>
    <t xml:space="preserve"> Sikorskiego</t>
  </si>
  <si>
    <t xml:space="preserve">Cel: </t>
  </si>
  <si>
    <t xml:space="preserve">Metropolitalnym - Uzupełnienie sieci elektronicznej informacji pasażerskiej </t>
  </si>
  <si>
    <t>o 36 tablic przystankowe</t>
  </si>
  <si>
    <t>Program Uczenie się przez całe życie</t>
  </si>
  <si>
    <t>Friendship through Fitness</t>
  </si>
  <si>
    <t xml:space="preserve">Propagowanie osiągnięć sportowych i wymiany informacji o ojczystych </t>
  </si>
  <si>
    <t>krajach. W projekcie biorą udział szkoły z Anglii, Niemiec, Słowacji i Polski.</t>
  </si>
  <si>
    <t xml:space="preserve">Supporting Intercultural Education through Museums: Think, Talk, </t>
  </si>
  <si>
    <t xml:space="preserve">Touch" </t>
  </si>
  <si>
    <t xml:space="preserve"> i zbudowanie w uczniach szkół partnerskich europejskich tożsamości</t>
  </si>
  <si>
    <t>Szkolny Inkubator Umiejętności - wspieranie umiejętności zawodowych</t>
  </si>
  <si>
    <t>2010  2013</t>
  </si>
  <si>
    <t>Europa Dla Obywateli</t>
  </si>
  <si>
    <t>-</t>
  </si>
  <si>
    <t>Aktywni obywatele dla Europy</t>
  </si>
  <si>
    <t>EUC4BIZ</t>
  </si>
  <si>
    <t>Wymiana potrzeb i dobrych praktyk pomiędzy miastami uczestniczącymi</t>
  </si>
  <si>
    <t xml:space="preserve">w Projekcie w zakresie istniejących narzędzi do wspierania </t>
  </si>
  <si>
    <t>przedsiębiorczości</t>
  </si>
  <si>
    <t>150  15011</t>
  </si>
  <si>
    <t>URBACT II</t>
  </si>
  <si>
    <t>Aktywna integracja</t>
  </si>
  <si>
    <t>"JOBTOWN: A European Network of Local Partnerships for the</t>
  </si>
  <si>
    <t>Przeciwdziałania bezrobociu strukturalnemu wśród młodzieży</t>
  </si>
  <si>
    <t>Advancement of Youth Employment and Opportunity</t>
  </si>
  <si>
    <t>150  15013</t>
  </si>
  <si>
    <t>WYDZIAŁ INWESTYCJI</t>
  </si>
  <si>
    <t xml:space="preserve">Rewitalizacja Śródmieścia Kielc - adaptacja budynku przy ul. Kapitulnej 2 </t>
  </si>
  <si>
    <t xml:space="preserve">na potrzeby Biura Wystaw Artystycznych (Przebudowa budynku przy </t>
  </si>
  <si>
    <t xml:space="preserve">ul. Kapitulnej 2 wraz ze zmianą sposobu jego użytkowania) </t>
  </si>
  <si>
    <t>Rozwój bazy dla upowszechniania kultury</t>
  </si>
  <si>
    <t>921  92110</t>
  </si>
  <si>
    <t>Planowane wydatki dotyczą promocji projektu, m.in. zakupu materiałów promocyjnych. Planowana kwota z uwagi na zmiany w harmonogramie rzeczowo – finansowym, będzie wydatkowana w  w drugiej połowie 2013 roku.</t>
  </si>
  <si>
    <t xml:space="preserve">Realizacja wydatków dotyczących tego projektu objęła wydatki związane z:
• aktualizacją ofert inwestycyjnych 
. wykupem publikacji, organizacji konferencji i opłatę not księgowych
Pozostała kwota  będzie wydatkowana w drugiej połowie roku 2013  </t>
  </si>
  <si>
    <t>Planowane wydatki dotyczą promocji projektu, tj. zakupu materiałów promocyjnych. Planowana kwota z uwagi na zmiany w harmonogramie rzeczowo – finansowym, będzie wydatkowana w II połowie 2013 roku.</t>
  </si>
  <si>
    <t>Realizacja wydatków w I pólroczu dotyczących tego projektu objęła wydatki związane ze stworzeniem strony internetowej.  Pozostała kwota  wydatków będzie realizowana w II połowie  2013 roku.</t>
  </si>
  <si>
    <t>Planowane wydatki dotyczą promocji projektu, m.in. zakupu materiałów promocyjnych. Planowana kwota z uwagi na zmiany w harmonogramie rzeczowo – finansowym, będzie wydatkowana w II poł. 2013 roku.</t>
  </si>
  <si>
    <t>Planowane wydatki dotyczace realizacji projektu będą realizowane w II półroczu 2013 r.</t>
  </si>
  <si>
    <t>Wydatki w I półroczu 2013 r. objęły koszty związane z biletami lotniczymi. Reszta  wydatków dotycząca realizacji projektu będzie realizowana w II półroczu 2013 r.</t>
  </si>
  <si>
    <t>Inwestycja w trakcie realizacji. Zaawansowanie robót budowlanych około 60 %. Termin zakończenia robót budowlanych 2.10.2013</t>
  </si>
  <si>
    <t>Dokumentacja w trakcie uzyskiwania pozwolenia na budowę (planowane do 15.07.2013)</t>
  </si>
  <si>
    <t>Przygotowanie przetargu na zlecenie dokumentacji projektowej. Obecnie trwa konkurs na wybór projektu wiat przystankowych - planowane przekazanie dokumentacji 27.07.13 r.</t>
  </si>
  <si>
    <t xml:space="preserve">Dokumentacja w trakcie opracowania. W tym roku przeiwdziana płatność za dokumentację i wykupy gruntów. </t>
  </si>
  <si>
    <t>Inwestycja w trakcie realizacji. Planowany termin zakończenia budowy: wrzesień 2013 r.  Ułożony został światłowód i gaz. Inwestycja jest monitorowana przez MZD. Otwarcie poszczególnych ulic na przełomie lipca i sierpnia.</t>
  </si>
  <si>
    <t>Trwają prace projektowe prowadzone przez Świętokrzyski Zarząd Dróg Wojewódzkich.  Środki zarezerwowane na ewentualny wykup gruntów.</t>
  </si>
  <si>
    <t xml:space="preserve">Inwestycja zakończona. Trwa odbiór robót. </t>
  </si>
  <si>
    <t>Inwestycja w trakcie odbioru.  Termin usunięcia usterek wyznaczono do końca czerwca br. W lipcu komisja odbiorowa sprawdzi usunięcie usterek.</t>
  </si>
  <si>
    <t>Wycinka drzew została częściowo wykonana. Unieważniono przetarg na wykonawcę robót, ponieważ od lutego br. nastąpiła zmiana przepisów, zgodnie z którymi  wszystkie przetargi dofinansowane przez UE będą ogłaszane w TED - dzienniku urzędowym UE.  Wkrótce ogłoszony zostanie przetarg na realizację zadania.</t>
  </si>
  <si>
    <t>Roboty rozpoczęte 11 marca 2013.   Planowane zakończenie prac - listopad 2013 r.  Na ul.: Czerwonego Krzyża, Mickiewicza i Świetego Leonarda prace ziemne zostały wykonane. Przystąpiono do robót drogowych. Na ul. Wesołej trwa budowa kanalizacji.</t>
  </si>
  <si>
    <t>Zadanie zrealizowane</t>
  </si>
  <si>
    <t>Stan zaawansowania prac na dzień 30.06.2013r. : zatrudnionych - 231 osoby, liczba objętych wsparciem - 395,  liczba OP biorących udział w inicjatywach integracyjnych - 395 OP, liczba OP którzy ukończyli kursy i szkolenia zawodowe - 289 OP</t>
  </si>
  <si>
    <t>W trakcie przygotowań jest aneks do umowy projektu, który ma wydłużyć okres realizacji do I kw. 2015r. Bieżące działania to monitoring projektu i wydatki abonentowe za internet i usługę serwisową sprzętu komputerowego.</t>
  </si>
  <si>
    <t>Dnia 14-05-2013r.podpisano umowę na dofinansowanie projektu. W trakcie przygotowań jest rekrutacja uczestników(BO).</t>
  </si>
  <si>
    <t>Do projektu zrekrutowano 20 uczestników, natomiast przystąpiło do niego 15 osób. Uczestnicy przeszli szkolenie dotyczące zakładania podmiotów ekonomii społecznej oraz indywidualne wsparcie doradcze, w czasie którego przygotowywali biznesplany, uczestniczyki również w wyjazdach do spółdzielni socjalnych.</t>
  </si>
  <si>
    <t>3 streetworkerów pomaga os.bezdomnym w przestrzeni publicznej.Prac.soc.realizują zawarte kontrakty socjalne, 11 os.bezdomnych zakończyło realiz.kontr. W V i VI zrealizowano 2 spotk.integr.dla os.bezdomnych, w których uczestniczyło śr.22 osoby. Od III do VI dokonano ewaluacji projektu pilotażowego. W IV zorg.debatę na temat zadłużeń.</t>
  </si>
  <si>
    <t xml:space="preserve">Poniesione wydatki dotyczą m.in.: częściowych kosztów budowy kanalizacji i kabli światłowodowych, kosztów osobowych związanych z zarządzaniem projektem,  kosztów nadzoru inwestorskiego i autorskiego opłat za zajęcie pasa drogowego (dróg będących w zarządzie  GDDK i A). Pozostałe wydatki będą ponoszone w II półroczu br. </t>
  </si>
  <si>
    <t>Gmina Kielce występuje jako Partner Projektu realizowanego przez Lidera - Urząd Marszałkowski. W ramach poniesionych w I -szym półroczu 2013r.  wydatków  zakupiono sprzęt komputerowy i oprogramowanie oraz dokonano instalacji i konfiguracji urządzeń oraz systemów. Realizacja pozostałych podzadań z Projektu, tj. zakup interfejsu wymiany danych geodezyjnych i przeprowadzenie szkoleń uzależniona jest od określenia przez Wykonawcę Geoportalu SIPWŚ specyfikacji formatu wymiany danych. Termin zakończenia i rozliczenia  Projektu został przesunięty przez  Urząd Marszałkowski do 30.06.2014r.</t>
  </si>
  <si>
    <t>Projekt był realizowany od 2007r do 30.06.2012r. Do końca I półrocza 2013 r. na realizację Projektu poniesiono nakłady inwestycyjne na: wynagrodzenie  za przygotowanie dokumentacji technicznej, wykonanie robót budowlanych dot. przebudowy bufetu, zastępstwo inwestycyjne, koncepcję programowo - przestrzenną hali magazynowo - produkcyjnej z zapleczem socjalnym</t>
  </si>
  <si>
    <t>Zrealizowano wszystkie zadania przewidziane w harmonogramie finansowo - rzeczowym projektu. Wydatki poniesiono m.in. na na przygotowanie konferencji, wynagrodzenia dla zespołu projektowego, podróże służbowe, zakup materiałów biurowych oraz zakup usług telekomunikacyjnych.</t>
  </si>
  <si>
    <t xml:space="preserve">Wykonano harmonogram kosztów i aktualizację studium wykonalności. Realizacja budynku została zakończona.  Budynek Centrum Geoedukkacji jest użytkowany.  </t>
  </si>
  <si>
    <t>W I półroczu 2013r. wydatki poniesione zostały m.in. na  wynagrodzenia zespołu projektowego, organizację spotkań w ramach projektu pilotażowego, delegacje członków zespołu na spotkania projektowe, wykonanie materiałów informacyjno-promocyjnych,  wynagrodzenia ekspertów krajowych i zagranicznych, mobilną aplikację dla mikro, małych i średnich przedsiębiorstw.</t>
  </si>
  <si>
    <t xml:space="preserve">Do końca I półrocza 2013r. wydatki poniesiono m.in. na wynagrodzenia zespołu projektowego, ekspertów krajowych,  opracowanie 3 strategii wejścia na rynek nowych wzorniczo produktów, przeprowadzenie wzorniczych audytów technologicznych, usług proinnowacyjnych w formie rebrendingu marki, wyposażenie laboratorium Lab Design w meble. </t>
  </si>
  <si>
    <t xml:space="preserve"> Do końca  I półrocza 2013r. wydatki poniesiono na wynagrodzenia zespołu projektowego wraz z narzutami, wynagrodzenia trenerów szkolenia i doradztwa poszkoleniowego, obsługę prawną, promocje działań projektu w prasie regionalnej oraz wydatki związane z organizacją szkoleń.</t>
  </si>
  <si>
    <t>Okres realizacji projektu 01.05.2013 – 30.04.2015.  W I półroczu 2013r. wydatki poniesione zostały na zakup komputera i oprogramowania oraz na wynagrodzenia zespołu projektowego.</t>
  </si>
  <si>
    <t>Do końca I półrocza 2013r. wydatki poniesiono m.in. na wynagrodzenie zespołu projektowego, obsługę prawną i doradztwo w zakresie PZP, zakup komputerów wraz z oprogramowaniem, zakup drukarki komputerowej, przygotowanie pakietu informacyjnego,przygotowanie koncepcji graficznej dla elementów promocyjno-informacyjnych.</t>
  </si>
  <si>
    <t>W I półroczu 2013r. wydatki poniesione zostały na realizację kampanii promocyjnej, wypłatę dodatków stażowych i ubezpieczenia stażystów oraz wynagrodzenia dla zespołu projektowego.</t>
  </si>
  <si>
    <t>Projekt zakończony w dniu 28.06.2013</t>
  </si>
  <si>
    <t>Projekt w trakcie realizacji</t>
  </si>
  <si>
    <t>Projekt zakończony w dniu 28.02.2013</t>
  </si>
  <si>
    <t xml:space="preserve">Gminnego Standardu Wychodzenia z Bezdomności przez Kieleckie </t>
  </si>
  <si>
    <t>Partnerstwo Lokalne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</si>
  <si>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</si>
  <si>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</si>
  <si>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</si>
  <si>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</si>
  <si>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</si>
  <si>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</si>
  <si>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</si>
  <si>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</si>
  <si>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</si>
  <si>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</si>
  <si>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</si>
  <si>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</si>
  <si>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</si>
  <si>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</si>
  <si>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</si>
  <si>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</si>
  <si>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</si>
  <si>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</si>
  <si>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</si>
  <si>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</si>
  <si>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</si>
  <si>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</si>
  <si>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</si>
  <si>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</si>
  <si>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</si>
  <si>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</si>
  <si>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</si>
  <si>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</si>
  <si>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</si>
  <si>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</si>
  <si>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</si>
  <si>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</si>
  <si>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</si>
  <si>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</si>
  <si>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</si>
  <si>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</si>
  <si>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</si>
  <si>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nym - budowa węzła drogowego u zbiegu ulic: Żelazna, 1 Maja, Zagnańska</t>
  </si>
  <si>
    <t>wraz z przebudową Ronda im. Gustawa Herlinga-Grudzińskiego</t>
  </si>
  <si>
    <t>Wzrost aktywności zawodowej oraz zdolności do zatrudnienia 110 osób w wie-</t>
  </si>
  <si>
    <t>ku 15-24 zarejestrowanych w MUP Kielce w tym 48K i 62 M w latach 2012-2014</t>
  </si>
  <si>
    <t>Wykonano projekty lokalizacji tablic elektronicznych; zapłata za część projektów w II półroczu rb.</t>
  </si>
  <si>
    <t>Wykonano projekty budowlane toalet; zapłata za część projektów w II półroczu br.</t>
  </si>
  <si>
    <t>Realizacja w II półroczu br.</t>
  </si>
  <si>
    <t>Tabela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</si>
</sst>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6.5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4" fontId="7" fillId="5" borderId="6" xfId="0" applyNumberFormat="1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6" fillId="0" borderId="0" xfId="0" applyNumberFormat="1" applyFont="1" applyFill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7" fillId="5" borderId="6" xfId="0" applyNumberFormat="1" applyFont="1" applyFill="1" applyBorder="1" applyAlignment="1">
      <alignment vertical="center"/>
    </xf>
    <xf numFmtId="3" fontId="7" fillId="5" borderId="5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4" fontId="7" fillId="0" borderId="8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" fontId="7" fillId="0" borderId="8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4" fontId="7" fillId="0" borderId="2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3" fontId="7" fillId="7" borderId="2" xfId="0" applyNumberFormat="1" applyFont="1" applyFill="1" applyBorder="1" applyAlignment="1">
      <alignment vertical="center"/>
    </xf>
    <xf numFmtId="4" fontId="7" fillId="7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 wrapText="1"/>
    </xf>
    <xf numFmtId="0" fontId="4" fillId="0" borderId="0" xfId="0" applyFont="1"/>
    <xf numFmtId="4" fontId="0" fillId="0" borderId="0" xfId="0" applyNumberFormat="1"/>
    <xf numFmtId="4" fontId="4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 indent="1"/>
    </xf>
    <xf numFmtId="4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 indent="2"/>
    </xf>
    <xf numFmtId="4" fontId="17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10" fillId="6" borderId="2" xfId="0" applyNumberFormat="1" applyFont="1" applyFill="1" applyBorder="1" applyAlignment="1">
      <alignment horizontal="left" vertical="center" wrapText="1"/>
    </xf>
    <xf numFmtId="4" fontId="3" fillId="6" borderId="5" xfId="0" applyNumberFormat="1" applyFont="1" applyFill="1" applyBorder="1" applyAlignment="1">
      <alignment horizontal="left" vertical="center" wrapText="1"/>
    </xf>
    <xf numFmtId="4" fontId="3" fillId="6" borderId="8" xfId="0" applyNumberFormat="1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left" vertical="center" wrapText="1"/>
    </xf>
    <xf numFmtId="4" fontId="3" fillId="5" borderId="5" xfId="0" applyNumberFormat="1" applyFont="1" applyFill="1" applyBorder="1" applyAlignment="1">
      <alignment horizontal="left" vertical="center" wrapText="1"/>
    </xf>
    <xf numFmtId="4" fontId="3" fillId="5" borderId="8" xfId="0" applyNumberFormat="1" applyFont="1" applyFill="1" applyBorder="1" applyAlignment="1">
      <alignment horizontal="left" vertical="center" wrapText="1"/>
    </xf>
    <xf numFmtId="4" fontId="3" fillId="7" borderId="2" xfId="0" applyNumberFormat="1" applyFont="1" applyFill="1" applyBorder="1" applyAlignment="1">
      <alignment horizontal="left" vertical="center" wrapText="1"/>
    </xf>
    <xf numFmtId="4" fontId="3" fillId="7" borderId="5" xfId="0" applyNumberFormat="1" applyFont="1" applyFill="1" applyBorder="1" applyAlignment="1">
      <alignment horizontal="left" vertical="center" wrapText="1"/>
    </xf>
    <xf numFmtId="4" fontId="3" fillId="7" borderId="8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49" fontId="7" fillId="3" borderId="6" xfId="0" applyNumberFormat="1" applyFont="1" applyFill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9" fontId="7" fillId="6" borderId="6" xfId="0" applyNumberFormat="1" applyFont="1" applyFill="1" applyBorder="1" applyAlignment="1">
      <alignment vertical="center"/>
    </xf>
    <xf numFmtId="49" fontId="7" fillId="6" borderId="7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vertical="center"/>
    </xf>
    <xf numFmtId="3" fontId="5" fillId="7" borderId="5" xfId="0" applyNumberFormat="1" applyFont="1" applyFill="1" applyBorder="1" applyAlignment="1">
      <alignment vertical="center"/>
    </xf>
    <xf numFmtId="3" fontId="7" fillId="7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6" borderId="6" xfId="0" applyNumberFormat="1" applyFont="1" applyFill="1" applyBorder="1" applyAlignment="1">
      <alignment vertical="center"/>
    </xf>
    <xf numFmtId="49" fontId="7" fillId="6" borderId="7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20"/>
      <c:depthPercent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1.4958621975531734E-2"/>
                  <c:y val="2.13211984865528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3430479659987894E-2"/>
                  <c:y val="-2.1645021645021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6429872495446582E-2"/>
                  <c:y val="8.657667791526074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'Arkusz3 (2)'!$D$2:$F$2</c:f>
              <c:strCache>
                <c:ptCount val="3"/>
                <c:pt idx="0">
                  <c:v>środki własne</c:v>
                </c:pt>
                <c:pt idx="1">
                  <c:v>środki wymienione w art. 5 ust. 1 pkt 2 i 3 ufp</c:v>
                </c:pt>
                <c:pt idx="2">
                  <c:v>środki inne</c:v>
                </c:pt>
              </c:strCache>
            </c:strRef>
          </c:cat>
          <c:val>
            <c:numRef>
              <c:f>'Arkusz3 (2)'!$D$3:$F$3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sz="1200">
              <a:latin typeface="Times New Roman" pitchFamily="18" charset="0"/>
              <a:cs typeface="Times New Roman" pitchFamily="18" charset="0"/>
            </a:defRPr>
          </a:pPr>
          <a:endParaRPr lang="pl-PL"/>
        </a:p>
      </c:txPr>
    </c:legend>
    <c:plotVisOnly val="1"/>
    <c:dispBlanksAs val="zero"/>
    <c:showDLblsOverMax val="0"/>
  </c:chart>
  <c:spPr>
    <a:ln w="0"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8.4521908810844364E-3"/>
                  <c:y val="-4.11159963656974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91334041897581E-2"/>
                  <c:y val="2.9368568832640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4381762168887E-2"/>
                  <c:y val="2.64317119493772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678286321626386E-2"/>
                  <c:y val="2.64317119493772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3243524922981908E-2"/>
                  <c:y val="5.87371376652820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260954405422034E-3"/>
                  <c:y val="6.4610851431810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1843622489216802E-2"/>
                  <c:y val="3.52422825991695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'Arkusz3 (2)'!$A$4:$A$10</c:f>
              <c:strCache>
                <c:ptCount val="7"/>
                <c:pt idx="0">
                  <c:v>POKL</c:v>
                </c:pt>
                <c:pt idx="1">
                  <c:v>POIG</c:v>
                </c:pt>
                <c:pt idx="2">
                  <c:v>Leonardo da Vinci</c:v>
                </c:pt>
                <c:pt idx="3">
                  <c:v>Comenius</c:v>
                </c:pt>
                <c:pt idx="4">
                  <c:v>Inne</c:v>
                </c:pt>
                <c:pt idx="5">
                  <c:v>PORPW</c:v>
                </c:pt>
                <c:pt idx="6">
                  <c:v>RPOWŚ</c:v>
                </c:pt>
              </c:strCache>
            </c:strRef>
          </c:cat>
          <c:val>
            <c:numRef>
              <c:f>'Arkusz3 (2)'!$C$4:$C$10</c:f>
              <c:numCache>
                <c:formatCode>#,##0.00</c:formatCode>
                <c:ptCount val="7"/>
                <c:pt idx="0">
                  <c:v>0</c:v>
                </c:pt>
                <c:pt idx="1">
                  <c:v>158341.03999999998</c:v>
                </c:pt>
                <c:pt idx="2">
                  <c:v>0</c:v>
                </c:pt>
                <c:pt idx="3">
                  <c:v>0</c:v>
                </c:pt>
                <c:pt idx="4">
                  <c:v>130951.36</c:v>
                </c:pt>
                <c:pt idx="5">
                  <c:v>352293.77999999997</c:v>
                </c:pt>
                <c:pt idx="6">
                  <c:v>7862.9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sz="1100">
              <a:latin typeface="Times New Roman" pitchFamily="18" charset="0"/>
              <a:cs typeface="Times New Roman" pitchFamily="18" charset="0"/>
            </a:defRPr>
          </a:pPr>
          <a:endParaRPr lang="pl-PL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4"/>
          <c:dLbls>
            <c:dLbl>
              <c:idx val="0"/>
              <c:layout>
                <c:manualLayout>
                  <c:x val="-4.8859057648558551E-2"/>
                  <c:y val="3.5374145525740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125275576443451E-2"/>
                  <c:y val="-6.431662822861980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024608330625048E-2"/>
                  <c:y val="1.60791570571546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8411628125963024E-2"/>
                  <c:y val="2.89424827028784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4899326891827474E-2"/>
                  <c:y val="5.46691339943259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5592839720673652E-2"/>
                  <c:y val="3.858997693717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'Arkusz4 (2)'!$D$11:$I$11</c:f>
              <c:strCache>
                <c:ptCount val="6"/>
                <c:pt idx="0">
                  <c:v>środki własne</c:v>
                </c:pt>
                <c:pt idx="1">
                  <c:v>środki wymienione w art. 5 ust. 1 pkt 2 i 3 ufp</c:v>
                </c:pt>
                <c:pt idx="2">
                  <c:v>kredyty</c:v>
                </c:pt>
                <c:pt idx="3">
                  <c:v>środki inne</c:v>
                </c:pt>
                <c:pt idx="4">
                  <c:v>kredyty pozaprojektowe</c:v>
                </c:pt>
                <c:pt idx="5">
                  <c:v>środki własne pozaprojektowe</c:v>
                </c:pt>
              </c:strCache>
            </c:strRef>
          </c:cat>
          <c:val>
            <c:numRef>
              <c:f>'Arkusz4 (2)'!$D$12:$I$12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9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0"/>
          <c:dLbls>
            <c:dLbl>
              <c:idx val="0"/>
              <c:layout>
                <c:manualLayout>
                  <c:x val="-2.2222222222222251E-2"/>
                  <c:y val="1.52380952380952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666666666666701E-2"/>
                  <c:y val="-2.66666666666666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88888888888889E-2"/>
                  <c:y val="7.61904761904766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0555555555555582E-2"/>
                  <c:y val="3.42854143232096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000000000000001E-2"/>
                  <c:y val="2.28571428571429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'Arkusz4 (2)'!$A$13:$A$17</c:f>
              <c:strCache>
                <c:ptCount val="5"/>
                <c:pt idx="0">
                  <c:v>Program Operacyjny Rozwój Polski Wschodniej</c:v>
                </c:pt>
                <c:pt idx="1">
                  <c:v>Regionalny Program Operacyjny Województwa Świętokrzyskiego</c:v>
                </c:pt>
                <c:pt idx="2">
                  <c:v>Program Operacyjny Infrastruktura i Środowisko</c:v>
                </c:pt>
                <c:pt idx="3">
                  <c:v>Program Operacyjny Innowacyjna Gospodarka</c:v>
                </c:pt>
                <c:pt idx="4">
                  <c:v>Program Operacyjny Kapitał Ludzki</c:v>
                </c:pt>
              </c:strCache>
            </c:strRef>
          </c:cat>
          <c:val>
            <c:numRef>
              <c:f>'Arkusz4 (2)'!$C$13:$C$17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1750139.65</c:v>
                </c:pt>
                <c:pt idx="3">
                  <c:v>3000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11</xdr:row>
      <xdr:rowOff>47625</xdr:rowOff>
    </xdr:from>
    <xdr:to>
      <xdr:col>17</xdr:col>
      <xdr:colOff>95250</xdr:colOff>
      <xdr:row>29</xdr:row>
      <xdr:rowOff>66675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17</xdr:row>
      <xdr:rowOff>57149</xdr:rowOff>
    </xdr:from>
    <xdr:to>
      <xdr:col>7</xdr:col>
      <xdr:colOff>190500</xdr:colOff>
      <xdr:row>44</xdr:row>
      <xdr:rowOff>9525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161192</xdr:colOff>
      <xdr:row>17</xdr:row>
      <xdr:rowOff>0</xdr:rowOff>
    </xdr:from>
    <xdr:to>
      <xdr:col>18</xdr:col>
      <xdr:colOff>146539</xdr:colOff>
      <xdr:row>43</xdr:row>
      <xdr:rowOff>139212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73271</xdr:colOff>
      <xdr:row>19</xdr:row>
      <xdr:rowOff>29308</xdr:rowOff>
    </xdr:from>
    <xdr:to>
      <xdr:col>7</xdr:col>
      <xdr:colOff>285751</xdr:colOff>
      <xdr:row>41</xdr:row>
      <xdr:rowOff>139212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ypych\AppData\Local\Microsoft\Windows\Temporary%20Internet%20Files\Content.Outlook\GCVM77KW\Tabela_Nr_9_pozosta&#322;e_unijne%20-%20rocz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ta\AppData\Local\Microsoft\Windows\Temporary%20Internet%20Files\Content.Outlook\IL5WC2HP\EKS%20-%20unij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ta\AppData\Local\Microsoft\Windows\Temporary%20Internet%20Files\Content.Outlook\IL5WC2HP\Sprawdzenie%20kwot%20%202012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9"/>
    </sheetNames>
    <sheetDataSet>
      <sheetData sheetId="0">
        <row r="24">
          <cell r="H24">
            <v>7329.54</v>
          </cell>
        </row>
        <row r="32">
          <cell r="G32">
            <v>0</v>
          </cell>
          <cell r="H32">
            <v>0</v>
          </cell>
        </row>
        <row r="33">
          <cell r="G33">
            <v>7339</v>
          </cell>
          <cell r="H33">
            <v>7329.54</v>
          </cell>
        </row>
        <row r="34">
          <cell r="G34">
            <v>0</v>
          </cell>
          <cell r="H34">
            <v>0</v>
          </cell>
        </row>
        <row r="46">
          <cell r="H46">
            <v>417972.99</v>
          </cell>
        </row>
        <row r="47">
          <cell r="H47">
            <v>461888.22000000003</v>
          </cell>
        </row>
        <row r="48">
          <cell r="H48">
            <v>4985.22</v>
          </cell>
        </row>
        <row r="52">
          <cell r="H52">
            <v>855122.52</v>
          </cell>
        </row>
        <row r="60">
          <cell r="G60">
            <v>0</v>
          </cell>
          <cell r="H60">
            <v>0</v>
          </cell>
        </row>
        <row r="61">
          <cell r="G61">
            <v>21899</v>
          </cell>
          <cell r="H61">
            <v>18680.990000000002</v>
          </cell>
        </row>
        <row r="62">
          <cell r="G62">
            <v>3865</v>
          </cell>
          <cell r="H62">
            <v>3296.65</v>
          </cell>
        </row>
        <row r="67">
          <cell r="G67">
            <v>1175646</v>
          </cell>
          <cell r="H67">
            <v>417972.99</v>
          </cell>
        </row>
        <row r="68">
          <cell r="G68">
            <v>1135200</v>
          </cell>
          <cell r="H68">
            <v>405202.74</v>
          </cell>
        </row>
        <row r="73">
          <cell r="H73">
            <v>9969.1500000000015</v>
          </cell>
        </row>
        <row r="74">
          <cell r="G74">
            <v>0</v>
          </cell>
          <cell r="H74">
            <v>0</v>
          </cell>
        </row>
        <row r="75">
          <cell r="G75">
            <v>93500</v>
          </cell>
          <cell r="H75">
            <v>8473.7800000000007</v>
          </cell>
        </row>
        <row r="76">
          <cell r="G76">
            <v>16500</v>
          </cell>
          <cell r="H76">
            <v>1495.37</v>
          </cell>
        </row>
        <row r="95">
          <cell r="G95">
            <v>0</v>
          </cell>
          <cell r="H95">
            <v>0</v>
          </cell>
        </row>
        <row r="96">
          <cell r="G96">
            <v>29533</v>
          </cell>
          <cell r="H96">
            <v>29530.71</v>
          </cell>
        </row>
        <row r="97">
          <cell r="G97">
            <v>195</v>
          </cell>
          <cell r="H97">
            <v>193.2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dsiewziecia UE"/>
      <sheetName val="Arkusz1"/>
    </sheetNames>
    <sheetDataSet>
      <sheetData sheetId="0">
        <row r="207">
          <cell r="L207">
            <v>8876</v>
          </cell>
          <cell r="M207">
            <v>8871.65</v>
          </cell>
        </row>
        <row r="208">
          <cell r="L208">
            <v>5500</v>
          </cell>
          <cell r="M208">
            <v>5495.65</v>
          </cell>
        </row>
        <row r="211">
          <cell r="L211">
            <v>3376</v>
          </cell>
          <cell r="M211">
            <v>3376</v>
          </cell>
        </row>
        <row r="214">
          <cell r="M214">
            <v>1044.24</v>
          </cell>
        </row>
        <row r="215">
          <cell r="L215">
            <v>0</v>
          </cell>
          <cell r="M215">
            <v>0</v>
          </cell>
        </row>
        <row r="218">
          <cell r="L218">
            <v>1440</v>
          </cell>
          <cell r="M218">
            <v>1044.24</v>
          </cell>
        </row>
        <row r="221">
          <cell r="M221">
            <v>715.2</v>
          </cell>
        </row>
        <row r="222">
          <cell r="L222">
            <v>0</v>
          </cell>
          <cell r="M222">
            <v>0</v>
          </cell>
        </row>
        <row r="225">
          <cell r="L225">
            <v>1440</v>
          </cell>
          <cell r="M225">
            <v>715.2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/>
      <sheetData sheetId="1">
        <row r="8">
          <cell r="G8">
            <v>271072939</v>
          </cell>
          <cell r="H8">
            <v>162230791.76000005</v>
          </cell>
        </row>
        <row r="12">
          <cell r="H12">
            <v>9889675.1500000022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1"/>
  <sheetViews>
    <sheetView tabSelected="1" zoomScaleNormal="100" zoomScaleSheetLayoutView="115" workbookViewId="0">
      <selection activeCell="P14" sqref="P14"/>
    </sheetView>
  </sheetViews>
  <sheetFormatPr defaultRowHeight="11.25" outlineLevelRow="1" x14ac:dyDescent="0.2"/>
  <cols>
    <col min="1" max="1" width="2.85546875" style="15" customWidth="1"/>
    <col min="2" max="2" width="7" style="15" customWidth="1"/>
    <col min="3" max="3" width="55.42578125" style="15" customWidth="1"/>
    <col min="4" max="4" width="4.7109375" style="9" customWidth="1"/>
    <col min="5" max="5" width="5.7109375" style="9" customWidth="1"/>
    <col min="6" max="6" width="33.85546875" style="15" customWidth="1"/>
    <col min="7" max="7" width="11.28515625" style="15" bestFit="1" customWidth="1"/>
    <col min="8" max="8" width="11.28515625" style="15" customWidth="1"/>
    <col min="9" max="9" width="6.7109375" style="15" customWidth="1"/>
    <col min="10" max="10" width="10.42578125" style="15" customWidth="1"/>
    <col min="11" max="11" width="9.7109375" style="15" customWidth="1"/>
    <col min="12" max="12" width="10.42578125" style="15" customWidth="1"/>
    <col min="13" max="13" width="11.7109375" style="15" customWidth="1"/>
    <col min="14" max="14" width="6.7109375" style="15" customWidth="1"/>
    <col min="15" max="15" width="25.42578125" style="334" customWidth="1"/>
    <col min="16" max="16384" width="9.140625" style="96"/>
  </cols>
  <sheetData>
    <row r="1" spans="1:15" s="1" customFormat="1" ht="12.75" customHeight="1" x14ac:dyDescent="0.2">
      <c r="C1" s="201"/>
      <c r="D1" s="201"/>
      <c r="O1" s="200" t="s">
        <v>555</v>
      </c>
    </row>
    <row r="2" spans="1:15" s="1" customFormat="1" ht="14.25" customHeight="1" x14ac:dyDescent="0.2">
      <c r="C2" s="201"/>
      <c r="D2" s="201"/>
      <c r="H2" s="15"/>
      <c r="N2" s="15"/>
      <c r="O2" s="200"/>
    </row>
    <row r="3" spans="1:15" ht="14.25" customHeight="1" x14ac:dyDescent="0.2">
      <c r="A3" s="202" t="s">
        <v>16</v>
      </c>
      <c r="O3" s="108"/>
    </row>
    <row r="4" spans="1:15" s="104" customFormat="1" ht="15" customHeight="1" x14ac:dyDescent="0.2">
      <c r="A4" s="421" t="s">
        <v>17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</row>
    <row r="5" spans="1:15" s="104" customFormat="1" ht="15" customHeight="1" x14ac:dyDescent="0.2">
      <c r="A5" s="421" t="s">
        <v>18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</row>
    <row r="6" spans="1:15" ht="15.95" customHeight="1" x14ac:dyDescent="0.2">
      <c r="N6" s="40"/>
      <c r="O6" s="316" t="s">
        <v>4</v>
      </c>
    </row>
    <row r="7" spans="1:15" ht="15.95" customHeight="1" x14ac:dyDescent="0.2">
      <c r="A7" s="426" t="s">
        <v>5</v>
      </c>
      <c r="B7" s="426" t="s">
        <v>19</v>
      </c>
      <c r="C7" s="426"/>
      <c r="D7" s="427" t="s">
        <v>26</v>
      </c>
      <c r="E7" s="427" t="s">
        <v>29</v>
      </c>
      <c r="F7" s="426" t="s">
        <v>25</v>
      </c>
      <c r="G7" s="426"/>
      <c r="H7" s="426"/>
      <c r="I7" s="426"/>
      <c r="J7" s="418" t="s">
        <v>361</v>
      </c>
      <c r="K7" s="419"/>
      <c r="L7" s="419"/>
      <c r="M7" s="419"/>
      <c r="N7" s="419"/>
      <c r="O7" s="420"/>
    </row>
    <row r="8" spans="1:15" s="97" customFormat="1" ht="47.25" customHeight="1" x14ac:dyDescent="0.2">
      <c r="A8" s="426"/>
      <c r="B8" s="426"/>
      <c r="C8" s="426"/>
      <c r="D8" s="427"/>
      <c r="E8" s="427"/>
      <c r="F8" s="2" t="s">
        <v>6</v>
      </c>
      <c r="G8" s="3" t="s">
        <v>24</v>
      </c>
      <c r="H8" s="293" t="s">
        <v>362</v>
      </c>
      <c r="I8" s="190" t="s">
        <v>46</v>
      </c>
      <c r="J8" s="3" t="s">
        <v>14</v>
      </c>
      <c r="K8" s="3" t="s">
        <v>30</v>
      </c>
      <c r="L8" s="293" t="s">
        <v>363</v>
      </c>
      <c r="M8" s="293" t="s">
        <v>364</v>
      </c>
      <c r="N8" s="190" t="s">
        <v>47</v>
      </c>
      <c r="O8" s="102" t="s">
        <v>0</v>
      </c>
    </row>
    <row r="9" spans="1:15" s="99" customFormat="1" ht="12" customHeight="1" x14ac:dyDescent="0.2">
      <c r="A9" s="4" t="s">
        <v>32</v>
      </c>
      <c r="B9" s="422" t="s">
        <v>33</v>
      </c>
      <c r="C9" s="423"/>
      <c r="D9" s="4" t="s">
        <v>34</v>
      </c>
      <c r="E9" s="4" t="s">
        <v>35</v>
      </c>
      <c r="F9" s="4" t="s">
        <v>36</v>
      </c>
      <c r="G9" s="4" t="s">
        <v>37</v>
      </c>
      <c r="H9" s="4" t="s">
        <v>38</v>
      </c>
      <c r="I9" s="4" t="s">
        <v>39</v>
      </c>
      <c r="J9" s="4" t="s">
        <v>40</v>
      </c>
      <c r="K9" s="4" t="s">
        <v>31</v>
      </c>
      <c r="L9" s="5" t="s">
        <v>41</v>
      </c>
      <c r="M9" s="5" t="s">
        <v>42</v>
      </c>
      <c r="N9" s="4" t="s">
        <v>43</v>
      </c>
      <c r="O9" s="103" t="s">
        <v>44</v>
      </c>
    </row>
    <row r="10" spans="1:15" s="98" customFormat="1" ht="3.95" customHeight="1" outlineLevel="1" x14ac:dyDescent="0.2">
      <c r="A10" s="6"/>
      <c r="B10" s="7"/>
      <c r="C10" s="8"/>
      <c r="D10" s="6"/>
      <c r="E10" s="6"/>
      <c r="F10" s="6"/>
      <c r="G10" s="6"/>
      <c r="H10" s="6"/>
      <c r="I10" s="6"/>
      <c r="J10" s="100"/>
      <c r="K10" s="100"/>
      <c r="L10" s="101"/>
      <c r="M10" s="101"/>
      <c r="N10" s="100"/>
      <c r="O10" s="317"/>
    </row>
    <row r="11" spans="1:15" ht="11.45" customHeight="1" outlineLevel="1" x14ac:dyDescent="0.2">
      <c r="A11" s="10" t="s">
        <v>3</v>
      </c>
      <c r="B11" s="424" t="s">
        <v>20</v>
      </c>
      <c r="C11" s="425"/>
      <c r="D11" s="11"/>
      <c r="E11" s="11"/>
      <c r="F11" s="12"/>
      <c r="G11" s="125">
        <f>SUM(G12:G17)</f>
        <v>785958772</v>
      </c>
      <c r="H11" s="125">
        <f>SUM(H12:H17)</f>
        <v>394200776</v>
      </c>
      <c r="I11" s="14">
        <f t="shared" ref="I11:I17" si="0">IF(G11&gt;0,H11/G11*100,"-")</f>
        <v>50.155401281022918</v>
      </c>
      <c r="J11" s="125">
        <f>SUM(J12:J17)</f>
        <v>198977475</v>
      </c>
      <c r="K11" s="125">
        <f>SUM(K12:K17)</f>
        <v>40764169</v>
      </c>
      <c r="L11" s="125">
        <f>SUM(L12:L17)</f>
        <v>239741644</v>
      </c>
      <c r="M11" s="13">
        <f>SUM(M12:M17)</f>
        <v>48883203.449999996</v>
      </c>
      <c r="N11" s="14">
        <f t="shared" ref="N11:N17" si="1">IF(L11&gt;0,M11/L11*100,"-")</f>
        <v>20.389950879789577</v>
      </c>
      <c r="O11" s="318"/>
    </row>
    <row r="12" spans="1:15" ht="11.45" customHeight="1" outlineLevel="1" x14ac:dyDescent="0.2">
      <c r="A12" s="12"/>
      <c r="B12" s="412" t="s">
        <v>15</v>
      </c>
      <c r="C12" s="413"/>
      <c r="D12" s="11"/>
      <c r="E12" s="11"/>
      <c r="F12" s="16"/>
      <c r="G12" s="126">
        <f t="shared" ref="G12:H17" si="2">G21+G564</f>
        <v>133841938</v>
      </c>
      <c r="H12" s="126">
        <f t="shared" si="2"/>
        <v>35234940</v>
      </c>
      <c r="I12" s="18">
        <f t="shared" si="0"/>
        <v>26.325784374102533</v>
      </c>
      <c r="J12" s="126">
        <f t="shared" ref="J12:M17" si="3">J21+J564</f>
        <v>17140419</v>
      </c>
      <c r="K12" s="126">
        <f t="shared" si="3"/>
        <v>22270138</v>
      </c>
      <c r="L12" s="126">
        <f t="shared" si="3"/>
        <v>39410557</v>
      </c>
      <c r="M12" s="17">
        <f t="shared" si="3"/>
        <v>7687493.4700000007</v>
      </c>
      <c r="N12" s="18">
        <f t="shared" si="1"/>
        <v>19.506178179618221</v>
      </c>
      <c r="O12" s="318"/>
    </row>
    <row r="13" spans="1:15" ht="11.45" customHeight="1" outlineLevel="1" x14ac:dyDescent="0.2">
      <c r="A13" s="12"/>
      <c r="B13" s="414" t="s">
        <v>7</v>
      </c>
      <c r="C13" s="415"/>
      <c r="D13" s="11"/>
      <c r="E13" s="11"/>
      <c r="F13" s="16"/>
      <c r="G13" s="126">
        <f t="shared" si="2"/>
        <v>452446465</v>
      </c>
      <c r="H13" s="126">
        <f t="shared" si="2"/>
        <v>220518979</v>
      </c>
      <c r="I13" s="18">
        <f t="shared" si="0"/>
        <v>48.739242332239243</v>
      </c>
      <c r="J13" s="126">
        <f t="shared" si="3"/>
        <v>121828246</v>
      </c>
      <c r="K13" s="126">
        <f t="shared" si="3"/>
        <v>1730971</v>
      </c>
      <c r="L13" s="126">
        <f t="shared" si="3"/>
        <v>123559217</v>
      </c>
      <c r="M13" s="17">
        <f t="shared" si="3"/>
        <v>24222611.999999996</v>
      </c>
      <c r="N13" s="18">
        <f t="shared" si="1"/>
        <v>19.604051068080171</v>
      </c>
      <c r="O13" s="318"/>
    </row>
    <row r="14" spans="1:15" ht="11.45" customHeight="1" outlineLevel="1" x14ac:dyDescent="0.2">
      <c r="A14" s="12"/>
      <c r="B14" s="412" t="s">
        <v>8</v>
      </c>
      <c r="C14" s="413"/>
      <c r="D14" s="11"/>
      <c r="E14" s="11"/>
      <c r="F14" s="16"/>
      <c r="G14" s="126">
        <f t="shared" si="2"/>
        <v>173340183</v>
      </c>
      <c r="H14" s="126">
        <f t="shared" si="2"/>
        <v>126705745</v>
      </c>
      <c r="I14" s="18">
        <f t="shared" si="0"/>
        <v>73.096579689199942</v>
      </c>
      <c r="J14" s="126">
        <f t="shared" si="3"/>
        <v>48204297</v>
      </c>
      <c r="K14" s="126">
        <f t="shared" si="3"/>
        <v>11964665</v>
      </c>
      <c r="L14" s="126">
        <f t="shared" si="3"/>
        <v>60168962</v>
      </c>
      <c r="M14" s="17">
        <f t="shared" si="3"/>
        <v>13534521.050000001</v>
      </c>
      <c r="N14" s="18">
        <f t="shared" si="1"/>
        <v>22.494190692536794</v>
      </c>
      <c r="O14" s="318"/>
    </row>
    <row r="15" spans="1:15" ht="11.45" customHeight="1" outlineLevel="1" x14ac:dyDescent="0.2">
      <c r="A15" s="12"/>
      <c r="B15" s="412" t="s">
        <v>22</v>
      </c>
      <c r="C15" s="413"/>
      <c r="D15" s="11"/>
      <c r="E15" s="11"/>
      <c r="F15" s="16"/>
      <c r="G15" s="126">
        <f t="shared" si="2"/>
        <v>10289416</v>
      </c>
      <c r="H15" s="126">
        <f t="shared" si="2"/>
        <v>5253248</v>
      </c>
      <c r="I15" s="18">
        <f t="shared" si="0"/>
        <v>51.054870363876823</v>
      </c>
      <c r="J15" s="126">
        <f t="shared" si="3"/>
        <v>4012207</v>
      </c>
      <c r="K15" s="126">
        <f t="shared" si="3"/>
        <v>511563</v>
      </c>
      <c r="L15" s="126">
        <f t="shared" si="3"/>
        <v>4523770</v>
      </c>
      <c r="M15" s="17">
        <f t="shared" si="3"/>
        <v>638389.4</v>
      </c>
      <c r="N15" s="18">
        <f t="shared" si="1"/>
        <v>14.11188897755633</v>
      </c>
      <c r="O15" s="318"/>
    </row>
    <row r="16" spans="1:15" ht="11.45" customHeight="1" outlineLevel="1" x14ac:dyDescent="0.2">
      <c r="A16" s="12"/>
      <c r="B16" s="375" t="s">
        <v>45</v>
      </c>
      <c r="C16" s="376"/>
      <c r="D16" s="11"/>
      <c r="E16" s="11"/>
      <c r="F16" s="16"/>
      <c r="G16" s="126">
        <f t="shared" si="2"/>
        <v>14957503</v>
      </c>
      <c r="H16" s="126">
        <f t="shared" si="2"/>
        <v>5262266</v>
      </c>
      <c r="I16" s="18">
        <f t="shared" si="0"/>
        <v>35.181447063724477</v>
      </c>
      <c r="J16" s="126">
        <f t="shared" si="3"/>
        <v>7792306</v>
      </c>
      <c r="K16" s="126">
        <f t="shared" si="3"/>
        <v>4286832</v>
      </c>
      <c r="L16" s="126">
        <f t="shared" si="3"/>
        <v>12079138</v>
      </c>
      <c r="M16" s="17">
        <f t="shared" si="3"/>
        <v>2800187.5300000003</v>
      </c>
      <c r="N16" s="18">
        <f t="shared" si="1"/>
        <v>23.182014560972814</v>
      </c>
      <c r="O16" s="318"/>
    </row>
    <row r="17" spans="1:15" ht="11.45" customHeight="1" outlineLevel="1" x14ac:dyDescent="0.2">
      <c r="A17" s="12"/>
      <c r="B17" s="375" t="s">
        <v>365</v>
      </c>
      <c r="C17" s="376"/>
      <c r="D17" s="11"/>
      <c r="E17" s="11"/>
      <c r="F17" s="16"/>
      <c r="G17" s="126">
        <f t="shared" si="2"/>
        <v>1083267</v>
      </c>
      <c r="H17" s="126">
        <f t="shared" si="2"/>
        <v>1225598</v>
      </c>
      <c r="I17" s="18">
        <f t="shared" si="0"/>
        <v>113.13905066802552</v>
      </c>
      <c r="J17" s="126">
        <f t="shared" si="3"/>
        <v>0</v>
      </c>
      <c r="K17" s="126">
        <f t="shared" si="3"/>
        <v>0</v>
      </c>
      <c r="L17" s="126">
        <f t="shared" si="3"/>
        <v>0</v>
      </c>
      <c r="M17" s="17">
        <f t="shared" si="3"/>
        <v>0</v>
      </c>
      <c r="N17" s="18" t="str">
        <f t="shared" si="1"/>
        <v>-</v>
      </c>
      <c r="O17" s="318"/>
    </row>
    <row r="18" spans="1:15" ht="3.95" customHeight="1" outlineLevel="1" x14ac:dyDescent="0.2">
      <c r="A18" s="41"/>
      <c r="B18" s="42"/>
      <c r="C18" s="43"/>
      <c r="D18" s="44"/>
      <c r="E18" s="44"/>
      <c r="F18" s="41"/>
      <c r="G18" s="127"/>
      <c r="H18" s="127"/>
      <c r="I18" s="41"/>
      <c r="J18" s="127"/>
      <c r="K18" s="127"/>
      <c r="L18" s="127"/>
      <c r="M18" s="45"/>
      <c r="N18" s="46"/>
      <c r="O18" s="319"/>
    </row>
    <row r="19" spans="1:15" ht="3.95" customHeight="1" outlineLevel="1" x14ac:dyDescent="0.2">
      <c r="A19" s="47"/>
      <c r="B19" s="48"/>
      <c r="C19" s="49"/>
      <c r="D19" s="50"/>
      <c r="E19" s="50"/>
      <c r="F19" s="47"/>
      <c r="G19" s="128"/>
      <c r="H19" s="128"/>
      <c r="I19" s="47"/>
      <c r="J19" s="128"/>
      <c r="K19" s="128"/>
      <c r="L19" s="128"/>
      <c r="M19" s="51"/>
      <c r="N19" s="52"/>
      <c r="O19" s="320"/>
    </row>
    <row r="20" spans="1:15" ht="11.45" customHeight="1" outlineLevel="1" x14ac:dyDescent="0.2">
      <c r="A20" s="19" t="s">
        <v>2</v>
      </c>
      <c r="B20" s="416" t="s">
        <v>21</v>
      </c>
      <c r="C20" s="417"/>
      <c r="D20" s="20"/>
      <c r="E20" s="20"/>
      <c r="F20" s="21"/>
      <c r="G20" s="129">
        <f>SUM(G21:G26)</f>
        <v>42679651</v>
      </c>
      <c r="H20" s="129">
        <f>SUM(H21:H26)</f>
        <v>26117115</v>
      </c>
      <c r="I20" s="23">
        <f t="shared" ref="I20:I26" si="4">IF(G20&gt;0,H20/G20*100,"-")</f>
        <v>61.193365897017294</v>
      </c>
      <c r="J20" s="129">
        <f>SUM(J21:J26)</f>
        <v>10735396</v>
      </c>
      <c r="K20" s="129">
        <f>SUM(K21:K26)</f>
        <v>5837270</v>
      </c>
      <c r="L20" s="129">
        <f>SUM(L21:L26)</f>
        <v>16572666</v>
      </c>
      <c r="M20" s="22">
        <f>SUM(M21:M26)</f>
        <v>6604757.4499999993</v>
      </c>
      <c r="N20" s="23">
        <f t="shared" ref="N20:N26" si="5">IF(L20&gt;0,M20/L20*100,"-")</f>
        <v>39.853319013368157</v>
      </c>
      <c r="O20" s="321"/>
    </row>
    <row r="21" spans="1:15" ht="11.45" customHeight="1" outlineLevel="1" x14ac:dyDescent="0.2">
      <c r="A21" s="21"/>
      <c r="B21" s="25" t="s">
        <v>15</v>
      </c>
      <c r="C21" s="24"/>
      <c r="D21" s="20"/>
      <c r="E21" s="20"/>
      <c r="F21" s="25"/>
      <c r="G21" s="130">
        <f t="shared" ref="G21:H26" si="6">G30+G111+G221+G307+G475</f>
        <v>2244646</v>
      </c>
      <c r="H21" s="130">
        <f t="shared" si="6"/>
        <v>1713310</v>
      </c>
      <c r="I21" s="27">
        <f t="shared" si="4"/>
        <v>76.328739587444971</v>
      </c>
      <c r="J21" s="130">
        <f t="shared" ref="J21:M26" si="7">J30+J111+J221+J307+J475</f>
        <v>495142</v>
      </c>
      <c r="K21" s="130">
        <f t="shared" si="7"/>
        <v>58536</v>
      </c>
      <c r="L21" s="130">
        <f t="shared" si="7"/>
        <v>553678</v>
      </c>
      <c r="M21" s="26">
        <f t="shared" si="7"/>
        <v>199074.42</v>
      </c>
      <c r="N21" s="27">
        <f t="shared" si="5"/>
        <v>35.954908809813645</v>
      </c>
      <c r="O21" s="321"/>
    </row>
    <row r="22" spans="1:15" ht="11.45" customHeight="1" outlineLevel="1" x14ac:dyDescent="0.2">
      <c r="A22" s="21"/>
      <c r="B22" s="25" t="s">
        <v>7</v>
      </c>
      <c r="C22" s="24"/>
      <c r="D22" s="20"/>
      <c r="E22" s="20"/>
      <c r="F22" s="25"/>
      <c r="G22" s="130">
        <f t="shared" si="6"/>
        <v>36479391</v>
      </c>
      <c r="H22" s="130">
        <f t="shared" si="6"/>
        <v>22296032</v>
      </c>
      <c r="I22" s="27">
        <f t="shared" si="4"/>
        <v>61.119529106173957</v>
      </c>
      <c r="J22" s="130">
        <f t="shared" si="7"/>
        <v>9149758</v>
      </c>
      <c r="K22" s="130">
        <f t="shared" si="7"/>
        <v>5267171</v>
      </c>
      <c r="L22" s="130">
        <f t="shared" si="7"/>
        <v>14416929</v>
      </c>
      <c r="M22" s="26">
        <f t="shared" si="7"/>
        <v>5769398.8999999994</v>
      </c>
      <c r="N22" s="27">
        <f t="shared" si="5"/>
        <v>40.018223714634367</v>
      </c>
      <c r="O22" s="321"/>
    </row>
    <row r="23" spans="1:15" ht="11.45" customHeight="1" outlineLevel="1" x14ac:dyDescent="0.2">
      <c r="A23" s="21"/>
      <c r="B23" s="395" t="s">
        <v>8</v>
      </c>
      <c r="C23" s="396"/>
      <c r="D23" s="20"/>
      <c r="E23" s="20"/>
      <c r="F23" s="25"/>
      <c r="G23" s="130">
        <f t="shared" si="6"/>
        <v>0</v>
      </c>
      <c r="H23" s="130">
        <f t="shared" si="6"/>
        <v>0</v>
      </c>
      <c r="I23" s="27" t="str">
        <f t="shared" si="4"/>
        <v>-</v>
      </c>
      <c r="J23" s="130">
        <f t="shared" si="7"/>
        <v>0</v>
      </c>
      <c r="K23" s="130">
        <f t="shared" si="7"/>
        <v>0</v>
      </c>
      <c r="L23" s="130">
        <f t="shared" si="7"/>
        <v>0</v>
      </c>
      <c r="M23" s="26">
        <f t="shared" si="7"/>
        <v>0</v>
      </c>
      <c r="N23" s="27" t="str">
        <f t="shared" si="5"/>
        <v>-</v>
      </c>
      <c r="O23" s="321"/>
    </row>
    <row r="24" spans="1:15" ht="11.45" customHeight="1" outlineLevel="1" x14ac:dyDescent="0.2">
      <c r="A24" s="21"/>
      <c r="B24" s="25" t="s">
        <v>22</v>
      </c>
      <c r="C24" s="24"/>
      <c r="D24" s="20"/>
      <c r="E24" s="20"/>
      <c r="F24" s="25"/>
      <c r="G24" s="130">
        <f t="shared" si="6"/>
        <v>3955614</v>
      </c>
      <c r="H24" s="130">
        <f t="shared" si="6"/>
        <v>2107773</v>
      </c>
      <c r="I24" s="27">
        <f t="shared" si="4"/>
        <v>53.285608757578473</v>
      </c>
      <c r="J24" s="130">
        <f t="shared" si="7"/>
        <v>1090496</v>
      </c>
      <c r="K24" s="130">
        <f t="shared" si="7"/>
        <v>511563</v>
      </c>
      <c r="L24" s="130">
        <f t="shared" si="7"/>
        <v>1602059</v>
      </c>
      <c r="M24" s="26">
        <f t="shared" si="7"/>
        <v>636284.13</v>
      </c>
      <c r="N24" s="27">
        <f t="shared" si="5"/>
        <v>39.716647763908817</v>
      </c>
      <c r="O24" s="321"/>
    </row>
    <row r="25" spans="1:15" ht="11.45" customHeight="1" outlineLevel="1" x14ac:dyDescent="0.2">
      <c r="A25" s="21"/>
      <c r="B25" s="342" t="s">
        <v>45</v>
      </c>
      <c r="C25" s="24"/>
      <c r="D25" s="20"/>
      <c r="E25" s="20"/>
      <c r="F25" s="25"/>
      <c r="G25" s="130">
        <f t="shared" si="6"/>
        <v>0</v>
      </c>
      <c r="H25" s="130">
        <f t="shared" si="6"/>
        <v>0</v>
      </c>
      <c r="I25" s="27" t="str">
        <f t="shared" si="4"/>
        <v>-</v>
      </c>
      <c r="J25" s="130">
        <f t="shared" si="7"/>
        <v>0</v>
      </c>
      <c r="K25" s="130">
        <f t="shared" si="7"/>
        <v>0</v>
      </c>
      <c r="L25" s="130">
        <f t="shared" si="7"/>
        <v>0</v>
      </c>
      <c r="M25" s="26">
        <f t="shared" si="7"/>
        <v>0</v>
      </c>
      <c r="N25" s="27" t="str">
        <f t="shared" si="5"/>
        <v>-</v>
      </c>
      <c r="O25" s="321"/>
    </row>
    <row r="26" spans="1:15" ht="11.45" customHeight="1" outlineLevel="1" x14ac:dyDescent="0.2">
      <c r="A26" s="21"/>
      <c r="B26" s="342" t="s">
        <v>365</v>
      </c>
      <c r="C26" s="24"/>
      <c r="D26" s="20"/>
      <c r="E26" s="20"/>
      <c r="F26" s="25"/>
      <c r="G26" s="130">
        <f t="shared" si="6"/>
        <v>0</v>
      </c>
      <c r="H26" s="130">
        <f t="shared" si="6"/>
        <v>0</v>
      </c>
      <c r="I26" s="27" t="str">
        <f t="shared" si="4"/>
        <v>-</v>
      </c>
      <c r="J26" s="130">
        <f t="shared" si="7"/>
        <v>0</v>
      </c>
      <c r="K26" s="130">
        <f t="shared" si="7"/>
        <v>0</v>
      </c>
      <c r="L26" s="130">
        <f t="shared" si="7"/>
        <v>0</v>
      </c>
      <c r="M26" s="26">
        <f t="shared" si="7"/>
        <v>0</v>
      </c>
      <c r="N26" s="27" t="str">
        <f t="shared" si="5"/>
        <v>-</v>
      </c>
      <c r="O26" s="321"/>
    </row>
    <row r="27" spans="1:15" ht="3.95" customHeight="1" outlineLevel="1" x14ac:dyDescent="0.2">
      <c r="A27" s="53"/>
      <c r="B27" s="54"/>
      <c r="C27" s="55"/>
      <c r="D27" s="56"/>
      <c r="E27" s="56"/>
      <c r="F27" s="53"/>
      <c r="G27" s="131"/>
      <c r="H27" s="131"/>
      <c r="I27" s="53"/>
      <c r="J27" s="131"/>
      <c r="K27" s="131"/>
      <c r="L27" s="131"/>
      <c r="M27" s="57"/>
      <c r="N27" s="58"/>
      <c r="O27" s="322"/>
    </row>
    <row r="28" spans="1:15" ht="3.95" customHeight="1" outlineLevel="1" x14ac:dyDescent="0.2">
      <c r="A28" s="59"/>
      <c r="B28" s="60"/>
      <c r="C28" s="61"/>
      <c r="D28" s="62"/>
      <c r="E28" s="62"/>
      <c r="F28" s="59"/>
      <c r="G28" s="132"/>
      <c r="H28" s="132"/>
      <c r="I28" s="59"/>
      <c r="J28" s="132"/>
      <c r="K28" s="132"/>
      <c r="L28" s="132"/>
      <c r="M28" s="63"/>
      <c r="N28" s="64"/>
      <c r="O28" s="323"/>
    </row>
    <row r="29" spans="1:15" ht="11.45" customHeight="1" outlineLevel="1" x14ac:dyDescent="0.2">
      <c r="A29" s="28" t="s">
        <v>1</v>
      </c>
      <c r="B29" s="411" t="s">
        <v>48</v>
      </c>
      <c r="C29" s="394"/>
      <c r="D29" s="29"/>
      <c r="E29" s="29"/>
      <c r="F29" s="30"/>
      <c r="G29" s="133">
        <f>SUM(G30:G35)</f>
        <v>6505004</v>
      </c>
      <c r="H29" s="133">
        <f>SUM(H30:H35)</f>
        <v>2076230</v>
      </c>
      <c r="I29" s="32">
        <f>IF(G29&gt;0,H29/G29*100,"-")</f>
        <v>31.917428490435977</v>
      </c>
      <c r="J29" s="133">
        <f>SUM(J30:J35)</f>
        <v>1109354</v>
      </c>
      <c r="K29" s="133">
        <f>SUM(K30:K35)</f>
        <v>1597128</v>
      </c>
      <c r="L29" s="133">
        <f>SUM(L30:L35)</f>
        <v>2706482</v>
      </c>
      <c r="M29" s="31">
        <f>SUM(M30:M35)</f>
        <v>802666.03000000014</v>
      </c>
      <c r="N29" s="32">
        <f t="shared" ref="N29:N35" si="8">IF(L29&gt;0,M29/L29*100,"-")</f>
        <v>29.657172299686462</v>
      </c>
      <c r="O29" s="324"/>
    </row>
    <row r="30" spans="1:15" ht="11.45" customHeight="1" outlineLevel="1" x14ac:dyDescent="0.2">
      <c r="A30" s="30"/>
      <c r="B30" s="33"/>
      <c r="C30" s="34"/>
      <c r="D30" s="29"/>
      <c r="E30" s="29"/>
      <c r="F30" s="35" t="s">
        <v>15</v>
      </c>
      <c r="G30" s="134">
        <f t="shared" ref="G30:H35" si="9">G39+G50+G59+G72+G82+G91+G102</f>
        <v>178111</v>
      </c>
      <c r="H30" s="134">
        <f t="shared" si="9"/>
        <v>64239</v>
      </c>
      <c r="I30" s="37">
        <f t="shared" ref="I30:I35" si="10">IF(G30&gt;0,H30/G30*100,"-")</f>
        <v>36.066834726659216</v>
      </c>
      <c r="J30" s="134">
        <f t="shared" ref="J30:M35" si="11">J39+J50+J59+J72+J82+J91+J102</f>
        <v>82365</v>
      </c>
      <c r="K30" s="134">
        <f t="shared" si="11"/>
        <v>24177</v>
      </c>
      <c r="L30" s="134">
        <f t="shared" si="11"/>
        <v>106542</v>
      </c>
      <c r="M30" s="36">
        <f t="shared" si="11"/>
        <v>18048.04</v>
      </c>
      <c r="N30" s="37">
        <f t="shared" si="8"/>
        <v>16.939835933246982</v>
      </c>
      <c r="O30" s="324"/>
    </row>
    <row r="31" spans="1:15" ht="11.45" customHeight="1" outlineLevel="1" x14ac:dyDescent="0.2">
      <c r="A31" s="30"/>
      <c r="B31" s="33"/>
      <c r="C31" s="34"/>
      <c r="D31" s="29"/>
      <c r="E31" s="29"/>
      <c r="F31" s="35" t="s">
        <v>7</v>
      </c>
      <c r="G31" s="384">
        <f t="shared" si="9"/>
        <v>5529250</v>
      </c>
      <c r="H31" s="134">
        <f t="shared" si="9"/>
        <v>1764791</v>
      </c>
      <c r="I31" s="37">
        <f t="shared" si="10"/>
        <v>31.917366731473528</v>
      </c>
      <c r="J31" s="134">
        <f t="shared" si="11"/>
        <v>942950</v>
      </c>
      <c r="K31" s="134">
        <f t="shared" si="11"/>
        <v>1357556</v>
      </c>
      <c r="L31" s="134">
        <f t="shared" si="11"/>
        <v>2300506</v>
      </c>
      <c r="M31" s="36">
        <f t="shared" si="11"/>
        <v>682266.14000000013</v>
      </c>
      <c r="N31" s="37">
        <f t="shared" si="8"/>
        <v>29.657220628852965</v>
      </c>
      <c r="O31" s="324"/>
    </row>
    <row r="32" spans="1:15" ht="11.45" customHeight="1" outlineLevel="1" x14ac:dyDescent="0.2">
      <c r="A32" s="30"/>
      <c r="B32" s="33"/>
      <c r="C32" s="34"/>
      <c r="D32" s="29"/>
      <c r="E32" s="29"/>
      <c r="F32" s="35" t="s">
        <v>8</v>
      </c>
      <c r="G32" s="134">
        <f t="shared" si="9"/>
        <v>0</v>
      </c>
      <c r="H32" s="134">
        <f t="shared" si="9"/>
        <v>0</v>
      </c>
      <c r="I32" s="37" t="str">
        <f t="shared" si="10"/>
        <v>-</v>
      </c>
      <c r="J32" s="134">
        <f t="shared" si="11"/>
        <v>0</v>
      </c>
      <c r="K32" s="134">
        <f t="shared" si="11"/>
        <v>0</v>
      </c>
      <c r="L32" s="134">
        <f t="shared" si="11"/>
        <v>0</v>
      </c>
      <c r="M32" s="36">
        <f t="shared" si="11"/>
        <v>0</v>
      </c>
      <c r="N32" s="37" t="str">
        <f t="shared" si="8"/>
        <v>-</v>
      </c>
      <c r="O32" s="324"/>
    </row>
    <row r="33" spans="1:15" ht="11.45" customHeight="1" outlineLevel="1" x14ac:dyDescent="0.2">
      <c r="A33" s="30"/>
      <c r="B33" s="33"/>
      <c r="C33" s="34"/>
      <c r="D33" s="29"/>
      <c r="E33" s="29"/>
      <c r="F33" s="35" t="s">
        <v>22</v>
      </c>
      <c r="G33" s="134">
        <f t="shared" si="9"/>
        <v>797643</v>
      </c>
      <c r="H33" s="134">
        <f t="shared" si="9"/>
        <v>247200</v>
      </c>
      <c r="I33" s="37">
        <f t="shared" si="10"/>
        <v>30.991308141612222</v>
      </c>
      <c r="J33" s="134">
        <f t="shared" si="11"/>
        <v>84039</v>
      </c>
      <c r="K33" s="134">
        <f t="shared" si="11"/>
        <v>215395</v>
      </c>
      <c r="L33" s="134">
        <f t="shared" si="11"/>
        <v>299434</v>
      </c>
      <c r="M33" s="36">
        <f t="shared" si="11"/>
        <v>102351.85</v>
      </c>
      <c r="N33" s="37">
        <f t="shared" si="8"/>
        <v>34.181772944956151</v>
      </c>
      <c r="O33" s="324"/>
    </row>
    <row r="34" spans="1:15" ht="11.45" customHeight="1" outlineLevel="1" x14ac:dyDescent="0.2">
      <c r="A34" s="30"/>
      <c r="B34" s="33"/>
      <c r="C34" s="34"/>
      <c r="D34" s="29"/>
      <c r="E34" s="29"/>
      <c r="F34" s="35" t="s">
        <v>45</v>
      </c>
      <c r="G34" s="134">
        <f t="shared" si="9"/>
        <v>0</v>
      </c>
      <c r="H34" s="134">
        <f t="shared" si="9"/>
        <v>0</v>
      </c>
      <c r="I34" s="37" t="str">
        <f t="shared" si="10"/>
        <v>-</v>
      </c>
      <c r="J34" s="134">
        <f t="shared" si="11"/>
        <v>0</v>
      </c>
      <c r="K34" s="134">
        <f t="shared" si="11"/>
        <v>0</v>
      </c>
      <c r="L34" s="134">
        <f t="shared" si="11"/>
        <v>0</v>
      </c>
      <c r="M34" s="36">
        <f t="shared" si="11"/>
        <v>0</v>
      </c>
      <c r="N34" s="37" t="str">
        <f t="shared" si="8"/>
        <v>-</v>
      </c>
      <c r="O34" s="324"/>
    </row>
    <row r="35" spans="1:15" ht="11.45" customHeight="1" outlineLevel="1" x14ac:dyDescent="0.2">
      <c r="A35" s="30"/>
      <c r="B35" s="33"/>
      <c r="C35" s="34"/>
      <c r="D35" s="29"/>
      <c r="E35" s="29"/>
      <c r="F35" s="35" t="s">
        <v>365</v>
      </c>
      <c r="G35" s="134">
        <f t="shared" si="9"/>
        <v>0</v>
      </c>
      <c r="H35" s="134">
        <f t="shared" si="9"/>
        <v>0</v>
      </c>
      <c r="I35" s="37" t="str">
        <f t="shared" si="10"/>
        <v>-</v>
      </c>
      <c r="J35" s="134">
        <f t="shared" si="11"/>
        <v>0</v>
      </c>
      <c r="K35" s="134">
        <f t="shared" si="11"/>
        <v>0</v>
      </c>
      <c r="L35" s="134">
        <f t="shared" si="11"/>
        <v>0</v>
      </c>
      <c r="M35" s="36">
        <f t="shared" si="11"/>
        <v>0</v>
      </c>
      <c r="N35" s="37" t="str">
        <f t="shared" si="8"/>
        <v>-</v>
      </c>
      <c r="O35" s="324"/>
    </row>
    <row r="36" spans="1:15" ht="3.95" customHeight="1" outlineLevel="1" x14ac:dyDescent="0.2">
      <c r="A36" s="65"/>
      <c r="B36" s="66"/>
      <c r="C36" s="67"/>
      <c r="D36" s="68"/>
      <c r="E36" s="68"/>
      <c r="F36" s="65"/>
      <c r="G36" s="135"/>
      <c r="H36" s="135"/>
      <c r="I36" s="70"/>
      <c r="J36" s="135"/>
      <c r="K36" s="135"/>
      <c r="L36" s="135"/>
      <c r="M36" s="69"/>
      <c r="N36" s="70"/>
      <c r="O36" s="325"/>
    </row>
    <row r="37" spans="1:15" s="95" customFormat="1" ht="3.95" customHeight="1" outlineLevel="1" x14ac:dyDescent="0.2">
      <c r="A37" s="153"/>
      <c r="B37" s="72"/>
      <c r="C37" s="73"/>
      <c r="D37" s="71"/>
      <c r="E37" s="71"/>
      <c r="F37" s="72"/>
      <c r="G37" s="136"/>
      <c r="H37" s="136"/>
      <c r="I37" s="75"/>
      <c r="J37" s="137"/>
      <c r="K37" s="137"/>
      <c r="L37" s="137"/>
      <c r="M37" s="155"/>
      <c r="N37" s="75"/>
      <c r="O37" s="400" t="s">
        <v>500</v>
      </c>
    </row>
    <row r="38" spans="1:15" s="95" customFormat="1" ht="11.1" customHeight="1" outlineLevel="1" x14ac:dyDescent="0.2">
      <c r="A38" s="391" t="s">
        <v>1</v>
      </c>
      <c r="B38" s="76" t="s">
        <v>9</v>
      </c>
      <c r="C38" s="77" t="s">
        <v>265</v>
      </c>
      <c r="D38" s="392" t="s">
        <v>272</v>
      </c>
      <c r="E38" s="392" t="s">
        <v>273</v>
      </c>
      <c r="F38" s="78" t="s">
        <v>28</v>
      </c>
      <c r="G38" s="138">
        <f>SUM(G39:G44)</f>
        <v>1097551</v>
      </c>
      <c r="H38" s="243">
        <f>SUM(H39:H44)</f>
        <v>338404</v>
      </c>
      <c r="I38" s="39">
        <f t="shared" ref="I38:I43" si="12">IF(G38&gt;0,H38/G38*100,"-")</f>
        <v>30.83264467892608</v>
      </c>
      <c r="J38" s="138">
        <f>SUM(J39:J42)</f>
        <v>549096</v>
      </c>
      <c r="K38" s="138">
        <f>SUM(K39:K42)</f>
        <v>161177</v>
      </c>
      <c r="L38" s="138">
        <f>SUM(L39:L42)</f>
        <v>710273</v>
      </c>
      <c r="M38" s="38">
        <f>SUM(M39:M42)</f>
        <v>120320.26999999999</v>
      </c>
      <c r="N38" s="39">
        <f t="shared" ref="N38:N44" si="13">IF(L38&gt;0,M38/L38*100,"-")</f>
        <v>16.940003350824259</v>
      </c>
      <c r="O38" s="389"/>
    </row>
    <row r="39" spans="1:15" s="95" customFormat="1" ht="11.1" customHeight="1" outlineLevel="1" x14ac:dyDescent="0.2">
      <c r="A39" s="391"/>
      <c r="B39" s="76"/>
      <c r="C39" s="77" t="s">
        <v>266</v>
      </c>
      <c r="D39" s="392"/>
      <c r="E39" s="392"/>
      <c r="F39" s="79" t="s">
        <v>15</v>
      </c>
      <c r="G39" s="139">
        <v>164633</v>
      </c>
      <c r="H39" s="139">
        <f>ROUNDUP(32712+M39,0)</f>
        <v>50761</v>
      </c>
      <c r="I39" s="81">
        <f t="shared" si="12"/>
        <v>30.832822095205696</v>
      </c>
      <c r="J39" s="139">
        <v>82365</v>
      </c>
      <c r="K39" s="139">
        <f t="shared" ref="K39:K44" si="14">L39-J39</f>
        <v>24177</v>
      </c>
      <c r="L39" s="139">
        <v>106542</v>
      </c>
      <c r="M39" s="80">
        <v>18048.04</v>
      </c>
      <c r="N39" s="81">
        <f t="shared" si="13"/>
        <v>16.939835933246982</v>
      </c>
      <c r="O39" s="389"/>
    </row>
    <row r="40" spans="1:15" s="95" customFormat="1" ht="11.1" customHeight="1" outlineLevel="1" x14ac:dyDescent="0.2">
      <c r="A40" s="391"/>
      <c r="B40" s="76" t="s">
        <v>10</v>
      </c>
      <c r="C40" s="82" t="s">
        <v>267</v>
      </c>
      <c r="D40" s="392"/>
      <c r="E40" s="392"/>
      <c r="F40" s="79" t="s">
        <v>7</v>
      </c>
      <c r="G40" s="139">
        <v>932918</v>
      </c>
      <c r="H40" s="139">
        <f>ROUNDUP(185370+M40,0)</f>
        <v>287643</v>
      </c>
      <c r="I40" s="81">
        <f t="shared" si="12"/>
        <v>30.832613370092549</v>
      </c>
      <c r="J40" s="139">
        <v>466731</v>
      </c>
      <c r="K40" s="139">
        <f t="shared" si="14"/>
        <v>137000</v>
      </c>
      <c r="L40" s="139">
        <v>603731</v>
      </c>
      <c r="M40" s="80">
        <v>102272.23</v>
      </c>
      <c r="N40" s="81">
        <f t="shared" si="13"/>
        <v>16.940032895445157</v>
      </c>
      <c r="O40" s="389"/>
    </row>
    <row r="41" spans="1:15" s="95" customFormat="1" ht="11.1" customHeight="1" outlineLevel="1" x14ac:dyDescent="0.2">
      <c r="A41" s="118"/>
      <c r="B41" s="76" t="s">
        <v>11</v>
      </c>
      <c r="C41" s="77" t="s">
        <v>268</v>
      </c>
      <c r="D41" s="109"/>
      <c r="E41" s="109"/>
      <c r="F41" s="79" t="s">
        <v>8</v>
      </c>
      <c r="G41" s="139">
        <v>0</v>
      </c>
      <c r="H41" s="139">
        <f>ROUNDUP(0+M41,0)</f>
        <v>0</v>
      </c>
      <c r="I41" s="81" t="str">
        <f t="shared" si="12"/>
        <v>-</v>
      </c>
      <c r="J41" s="139">
        <v>0</v>
      </c>
      <c r="K41" s="139">
        <f t="shared" si="14"/>
        <v>0</v>
      </c>
      <c r="L41" s="139">
        <v>0</v>
      </c>
      <c r="M41" s="80">
        <v>0</v>
      </c>
      <c r="N41" s="81" t="str">
        <f t="shared" si="13"/>
        <v>-</v>
      </c>
      <c r="O41" s="389"/>
    </row>
    <row r="42" spans="1:15" s="95" customFormat="1" ht="11.1" customHeight="1" outlineLevel="1" x14ac:dyDescent="0.2">
      <c r="A42" s="118"/>
      <c r="B42" s="76" t="s">
        <v>12</v>
      </c>
      <c r="C42" s="82" t="s">
        <v>269</v>
      </c>
      <c r="D42" s="109"/>
      <c r="E42" s="109"/>
      <c r="F42" s="79" t="s">
        <v>22</v>
      </c>
      <c r="G42" s="139">
        <v>0</v>
      </c>
      <c r="H42" s="139">
        <f t="shared" ref="H42:H44" si="15">ROUNDUP(0+M42,0)</f>
        <v>0</v>
      </c>
      <c r="I42" s="81" t="str">
        <f t="shared" si="12"/>
        <v>-</v>
      </c>
      <c r="J42" s="139">
        <v>0</v>
      </c>
      <c r="K42" s="139">
        <f t="shared" si="14"/>
        <v>0</v>
      </c>
      <c r="L42" s="139">
        <v>0</v>
      </c>
      <c r="M42" s="80">
        <v>0</v>
      </c>
      <c r="N42" s="81" t="str">
        <f t="shared" si="13"/>
        <v>-</v>
      </c>
      <c r="O42" s="389"/>
    </row>
    <row r="43" spans="1:15" s="95" customFormat="1" ht="11.1" customHeight="1" outlineLevel="1" x14ac:dyDescent="0.2">
      <c r="A43" s="118"/>
      <c r="B43" s="76"/>
      <c r="C43" s="82" t="s">
        <v>270</v>
      </c>
      <c r="D43" s="284"/>
      <c r="E43" s="284"/>
      <c r="F43" s="106" t="s">
        <v>45</v>
      </c>
      <c r="G43" s="140">
        <v>0</v>
      </c>
      <c r="H43" s="139">
        <f t="shared" si="15"/>
        <v>0</v>
      </c>
      <c r="I43" s="81" t="str">
        <f t="shared" si="12"/>
        <v>-</v>
      </c>
      <c r="J43" s="139">
        <v>0</v>
      </c>
      <c r="K43" s="139">
        <f t="shared" si="14"/>
        <v>0</v>
      </c>
      <c r="L43" s="139">
        <v>0</v>
      </c>
      <c r="M43" s="83">
        <v>0</v>
      </c>
      <c r="N43" s="81" t="str">
        <f t="shared" si="13"/>
        <v>-</v>
      </c>
      <c r="O43" s="389"/>
    </row>
    <row r="44" spans="1:15" s="95" customFormat="1" ht="11.1" customHeight="1" outlineLevel="1" x14ac:dyDescent="0.2">
      <c r="A44" s="118"/>
      <c r="B44" s="76"/>
      <c r="C44" s="149" t="s">
        <v>271</v>
      </c>
      <c r="D44" s="284"/>
      <c r="E44" s="284"/>
      <c r="F44" s="106" t="s">
        <v>365</v>
      </c>
      <c r="G44" s="140">
        <v>0</v>
      </c>
      <c r="H44" s="139">
        <f t="shared" si="15"/>
        <v>0</v>
      </c>
      <c r="I44" s="81" t="str">
        <f>IF(G44&gt;0,H44/G44*100,"-")</f>
        <v>-</v>
      </c>
      <c r="J44" s="139">
        <v>0</v>
      </c>
      <c r="K44" s="139">
        <f t="shared" si="14"/>
        <v>0</v>
      </c>
      <c r="L44" s="139">
        <v>0</v>
      </c>
      <c r="M44" s="83">
        <v>0</v>
      </c>
      <c r="N44" s="81" t="str">
        <f t="shared" si="13"/>
        <v>-</v>
      </c>
      <c r="O44" s="389"/>
    </row>
    <row r="45" spans="1:15" s="95" customFormat="1" ht="11.1" customHeight="1" outlineLevel="1" x14ac:dyDescent="0.2">
      <c r="A45" s="118"/>
      <c r="B45" s="76" t="s">
        <v>23</v>
      </c>
      <c r="C45" s="82" t="s">
        <v>366</v>
      </c>
      <c r="D45" s="284"/>
      <c r="E45" s="284"/>
      <c r="F45" s="106"/>
      <c r="G45" s="140"/>
      <c r="H45" s="140"/>
      <c r="I45" s="81"/>
      <c r="J45" s="139"/>
      <c r="K45" s="139"/>
      <c r="L45" s="139"/>
      <c r="M45" s="83"/>
      <c r="N45" s="81"/>
      <c r="O45" s="389"/>
    </row>
    <row r="46" spans="1:15" s="95" customFormat="1" ht="11.1" customHeight="1" outlineLevel="1" x14ac:dyDescent="0.2">
      <c r="A46" s="118"/>
      <c r="B46" s="76"/>
      <c r="C46" s="82" t="s">
        <v>367</v>
      </c>
      <c r="D46" s="284"/>
      <c r="E46" s="284"/>
      <c r="F46" s="106"/>
      <c r="G46" s="140"/>
      <c r="H46" s="140"/>
      <c r="I46" s="81"/>
      <c r="J46" s="139"/>
      <c r="K46" s="139"/>
      <c r="L46" s="139"/>
      <c r="M46" s="83"/>
      <c r="N46" s="81"/>
      <c r="O46" s="389"/>
    </row>
    <row r="47" spans="1:15" s="95" customFormat="1" ht="3.95" customHeight="1" outlineLevel="1" x14ac:dyDescent="0.2">
      <c r="A47" s="119"/>
      <c r="B47" s="76"/>
      <c r="C47" s="82"/>
      <c r="D47" s="285"/>
      <c r="E47" s="285"/>
      <c r="F47" s="76"/>
      <c r="G47" s="140"/>
      <c r="H47" s="140"/>
      <c r="I47" s="81"/>
      <c r="J47" s="139"/>
      <c r="K47" s="142"/>
      <c r="L47" s="139"/>
      <c r="M47" s="80"/>
      <c r="N47" s="81"/>
      <c r="O47" s="390"/>
    </row>
    <row r="48" spans="1:15" s="95" customFormat="1" ht="3.95" customHeight="1" outlineLevel="1" x14ac:dyDescent="0.2">
      <c r="A48" s="153"/>
      <c r="B48" s="72"/>
      <c r="C48" s="73"/>
      <c r="D48" s="71"/>
      <c r="E48" s="71"/>
      <c r="F48" s="72"/>
      <c r="G48" s="136"/>
      <c r="H48" s="136"/>
      <c r="I48" s="75"/>
      <c r="J48" s="137"/>
      <c r="K48" s="137"/>
      <c r="L48" s="137"/>
      <c r="M48" s="155"/>
      <c r="N48" s="75"/>
      <c r="O48" s="400" t="s">
        <v>498</v>
      </c>
    </row>
    <row r="49" spans="1:15" s="95" customFormat="1" ht="11.1" customHeight="1" outlineLevel="1" x14ac:dyDescent="0.2">
      <c r="A49" s="391" t="s">
        <v>50</v>
      </c>
      <c r="B49" s="76" t="s">
        <v>9</v>
      </c>
      <c r="C49" s="77" t="s">
        <v>49</v>
      </c>
      <c r="D49" s="392" t="s">
        <v>51</v>
      </c>
      <c r="E49" s="392" t="s">
        <v>162</v>
      </c>
      <c r="F49" s="78" t="s">
        <v>28</v>
      </c>
      <c r="G49" s="138">
        <f>SUM(G50:G55)</f>
        <v>482488</v>
      </c>
      <c r="H49" s="243">
        <f>SUM(H50:H55)</f>
        <v>432063</v>
      </c>
      <c r="I49" s="39">
        <f t="shared" ref="I49:I54" si="16">IF(G49&gt;0,H49/G49*100,"-")</f>
        <v>89.548962875760637</v>
      </c>
      <c r="J49" s="138">
        <f>SUM(J50:J53)</f>
        <v>113480</v>
      </c>
      <c r="K49" s="138">
        <f>SUM(K50:K53)</f>
        <v>0</v>
      </c>
      <c r="L49" s="138">
        <f>SUM(L50:L53)</f>
        <v>113480</v>
      </c>
      <c r="M49" s="38">
        <f>SUM(M50:M53)</f>
        <v>63053.67</v>
      </c>
      <c r="N49" s="39">
        <f t="shared" ref="N49:N55" si="17">IF(L49&gt;0,M49/L49*100,"-")</f>
        <v>55.563685230877688</v>
      </c>
      <c r="O49" s="389"/>
    </row>
    <row r="50" spans="1:15" s="95" customFormat="1" ht="11.1" customHeight="1" outlineLevel="1" x14ac:dyDescent="0.2">
      <c r="A50" s="391"/>
      <c r="B50" s="76" t="s">
        <v>10</v>
      </c>
      <c r="C50" s="77" t="s">
        <v>177</v>
      </c>
      <c r="D50" s="392"/>
      <c r="E50" s="392"/>
      <c r="F50" s="79" t="s">
        <v>15</v>
      </c>
      <c r="G50" s="139">
        <v>0</v>
      </c>
      <c r="H50" s="139">
        <f>ROUNDUP(0+M50,0)</f>
        <v>0</v>
      </c>
      <c r="I50" s="81" t="str">
        <f t="shared" si="16"/>
        <v>-</v>
      </c>
      <c r="J50" s="139">
        <v>0</v>
      </c>
      <c r="K50" s="139">
        <f t="shared" ref="K50:K55" si="18">L50-J50</f>
        <v>0</v>
      </c>
      <c r="L50" s="139">
        <v>0</v>
      </c>
      <c r="M50" s="80">
        <v>0</v>
      </c>
      <c r="N50" s="81" t="str">
        <f t="shared" si="17"/>
        <v>-</v>
      </c>
      <c r="O50" s="389"/>
    </row>
    <row r="51" spans="1:15" s="95" customFormat="1" ht="11.1" customHeight="1" outlineLevel="1" x14ac:dyDescent="0.2">
      <c r="A51" s="391"/>
      <c r="B51" s="76" t="s">
        <v>11</v>
      </c>
      <c r="C51" s="82" t="s">
        <v>178</v>
      </c>
      <c r="D51" s="392"/>
      <c r="E51" s="392"/>
      <c r="F51" s="79" t="s">
        <v>7</v>
      </c>
      <c r="G51" s="139">
        <v>410115</v>
      </c>
      <c r="H51" s="139">
        <f>ROUNDUP(313657+M51,0)</f>
        <v>367253</v>
      </c>
      <c r="I51" s="81">
        <f t="shared" si="16"/>
        <v>89.548785096863071</v>
      </c>
      <c r="J51" s="139">
        <v>96458</v>
      </c>
      <c r="K51" s="139">
        <f t="shared" si="18"/>
        <v>0</v>
      </c>
      <c r="L51" s="139">
        <v>96458</v>
      </c>
      <c r="M51" s="80">
        <v>53595.62</v>
      </c>
      <c r="N51" s="81">
        <f t="shared" si="17"/>
        <v>55.563685749238012</v>
      </c>
      <c r="O51" s="389"/>
    </row>
    <row r="52" spans="1:15" s="95" customFormat="1" ht="11.1" customHeight="1" outlineLevel="1" x14ac:dyDescent="0.2">
      <c r="A52" s="118"/>
      <c r="B52" s="76"/>
      <c r="C52" s="82" t="s">
        <v>169</v>
      </c>
      <c r="D52" s="109"/>
      <c r="E52" s="109"/>
      <c r="F52" s="79" t="s">
        <v>8</v>
      </c>
      <c r="G52" s="139">
        <v>0</v>
      </c>
      <c r="H52" s="139">
        <f>ROUNDUP(0+M52,0)</f>
        <v>0</v>
      </c>
      <c r="I52" s="81" t="str">
        <f t="shared" si="16"/>
        <v>-</v>
      </c>
      <c r="J52" s="139">
        <v>0</v>
      </c>
      <c r="K52" s="139">
        <f t="shared" si="18"/>
        <v>0</v>
      </c>
      <c r="L52" s="139">
        <v>0</v>
      </c>
      <c r="M52" s="80">
        <v>0</v>
      </c>
      <c r="N52" s="81" t="str">
        <f t="shared" si="17"/>
        <v>-</v>
      </c>
      <c r="O52" s="389"/>
    </row>
    <row r="53" spans="1:15" s="95" customFormat="1" ht="11.1" customHeight="1" outlineLevel="1" x14ac:dyDescent="0.2">
      <c r="A53" s="118"/>
      <c r="B53" s="76" t="s">
        <v>12</v>
      </c>
      <c r="C53" s="149" t="s">
        <v>274</v>
      </c>
      <c r="D53" s="109"/>
      <c r="E53" s="109"/>
      <c r="F53" s="79" t="s">
        <v>22</v>
      </c>
      <c r="G53" s="139">
        <v>72373</v>
      </c>
      <c r="H53" s="139">
        <f>ROUNDUP(55351+M53,0)</f>
        <v>64810</v>
      </c>
      <c r="I53" s="81">
        <f t="shared" si="16"/>
        <v>89.549970292788743</v>
      </c>
      <c r="J53" s="139">
        <v>17022</v>
      </c>
      <c r="K53" s="139">
        <f t="shared" si="18"/>
        <v>0</v>
      </c>
      <c r="L53" s="139">
        <v>17022</v>
      </c>
      <c r="M53" s="80">
        <v>9458.0499999999993</v>
      </c>
      <c r="N53" s="81">
        <f t="shared" si="17"/>
        <v>55.563682293502524</v>
      </c>
      <c r="O53" s="389"/>
    </row>
    <row r="54" spans="1:15" s="95" customFormat="1" ht="11.1" customHeight="1" outlineLevel="1" x14ac:dyDescent="0.2">
      <c r="A54" s="118"/>
      <c r="B54" s="76" t="s">
        <v>23</v>
      </c>
      <c r="C54" s="82" t="s">
        <v>156</v>
      </c>
      <c r="D54" s="90"/>
      <c r="E54" s="90"/>
      <c r="F54" s="106" t="s">
        <v>45</v>
      </c>
      <c r="G54" s="140">
        <v>0</v>
      </c>
      <c r="H54" s="139">
        <f>ROUNDUP(0+M54,0)</f>
        <v>0</v>
      </c>
      <c r="I54" s="81" t="str">
        <f t="shared" si="16"/>
        <v>-</v>
      </c>
      <c r="J54" s="139">
        <v>0</v>
      </c>
      <c r="K54" s="139">
        <f t="shared" si="18"/>
        <v>0</v>
      </c>
      <c r="L54" s="139">
        <v>0</v>
      </c>
      <c r="M54" s="80">
        <v>0</v>
      </c>
      <c r="N54" s="81" t="str">
        <f t="shared" si="17"/>
        <v>-</v>
      </c>
      <c r="O54" s="389"/>
    </row>
    <row r="55" spans="1:15" s="95" customFormat="1" ht="11.1" customHeight="1" outlineLevel="1" x14ac:dyDescent="0.2">
      <c r="A55" s="118"/>
      <c r="B55" s="76"/>
      <c r="C55" s="82"/>
      <c r="D55" s="90"/>
      <c r="E55" s="90"/>
      <c r="F55" s="106" t="s">
        <v>365</v>
      </c>
      <c r="G55" s="140">
        <v>0</v>
      </c>
      <c r="H55" s="139">
        <f>ROUNDUP(0+M55,0)</f>
        <v>0</v>
      </c>
      <c r="I55" s="81" t="str">
        <f>IF(G55&gt;0,H55/G55*100,"-")</f>
        <v>-</v>
      </c>
      <c r="J55" s="139"/>
      <c r="K55" s="139">
        <f t="shared" si="18"/>
        <v>0</v>
      </c>
      <c r="L55" s="139">
        <v>0</v>
      </c>
      <c r="M55" s="80">
        <v>0</v>
      </c>
      <c r="N55" s="81" t="str">
        <f t="shared" si="17"/>
        <v>-</v>
      </c>
      <c r="O55" s="389"/>
    </row>
    <row r="56" spans="1:15" s="95" customFormat="1" ht="3.95" customHeight="1" outlineLevel="1" x14ac:dyDescent="0.2">
      <c r="A56" s="119"/>
      <c r="B56" s="76"/>
      <c r="C56" s="82"/>
      <c r="D56" s="152"/>
      <c r="E56" s="152"/>
      <c r="F56" s="76"/>
      <c r="G56" s="140"/>
      <c r="H56" s="140"/>
      <c r="I56" s="81"/>
      <c r="J56" s="139"/>
      <c r="K56" s="142"/>
      <c r="L56" s="139"/>
      <c r="M56" s="80"/>
      <c r="N56" s="81"/>
      <c r="O56" s="390"/>
    </row>
    <row r="57" spans="1:15" s="95" customFormat="1" ht="3.95" customHeight="1" outlineLevel="1" x14ac:dyDescent="0.2">
      <c r="A57" s="187"/>
      <c r="B57" s="72"/>
      <c r="C57" s="73"/>
      <c r="D57" s="193"/>
      <c r="E57" s="71"/>
      <c r="F57" s="154"/>
      <c r="G57" s="137"/>
      <c r="H57" s="137"/>
      <c r="I57" s="195"/>
      <c r="J57" s="137"/>
      <c r="K57" s="137"/>
      <c r="L57" s="212"/>
      <c r="M57" s="155"/>
      <c r="N57" s="75"/>
      <c r="O57" s="401" t="s">
        <v>501</v>
      </c>
    </row>
    <row r="58" spans="1:15" s="15" customFormat="1" ht="11.1" customHeight="1" outlineLevel="1" x14ac:dyDescent="0.2">
      <c r="A58" s="391" t="s">
        <v>59</v>
      </c>
      <c r="B58" s="76" t="s">
        <v>9</v>
      </c>
      <c r="C58" s="77" t="s">
        <v>55</v>
      </c>
      <c r="D58" s="392" t="s">
        <v>51</v>
      </c>
      <c r="E58" s="392" t="s">
        <v>163</v>
      </c>
      <c r="F58" s="192" t="s">
        <v>157</v>
      </c>
      <c r="G58" s="138">
        <f>SUM(G59:G64)</f>
        <v>794449</v>
      </c>
      <c r="H58" s="243">
        <f>SUM(H59:H64)</f>
        <v>662828</v>
      </c>
      <c r="I58" s="39">
        <f t="shared" ref="I58:I64" si="19">IF(G58&gt;0,H58/G58*100,"-")</f>
        <v>83.432416681247005</v>
      </c>
      <c r="J58" s="138">
        <f>SUM(J59:J62)</f>
        <v>271450</v>
      </c>
      <c r="K58" s="138">
        <f>SUM(K59:K62)</f>
        <v>150914</v>
      </c>
      <c r="L58" s="215">
        <f>SUM(L59:L62)</f>
        <v>422364</v>
      </c>
      <c r="M58" s="38">
        <f>SUM(M59:M62)</f>
        <v>290741.87</v>
      </c>
      <c r="N58" s="39">
        <f t="shared" ref="N58:N64" si="20">IF(L58&gt;0,M58/L58*100,"-")</f>
        <v>68.836801905465421</v>
      </c>
      <c r="O58" s="389"/>
    </row>
    <row r="59" spans="1:15" s="15" customFormat="1" ht="11.1" customHeight="1" outlineLevel="1" x14ac:dyDescent="0.2">
      <c r="A59" s="391"/>
      <c r="B59" s="76" t="s">
        <v>10</v>
      </c>
      <c r="C59" s="77" t="s">
        <v>158</v>
      </c>
      <c r="D59" s="392"/>
      <c r="E59" s="392"/>
      <c r="F59" s="151" t="s">
        <v>15</v>
      </c>
      <c r="G59" s="139">
        <v>0</v>
      </c>
      <c r="H59" s="139">
        <f>ROUNDUP(0+M59,0)</f>
        <v>0</v>
      </c>
      <c r="I59" s="161" t="str">
        <f t="shared" si="19"/>
        <v>-</v>
      </c>
      <c r="J59" s="139">
        <v>0</v>
      </c>
      <c r="K59" s="139">
        <f t="shared" ref="K59:K64" si="21">L59-J59</f>
        <v>0</v>
      </c>
      <c r="L59" s="139">
        <v>0</v>
      </c>
      <c r="M59" s="80">
        <v>0</v>
      </c>
      <c r="N59" s="81" t="str">
        <f t="shared" si="20"/>
        <v>-</v>
      </c>
      <c r="O59" s="389"/>
    </row>
    <row r="60" spans="1:15" s="15" customFormat="1" ht="11.1" customHeight="1" outlineLevel="1" x14ac:dyDescent="0.2">
      <c r="A60" s="391"/>
      <c r="B60" s="76" t="s">
        <v>11</v>
      </c>
      <c r="C60" s="82" t="s">
        <v>159</v>
      </c>
      <c r="D60" s="392"/>
      <c r="E60" s="392"/>
      <c r="F60" s="151" t="s">
        <v>7</v>
      </c>
      <c r="G60" s="139">
        <v>675282</v>
      </c>
      <c r="H60" s="139">
        <f>ROUNDUP(316272+M60,0)</f>
        <v>563403</v>
      </c>
      <c r="I60" s="161">
        <f t="shared" si="19"/>
        <v>83.432254969035156</v>
      </c>
      <c r="J60" s="139">
        <v>230733</v>
      </c>
      <c r="K60" s="139">
        <f t="shared" si="21"/>
        <v>128277</v>
      </c>
      <c r="L60" s="139">
        <v>359010</v>
      </c>
      <c r="M60" s="80">
        <v>247130.59</v>
      </c>
      <c r="N60" s="81">
        <f t="shared" si="20"/>
        <v>68.836687000362105</v>
      </c>
      <c r="O60" s="389"/>
    </row>
    <row r="61" spans="1:15" s="15" customFormat="1" ht="11.1" customHeight="1" outlineLevel="1" x14ac:dyDescent="0.2">
      <c r="A61" s="118"/>
      <c r="B61" s="76" t="s">
        <v>12</v>
      </c>
      <c r="C61" s="149" t="s">
        <v>275</v>
      </c>
      <c r="D61" s="196"/>
      <c r="E61" s="109"/>
      <c r="F61" s="151" t="s">
        <v>8</v>
      </c>
      <c r="G61" s="139">
        <v>0</v>
      </c>
      <c r="H61" s="139">
        <f>ROUNDUP(0+M61,0)</f>
        <v>0</v>
      </c>
      <c r="I61" s="161" t="str">
        <f t="shared" si="19"/>
        <v>-</v>
      </c>
      <c r="J61" s="139">
        <v>0</v>
      </c>
      <c r="K61" s="139">
        <f t="shared" si="21"/>
        <v>0</v>
      </c>
      <c r="L61" s="139">
        <v>0</v>
      </c>
      <c r="M61" s="80">
        <v>0</v>
      </c>
      <c r="N61" s="81" t="str">
        <f t="shared" si="20"/>
        <v>-</v>
      </c>
      <c r="O61" s="389"/>
    </row>
    <row r="62" spans="1:15" s="15" customFormat="1" ht="11.1" customHeight="1" outlineLevel="1" x14ac:dyDescent="0.2">
      <c r="A62" s="118"/>
      <c r="B62" s="76" t="s">
        <v>23</v>
      </c>
      <c r="C62" s="203" t="s">
        <v>170</v>
      </c>
      <c r="D62" s="196"/>
      <c r="E62" s="109"/>
      <c r="F62" s="151" t="s">
        <v>22</v>
      </c>
      <c r="G62" s="139">
        <v>119167</v>
      </c>
      <c r="H62" s="139">
        <f>ROUNDUP(55813+M62,0)</f>
        <v>99425</v>
      </c>
      <c r="I62" s="161">
        <f t="shared" si="19"/>
        <v>83.433333053613836</v>
      </c>
      <c r="J62" s="139">
        <v>40717</v>
      </c>
      <c r="K62" s="139">
        <f t="shared" si="21"/>
        <v>22637</v>
      </c>
      <c r="L62" s="139">
        <v>63354</v>
      </c>
      <c r="M62" s="80">
        <v>43611.28</v>
      </c>
      <c r="N62" s="81">
        <f t="shared" si="20"/>
        <v>68.837453041639037</v>
      </c>
      <c r="O62" s="389"/>
    </row>
    <row r="63" spans="1:15" s="15" customFormat="1" ht="11.1" customHeight="1" outlineLevel="1" x14ac:dyDescent="0.2">
      <c r="A63" s="118"/>
      <c r="B63" s="76"/>
      <c r="C63" s="203" t="s">
        <v>171</v>
      </c>
      <c r="D63" s="157"/>
      <c r="E63" s="152"/>
      <c r="F63" s="106" t="s">
        <v>45</v>
      </c>
      <c r="G63" s="140">
        <v>0</v>
      </c>
      <c r="H63" s="139">
        <f>ROUNDUP(0+M63,0)</f>
        <v>0</v>
      </c>
      <c r="I63" s="81" t="str">
        <f t="shared" si="19"/>
        <v>-</v>
      </c>
      <c r="J63" s="139">
        <v>0</v>
      </c>
      <c r="K63" s="139">
        <f t="shared" si="21"/>
        <v>0</v>
      </c>
      <c r="L63" s="139">
        <v>0</v>
      </c>
      <c r="M63" s="80">
        <v>0</v>
      </c>
      <c r="N63" s="81" t="str">
        <f t="shared" si="20"/>
        <v>-</v>
      </c>
      <c r="O63" s="389"/>
    </row>
    <row r="64" spans="1:15" s="15" customFormat="1" ht="11.1" customHeight="1" outlineLevel="1" x14ac:dyDescent="0.2">
      <c r="A64" s="188"/>
      <c r="B64" s="76"/>
      <c r="C64" s="203" t="s">
        <v>172</v>
      </c>
      <c r="D64" s="157"/>
      <c r="E64" s="152"/>
      <c r="F64" s="106" t="s">
        <v>365</v>
      </c>
      <c r="G64" s="140">
        <v>0</v>
      </c>
      <c r="H64" s="139">
        <f>ROUNDUP(0+M64,0)</f>
        <v>0</v>
      </c>
      <c r="I64" s="81" t="str">
        <f t="shared" si="19"/>
        <v>-</v>
      </c>
      <c r="J64" s="139">
        <v>0</v>
      </c>
      <c r="K64" s="139">
        <f t="shared" si="21"/>
        <v>0</v>
      </c>
      <c r="L64" s="139">
        <v>0</v>
      </c>
      <c r="M64" s="80">
        <v>0</v>
      </c>
      <c r="N64" s="81" t="str">
        <f t="shared" si="20"/>
        <v>-</v>
      </c>
      <c r="O64" s="389"/>
    </row>
    <row r="65" spans="1:15" s="15" customFormat="1" ht="11.1" customHeight="1" outlineLevel="1" x14ac:dyDescent="0.2">
      <c r="A65" s="188"/>
      <c r="B65" s="76"/>
      <c r="C65" s="203" t="s">
        <v>173</v>
      </c>
      <c r="D65" s="157"/>
      <c r="E65" s="188"/>
      <c r="F65" s="79"/>
      <c r="G65" s="208"/>
      <c r="H65" s="208"/>
      <c r="I65" s="161"/>
      <c r="J65" s="208"/>
      <c r="K65" s="139"/>
      <c r="L65" s="213"/>
      <c r="M65" s="80"/>
      <c r="N65" s="118"/>
      <c r="O65" s="389"/>
    </row>
    <row r="66" spans="1:15" s="15" customFormat="1" ht="11.1" customHeight="1" outlineLevel="1" x14ac:dyDescent="0.2">
      <c r="A66" s="188"/>
      <c r="B66" s="76"/>
      <c r="C66" s="203" t="s">
        <v>174</v>
      </c>
      <c r="D66" s="157"/>
      <c r="E66" s="188"/>
      <c r="F66" s="79"/>
      <c r="G66" s="208"/>
      <c r="H66" s="208"/>
      <c r="I66" s="161"/>
      <c r="J66" s="208"/>
      <c r="K66" s="139"/>
      <c r="L66" s="213"/>
      <c r="M66" s="80"/>
      <c r="N66" s="118"/>
      <c r="O66" s="389"/>
    </row>
    <row r="67" spans="1:15" s="15" customFormat="1" ht="13.5" customHeight="1" outlineLevel="1" x14ac:dyDescent="0.2">
      <c r="A67" s="188"/>
      <c r="B67" s="76"/>
      <c r="C67" s="203" t="s">
        <v>175</v>
      </c>
      <c r="D67" s="157"/>
      <c r="E67" s="188"/>
      <c r="F67" s="79"/>
      <c r="G67" s="208"/>
      <c r="H67" s="208"/>
      <c r="I67" s="161"/>
      <c r="J67" s="208"/>
      <c r="K67" s="139"/>
      <c r="L67" s="213"/>
      <c r="M67" s="80"/>
      <c r="N67" s="118"/>
      <c r="O67" s="389"/>
    </row>
    <row r="68" spans="1:15" s="15" customFormat="1" ht="12.75" customHeight="1" outlineLevel="1" x14ac:dyDescent="0.2">
      <c r="A68" s="188"/>
      <c r="B68" s="76"/>
      <c r="C68" s="203" t="s">
        <v>176</v>
      </c>
      <c r="D68" s="157"/>
      <c r="E68" s="188"/>
      <c r="F68" s="79"/>
      <c r="G68" s="208"/>
      <c r="H68" s="208"/>
      <c r="I68" s="161"/>
      <c r="J68" s="208"/>
      <c r="K68" s="139"/>
      <c r="L68" s="213"/>
      <c r="M68" s="80"/>
      <c r="N68" s="118"/>
      <c r="O68" s="389"/>
    </row>
    <row r="69" spans="1:15" s="15" customFormat="1" ht="3.95" customHeight="1" outlineLevel="1" x14ac:dyDescent="0.2">
      <c r="A69" s="158"/>
      <c r="B69" s="85"/>
      <c r="C69" s="205"/>
      <c r="D69" s="290"/>
      <c r="E69" s="158"/>
      <c r="F69" s="159"/>
      <c r="G69" s="209"/>
      <c r="H69" s="209"/>
      <c r="I69" s="162"/>
      <c r="J69" s="209"/>
      <c r="K69" s="142"/>
      <c r="L69" s="291"/>
      <c r="M69" s="343"/>
      <c r="N69" s="119"/>
      <c r="O69" s="390"/>
    </row>
    <row r="70" spans="1:15" s="15" customFormat="1" ht="3.95" customHeight="1" outlineLevel="1" x14ac:dyDescent="0.2">
      <c r="A70" s="187"/>
      <c r="B70" s="72"/>
      <c r="C70" s="204"/>
      <c r="D70" s="193"/>
      <c r="E70" s="187"/>
      <c r="F70" s="194"/>
      <c r="G70" s="210"/>
      <c r="H70" s="210"/>
      <c r="I70" s="195"/>
      <c r="J70" s="210"/>
      <c r="K70" s="137"/>
      <c r="L70" s="211"/>
      <c r="M70" s="155"/>
      <c r="N70" s="153"/>
      <c r="O70" s="401" t="s">
        <v>502</v>
      </c>
    </row>
    <row r="71" spans="1:15" s="15" customFormat="1" ht="11.1" customHeight="1" outlineLevel="1" x14ac:dyDescent="0.2">
      <c r="A71" s="391" t="s">
        <v>61</v>
      </c>
      <c r="B71" s="76" t="s">
        <v>9</v>
      </c>
      <c r="C71" s="77" t="s">
        <v>55</v>
      </c>
      <c r="D71" s="392" t="s">
        <v>51</v>
      </c>
      <c r="E71" s="392" t="s">
        <v>164</v>
      </c>
      <c r="F71" s="78" t="s">
        <v>157</v>
      </c>
      <c r="G71" s="138">
        <f>SUM(G72:G77)</f>
        <v>199423</v>
      </c>
      <c r="H71" s="243">
        <f>SUM(H72:H77)</f>
        <v>188008</v>
      </c>
      <c r="I71" s="160">
        <f t="shared" ref="I71:I77" si="22">IF(G71&gt;0,H71/G71*100,"-")</f>
        <v>94.275986220245414</v>
      </c>
      <c r="J71" s="138">
        <f>SUM(J72:J75)</f>
        <v>37325</v>
      </c>
      <c r="K71" s="138">
        <f>SUM(K72:K75)</f>
        <v>8632</v>
      </c>
      <c r="L71" s="215">
        <f>SUM(L72:L75)</f>
        <v>45957</v>
      </c>
      <c r="M71" s="38">
        <f>SUM(M72:M75)</f>
        <v>34540.17</v>
      </c>
      <c r="N71" s="39">
        <f t="shared" ref="N71:N77" si="23">IF(L71&gt;0,M71/L71*100,"-")</f>
        <v>75.157582087603629</v>
      </c>
      <c r="O71" s="389"/>
    </row>
    <row r="72" spans="1:15" s="15" customFormat="1" ht="11.1" customHeight="1" outlineLevel="1" x14ac:dyDescent="0.2">
      <c r="A72" s="391"/>
      <c r="B72" s="76" t="s">
        <v>10</v>
      </c>
      <c r="C72" s="77" t="s">
        <v>158</v>
      </c>
      <c r="D72" s="392"/>
      <c r="E72" s="392"/>
      <c r="F72" s="79" t="s">
        <v>15</v>
      </c>
      <c r="G72" s="139">
        <v>13478</v>
      </c>
      <c r="H72" s="139">
        <f>ROUNDUP(13478+M72,0)</f>
        <v>13478</v>
      </c>
      <c r="I72" s="161">
        <f t="shared" si="22"/>
        <v>100</v>
      </c>
      <c r="J72" s="139">
        <v>0</v>
      </c>
      <c r="K72" s="139">
        <f t="shared" ref="K72:K77" si="24">L72-J72</f>
        <v>0</v>
      </c>
      <c r="L72" s="139">
        <v>0</v>
      </c>
      <c r="M72" s="80">
        <v>0</v>
      </c>
      <c r="N72" s="81" t="str">
        <f t="shared" si="23"/>
        <v>-</v>
      </c>
      <c r="O72" s="389"/>
    </row>
    <row r="73" spans="1:15" s="15" customFormat="1" ht="11.1" customHeight="1" outlineLevel="1" x14ac:dyDescent="0.2">
      <c r="A73" s="391"/>
      <c r="B73" s="76" t="s">
        <v>11</v>
      </c>
      <c r="C73" s="82" t="s">
        <v>160</v>
      </c>
      <c r="D73" s="392"/>
      <c r="E73" s="392"/>
      <c r="F73" s="79" t="s">
        <v>7</v>
      </c>
      <c r="G73" s="139">
        <v>169507</v>
      </c>
      <c r="H73" s="139">
        <f>ROUNDUP(130446+M73,0)</f>
        <v>159806</v>
      </c>
      <c r="I73" s="161">
        <f t="shared" si="22"/>
        <v>94.276932516061279</v>
      </c>
      <c r="J73" s="139">
        <v>31726</v>
      </c>
      <c r="K73" s="139">
        <f t="shared" si="24"/>
        <v>7335</v>
      </c>
      <c r="L73" s="139">
        <v>39061</v>
      </c>
      <c r="M73" s="80">
        <v>29359.14</v>
      </c>
      <c r="N73" s="81">
        <f t="shared" si="23"/>
        <v>75.162284631729861</v>
      </c>
      <c r="O73" s="389"/>
    </row>
    <row r="74" spans="1:15" s="15" customFormat="1" ht="11.1" customHeight="1" outlineLevel="1" x14ac:dyDescent="0.2">
      <c r="A74" s="118"/>
      <c r="B74" s="76" t="s">
        <v>12</v>
      </c>
      <c r="C74" s="149" t="s">
        <v>179</v>
      </c>
      <c r="D74" s="196"/>
      <c r="E74" s="109"/>
      <c r="F74" s="79" t="s">
        <v>8</v>
      </c>
      <c r="G74" s="139">
        <v>0</v>
      </c>
      <c r="H74" s="139">
        <f>ROUNDUP(0+M74,0)</f>
        <v>0</v>
      </c>
      <c r="I74" s="161" t="str">
        <f t="shared" si="22"/>
        <v>-</v>
      </c>
      <c r="J74" s="139">
        <v>0</v>
      </c>
      <c r="K74" s="139">
        <f t="shared" si="24"/>
        <v>0</v>
      </c>
      <c r="L74" s="139">
        <v>0</v>
      </c>
      <c r="M74" s="80">
        <v>0</v>
      </c>
      <c r="N74" s="81" t="str">
        <f t="shared" si="23"/>
        <v>-</v>
      </c>
      <c r="O74" s="389"/>
    </row>
    <row r="75" spans="1:15" s="15" customFormat="1" ht="11.1" customHeight="1" outlineLevel="1" x14ac:dyDescent="0.2">
      <c r="A75" s="118"/>
      <c r="B75" s="76"/>
      <c r="C75" s="82" t="s">
        <v>180</v>
      </c>
      <c r="D75" s="196"/>
      <c r="E75" s="109"/>
      <c r="F75" s="79" t="s">
        <v>22</v>
      </c>
      <c r="G75" s="139">
        <v>16438</v>
      </c>
      <c r="H75" s="139">
        <f>ROUNDUP(9542+M75,0)</f>
        <v>14724</v>
      </c>
      <c r="I75" s="161">
        <f t="shared" si="22"/>
        <v>89.572940747049529</v>
      </c>
      <c r="J75" s="139">
        <v>5599</v>
      </c>
      <c r="K75" s="139">
        <f t="shared" si="24"/>
        <v>1297</v>
      </c>
      <c r="L75" s="139">
        <v>6896</v>
      </c>
      <c r="M75" s="80">
        <v>5181.03</v>
      </c>
      <c r="N75" s="81">
        <f t="shared" si="23"/>
        <v>75.130945475638043</v>
      </c>
      <c r="O75" s="389"/>
    </row>
    <row r="76" spans="1:15" s="15" customFormat="1" ht="11.1" customHeight="1" outlineLevel="1" x14ac:dyDescent="0.2">
      <c r="A76" s="118"/>
      <c r="B76" s="76" t="s">
        <v>23</v>
      </c>
      <c r="C76" s="82" t="s">
        <v>161</v>
      </c>
      <c r="D76" s="196"/>
      <c r="E76" s="109"/>
      <c r="F76" s="106" t="s">
        <v>45</v>
      </c>
      <c r="G76" s="140">
        <v>0</v>
      </c>
      <c r="H76" s="139">
        <f>ROUNDUP(0+M76,0)</f>
        <v>0</v>
      </c>
      <c r="I76" s="81" t="str">
        <f t="shared" si="22"/>
        <v>-</v>
      </c>
      <c r="J76" s="139">
        <v>0</v>
      </c>
      <c r="K76" s="139">
        <f t="shared" si="24"/>
        <v>0</v>
      </c>
      <c r="L76" s="139">
        <v>0</v>
      </c>
      <c r="M76" s="80">
        <v>0</v>
      </c>
      <c r="N76" s="81" t="str">
        <f t="shared" si="23"/>
        <v>-</v>
      </c>
      <c r="O76" s="389"/>
    </row>
    <row r="77" spans="1:15" s="15" customFormat="1" ht="11.1" customHeight="1" outlineLevel="1" x14ac:dyDescent="0.2">
      <c r="A77" s="118"/>
      <c r="B77" s="76"/>
      <c r="C77" s="82"/>
      <c r="D77" s="196"/>
      <c r="E77" s="109"/>
      <c r="F77" s="106" t="s">
        <v>365</v>
      </c>
      <c r="G77" s="140">
        <v>0</v>
      </c>
      <c r="H77" s="139">
        <f>ROUNDUP(0+M77,0)</f>
        <v>0</v>
      </c>
      <c r="I77" s="81" t="str">
        <f t="shared" si="22"/>
        <v>-</v>
      </c>
      <c r="J77" s="139">
        <v>0</v>
      </c>
      <c r="K77" s="139">
        <f t="shared" si="24"/>
        <v>0</v>
      </c>
      <c r="L77" s="139">
        <v>0</v>
      </c>
      <c r="M77" s="80">
        <v>0</v>
      </c>
      <c r="N77" s="81" t="str">
        <f t="shared" si="23"/>
        <v>-</v>
      </c>
      <c r="O77" s="389"/>
    </row>
    <row r="78" spans="1:15" s="15" customFormat="1" ht="11.1" customHeight="1" outlineLevel="1" x14ac:dyDescent="0.2">
      <c r="A78" s="118"/>
      <c r="B78" s="76"/>
      <c r="C78" s="82"/>
      <c r="D78" s="196"/>
      <c r="E78" s="335"/>
      <c r="F78" s="79"/>
      <c r="G78" s="140"/>
      <c r="H78" s="139"/>
      <c r="I78" s="161"/>
      <c r="J78" s="139"/>
      <c r="K78" s="139"/>
      <c r="L78" s="214"/>
      <c r="M78" s="83"/>
      <c r="N78" s="81"/>
      <c r="O78" s="389"/>
    </row>
    <row r="79" spans="1:15" s="15" customFormat="1" ht="3.95" customHeight="1" outlineLevel="1" x14ac:dyDescent="0.2">
      <c r="A79" s="84"/>
      <c r="B79" s="85"/>
      <c r="C79" s="86"/>
      <c r="D79" s="197"/>
      <c r="E79" s="189"/>
      <c r="F79" s="159"/>
      <c r="G79" s="209"/>
      <c r="H79" s="209"/>
      <c r="I79" s="162"/>
      <c r="J79" s="209"/>
      <c r="K79" s="142"/>
      <c r="L79" s="216"/>
      <c r="M79" s="343"/>
      <c r="N79" s="88"/>
      <c r="O79" s="390"/>
    </row>
    <row r="80" spans="1:15" s="15" customFormat="1" ht="3.95" customHeight="1" outlineLevel="1" x14ac:dyDescent="0.2">
      <c r="A80" s="187"/>
      <c r="B80" s="72"/>
      <c r="C80" s="204"/>
      <c r="D80" s="193"/>
      <c r="E80" s="187"/>
      <c r="F80" s="194"/>
      <c r="G80" s="210"/>
      <c r="H80" s="210"/>
      <c r="I80" s="195"/>
      <c r="J80" s="210"/>
      <c r="K80" s="137"/>
      <c r="L80" s="211"/>
      <c r="M80" s="155"/>
      <c r="N80" s="153"/>
      <c r="O80" s="401" t="s">
        <v>503</v>
      </c>
    </row>
    <row r="81" spans="1:15" s="15" customFormat="1" ht="11.1" customHeight="1" outlineLevel="1" x14ac:dyDescent="0.2">
      <c r="A81" s="391" t="s">
        <v>76</v>
      </c>
      <c r="B81" s="76" t="s">
        <v>9</v>
      </c>
      <c r="C81" s="77" t="s">
        <v>55</v>
      </c>
      <c r="D81" s="392" t="s">
        <v>372</v>
      </c>
      <c r="E81" s="392" t="s">
        <v>165</v>
      </c>
      <c r="F81" s="78" t="s">
        <v>157</v>
      </c>
      <c r="G81" s="138">
        <f>SUM(G82:G87)</f>
        <v>1077413</v>
      </c>
      <c r="H81" s="243">
        <f>SUM(H82:H87)</f>
        <v>10576</v>
      </c>
      <c r="I81" s="160">
        <f t="shared" ref="I81:I87" si="25">IF(G81&gt;0,H81/G81*100,"-")</f>
        <v>0.98161058015821234</v>
      </c>
      <c r="J81" s="138">
        <f>SUM(J82:J85)</f>
        <v>0</v>
      </c>
      <c r="K81" s="138">
        <f>SUM(K82:K85)</f>
        <v>367341</v>
      </c>
      <c r="L81" s="215">
        <f>SUM(L82:L85)</f>
        <v>367341</v>
      </c>
      <c r="M81" s="38">
        <f>SUM(M82:M85)</f>
        <v>10575.09</v>
      </c>
      <c r="N81" s="39">
        <f t="shared" ref="N81:N87" si="26">IF(L81&gt;0,M81/L81*100,"-")</f>
        <v>2.8788210409401618</v>
      </c>
      <c r="O81" s="389"/>
    </row>
    <row r="82" spans="1:15" s="15" customFormat="1" ht="11.1" customHeight="1" outlineLevel="1" x14ac:dyDescent="0.2">
      <c r="A82" s="391"/>
      <c r="B82" s="76" t="s">
        <v>10</v>
      </c>
      <c r="C82" s="77" t="s">
        <v>158</v>
      </c>
      <c r="D82" s="392"/>
      <c r="E82" s="392"/>
      <c r="F82" s="79" t="s">
        <v>15</v>
      </c>
      <c r="G82" s="139">
        <v>0</v>
      </c>
      <c r="H82" s="139">
        <f t="shared" ref="H82:H87" si="27">ROUNDUP(0+M82,0)</f>
        <v>0</v>
      </c>
      <c r="I82" s="161" t="str">
        <f t="shared" si="25"/>
        <v>-</v>
      </c>
      <c r="J82" s="139">
        <v>0</v>
      </c>
      <c r="K82" s="139">
        <f t="shared" ref="K82:K87" si="28">L82-J82</f>
        <v>0</v>
      </c>
      <c r="L82" s="139">
        <v>0</v>
      </c>
      <c r="M82" s="80">
        <v>0</v>
      </c>
      <c r="N82" s="81" t="str">
        <f t="shared" si="26"/>
        <v>-</v>
      </c>
      <c r="O82" s="389"/>
    </row>
    <row r="83" spans="1:15" s="15" customFormat="1" ht="11.1" customHeight="1" outlineLevel="1" x14ac:dyDescent="0.2">
      <c r="A83" s="391"/>
      <c r="B83" s="76" t="s">
        <v>11</v>
      </c>
      <c r="C83" s="82" t="s">
        <v>159</v>
      </c>
      <c r="D83" s="392"/>
      <c r="E83" s="392"/>
      <c r="F83" s="79" t="s">
        <v>7</v>
      </c>
      <c r="G83" s="139">
        <v>915801</v>
      </c>
      <c r="H83" s="139">
        <f t="shared" si="27"/>
        <v>8989</v>
      </c>
      <c r="I83" s="161">
        <f t="shared" si="25"/>
        <v>0.98154511733444272</v>
      </c>
      <c r="J83" s="139">
        <v>0</v>
      </c>
      <c r="K83" s="139">
        <f t="shared" si="28"/>
        <v>312240</v>
      </c>
      <c r="L83" s="139">
        <v>312240</v>
      </c>
      <c r="M83" s="80">
        <v>8988.83</v>
      </c>
      <c r="N83" s="81">
        <f t="shared" si="26"/>
        <v>2.8788207788880351</v>
      </c>
      <c r="O83" s="389"/>
    </row>
    <row r="84" spans="1:15" s="15" customFormat="1" ht="11.1" customHeight="1" outlineLevel="1" x14ac:dyDescent="0.2">
      <c r="A84" s="118"/>
      <c r="B84" s="76" t="s">
        <v>12</v>
      </c>
      <c r="C84" s="149" t="s">
        <v>368</v>
      </c>
      <c r="D84" s="196"/>
      <c r="E84" s="109"/>
      <c r="F84" s="79" t="s">
        <v>8</v>
      </c>
      <c r="G84" s="139">
        <v>0</v>
      </c>
      <c r="H84" s="139">
        <f t="shared" si="27"/>
        <v>0</v>
      </c>
      <c r="I84" s="161" t="str">
        <f t="shared" si="25"/>
        <v>-</v>
      </c>
      <c r="J84" s="139">
        <v>0</v>
      </c>
      <c r="K84" s="139">
        <f t="shared" si="28"/>
        <v>0</v>
      </c>
      <c r="L84" s="139">
        <v>0</v>
      </c>
      <c r="M84" s="80">
        <v>0</v>
      </c>
      <c r="N84" s="81" t="str">
        <f t="shared" si="26"/>
        <v>-</v>
      </c>
      <c r="O84" s="389"/>
    </row>
    <row r="85" spans="1:15" s="15" customFormat="1" ht="11.1" customHeight="1" outlineLevel="1" x14ac:dyDescent="0.2">
      <c r="A85" s="118"/>
      <c r="B85" s="76"/>
      <c r="C85" s="82" t="s">
        <v>369</v>
      </c>
      <c r="D85" s="196"/>
      <c r="E85" s="109"/>
      <c r="F85" s="79" t="s">
        <v>22</v>
      </c>
      <c r="G85" s="139">
        <v>161612</v>
      </c>
      <c r="H85" s="139">
        <f t="shared" si="27"/>
        <v>1587</v>
      </c>
      <c r="I85" s="161">
        <f t="shared" si="25"/>
        <v>0.98198153602455274</v>
      </c>
      <c r="J85" s="139">
        <v>0</v>
      </c>
      <c r="K85" s="139">
        <f t="shared" si="28"/>
        <v>55101</v>
      </c>
      <c r="L85" s="139">
        <v>55101</v>
      </c>
      <c r="M85" s="80">
        <v>1586.26</v>
      </c>
      <c r="N85" s="81">
        <f t="shared" si="26"/>
        <v>2.8788225259069709</v>
      </c>
      <c r="O85" s="389"/>
    </row>
    <row r="86" spans="1:15" s="15" customFormat="1" ht="11.1" customHeight="1" outlineLevel="1" x14ac:dyDescent="0.2">
      <c r="A86" s="118"/>
      <c r="B86" s="76"/>
      <c r="C86" s="82" t="s">
        <v>370</v>
      </c>
      <c r="D86" s="196"/>
      <c r="E86" s="109"/>
      <c r="F86" s="106" t="s">
        <v>45</v>
      </c>
      <c r="G86" s="140">
        <v>0</v>
      </c>
      <c r="H86" s="139">
        <f t="shared" si="27"/>
        <v>0</v>
      </c>
      <c r="I86" s="81" t="str">
        <f t="shared" si="25"/>
        <v>-</v>
      </c>
      <c r="J86" s="139">
        <v>0</v>
      </c>
      <c r="K86" s="139">
        <f t="shared" si="28"/>
        <v>0</v>
      </c>
      <c r="L86" s="139">
        <v>0</v>
      </c>
      <c r="M86" s="80">
        <v>0</v>
      </c>
      <c r="N86" s="81" t="str">
        <f t="shared" si="26"/>
        <v>-</v>
      </c>
      <c r="O86" s="389"/>
    </row>
    <row r="87" spans="1:15" s="15" customFormat="1" ht="11.1" customHeight="1" outlineLevel="1" x14ac:dyDescent="0.2">
      <c r="A87" s="118"/>
      <c r="B87" s="76" t="s">
        <v>23</v>
      </c>
      <c r="C87" s="82" t="s">
        <v>371</v>
      </c>
      <c r="D87" s="196"/>
      <c r="E87" s="109"/>
      <c r="F87" s="106" t="s">
        <v>365</v>
      </c>
      <c r="G87" s="140">
        <v>0</v>
      </c>
      <c r="H87" s="139">
        <f t="shared" si="27"/>
        <v>0</v>
      </c>
      <c r="I87" s="81" t="str">
        <f t="shared" si="25"/>
        <v>-</v>
      </c>
      <c r="J87" s="139">
        <v>0</v>
      </c>
      <c r="K87" s="139">
        <f t="shared" si="28"/>
        <v>0</v>
      </c>
      <c r="L87" s="139">
        <v>0</v>
      </c>
      <c r="M87" s="80">
        <v>0</v>
      </c>
      <c r="N87" s="81" t="str">
        <f t="shared" si="26"/>
        <v>-</v>
      </c>
      <c r="O87" s="389"/>
    </row>
    <row r="88" spans="1:15" s="15" customFormat="1" ht="3.95" customHeight="1" outlineLevel="1" x14ac:dyDescent="0.2">
      <c r="A88" s="84"/>
      <c r="B88" s="85"/>
      <c r="C88" s="86"/>
      <c r="D88" s="197"/>
      <c r="E88" s="189"/>
      <c r="F88" s="159"/>
      <c r="G88" s="209"/>
      <c r="H88" s="209"/>
      <c r="I88" s="162"/>
      <c r="J88" s="209"/>
      <c r="K88" s="142"/>
      <c r="L88" s="216"/>
      <c r="M88" s="343"/>
      <c r="N88" s="88"/>
      <c r="O88" s="390"/>
    </row>
    <row r="89" spans="1:15" s="15" customFormat="1" ht="3.95" customHeight="1" outlineLevel="1" x14ac:dyDescent="0.2">
      <c r="A89" s="187"/>
      <c r="B89" s="72"/>
      <c r="C89" s="204"/>
      <c r="D89" s="193"/>
      <c r="E89" s="187"/>
      <c r="F89" s="194"/>
      <c r="G89" s="210"/>
      <c r="H89" s="210"/>
      <c r="I89" s="195"/>
      <c r="J89" s="210"/>
      <c r="K89" s="137"/>
      <c r="L89" s="211"/>
      <c r="M89" s="155"/>
      <c r="N89" s="153"/>
      <c r="O89" s="401" t="s">
        <v>504</v>
      </c>
    </row>
    <row r="90" spans="1:15" s="15" customFormat="1" ht="11.1" customHeight="1" outlineLevel="1" x14ac:dyDescent="0.2">
      <c r="A90" s="391" t="s">
        <v>77</v>
      </c>
      <c r="B90" s="76" t="s">
        <v>9</v>
      </c>
      <c r="C90" s="77" t="s">
        <v>55</v>
      </c>
      <c r="D90" s="392" t="s">
        <v>372</v>
      </c>
      <c r="E90" s="392" t="s">
        <v>164</v>
      </c>
      <c r="F90" s="78" t="s">
        <v>157</v>
      </c>
      <c r="G90" s="138">
        <f>SUM(G91:G96)</f>
        <v>2474300</v>
      </c>
      <c r="H90" s="243">
        <f>SUM(H91:H96)</f>
        <v>121789</v>
      </c>
      <c r="I90" s="160">
        <f t="shared" ref="I90:I96" si="29">IF(G90&gt;0,H90/G90*100,"-")</f>
        <v>4.9221598027725015</v>
      </c>
      <c r="J90" s="138">
        <f>SUM(J91:J94)</f>
        <v>0</v>
      </c>
      <c r="K90" s="138">
        <f>SUM(K91:K94)</f>
        <v>828600</v>
      </c>
      <c r="L90" s="215">
        <f>SUM(L91:L94)</f>
        <v>828600</v>
      </c>
      <c r="M90" s="38">
        <f>SUM(M91:M94)</f>
        <v>121787.25</v>
      </c>
      <c r="N90" s="39">
        <f t="shared" ref="N90:N96" si="30">IF(L90&gt;0,M90/L90*100,"-")</f>
        <v>14.697954380883418</v>
      </c>
      <c r="O90" s="389"/>
    </row>
    <row r="91" spans="1:15" s="15" customFormat="1" ht="11.1" customHeight="1" outlineLevel="1" x14ac:dyDescent="0.2">
      <c r="A91" s="391"/>
      <c r="B91" s="76" t="s">
        <v>10</v>
      </c>
      <c r="C91" s="77" t="s">
        <v>158</v>
      </c>
      <c r="D91" s="392"/>
      <c r="E91" s="392"/>
      <c r="F91" s="79" t="s">
        <v>15</v>
      </c>
      <c r="G91" s="139">
        <v>0</v>
      </c>
      <c r="H91" s="139">
        <f t="shared" ref="H91:H96" si="31">ROUNDUP(0+M91,0)</f>
        <v>0</v>
      </c>
      <c r="I91" s="161" t="str">
        <f t="shared" si="29"/>
        <v>-</v>
      </c>
      <c r="J91" s="139">
        <v>0</v>
      </c>
      <c r="K91" s="139">
        <f t="shared" ref="K91:K96" si="32">L91-J91</f>
        <v>0</v>
      </c>
      <c r="L91" s="139">
        <v>0</v>
      </c>
      <c r="M91" s="80">
        <v>0</v>
      </c>
      <c r="N91" s="81" t="str">
        <f t="shared" si="30"/>
        <v>-</v>
      </c>
      <c r="O91" s="389"/>
    </row>
    <row r="92" spans="1:15" s="15" customFormat="1" ht="11.1" customHeight="1" outlineLevel="1" x14ac:dyDescent="0.2">
      <c r="A92" s="391"/>
      <c r="B92" s="76" t="s">
        <v>11</v>
      </c>
      <c r="C92" s="82" t="s">
        <v>159</v>
      </c>
      <c r="D92" s="392"/>
      <c r="E92" s="392"/>
      <c r="F92" s="79" t="s">
        <v>7</v>
      </c>
      <c r="G92" s="139">
        <v>2103155</v>
      </c>
      <c r="H92" s="139">
        <f t="shared" si="31"/>
        <v>103520</v>
      </c>
      <c r="I92" s="161">
        <f t="shared" si="29"/>
        <v>4.9221288968240575</v>
      </c>
      <c r="J92" s="139">
        <v>0</v>
      </c>
      <c r="K92" s="139">
        <f t="shared" si="32"/>
        <v>704310</v>
      </c>
      <c r="L92" s="139">
        <v>704310</v>
      </c>
      <c r="M92" s="80">
        <v>103519.18</v>
      </c>
      <c r="N92" s="81">
        <f t="shared" si="30"/>
        <v>14.697956865584755</v>
      </c>
      <c r="O92" s="389"/>
    </row>
    <row r="93" spans="1:15" s="15" customFormat="1" ht="11.1" customHeight="1" outlineLevel="1" x14ac:dyDescent="0.2">
      <c r="A93" s="118"/>
      <c r="B93" s="76" t="s">
        <v>12</v>
      </c>
      <c r="C93" s="149" t="s">
        <v>373</v>
      </c>
      <c r="D93" s="196"/>
      <c r="E93" s="109"/>
      <c r="F93" s="79" t="s">
        <v>8</v>
      </c>
      <c r="G93" s="139">
        <v>0</v>
      </c>
      <c r="H93" s="139">
        <f t="shared" si="31"/>
        <v>0</v>
      </c>
      <c r="I93" s="161" t="str">
        <f t="shared" si="29"/>
        <v>-</v>
      </c>
      <c r="J93" s="139">
        <v>0</v>
      </c>
      <c r="K93" s="139">
        <f t="shared" si="32"/>
        <v>0</v>
      </c>
      <c r="L93" s="139">
        <v>0</v>
      </c>
      <c r="M93" s="80">
        <v>0</v>
      </c>
      <c r="N93" s="81" t="str">
        <f t="shared" si="30"/>
        <v>-</v>
      </c>
      <c r="O93" s="389"/>
    </row>
    <row r="94" spans="1:15" s="15" customFormat="1" ht="11.1" customHeight="1" outlineLevel="1" x14ac:dyDescent="0.2">
      <c r="A94" s="118"/>
      <c r="B94" s="76" t="s">
        <v>23</v>
      </c>
      <c r="C94" s="82" t="s">
        <v>374</v>
      </c>
      <c r="D94" s="196"/>
      <c r="E94" s="109"/>
      <c r="F94" s="79" t="s">
        <v>22</v>
      </c>
      <c r="G94" s="139">
        <v>371145</v>
      </c>
      <c r="H94" s="139">
        <f t="shared" si="31"/>
        <v>18269</v>
      </c>
      <c r="I94" s="161">
        <f t="shared" si="29"/>
        <v>4.9223349364803513</v>
      </c>
      <c r="J94" s="139">
        <v>0</v>
      </c>
      <c r="K94" s="139">
        <f t="shared" si="32"/>
        <v>124290</v>
      </c>
      <c r="L94" s="139">
        <v>124290</v>
      </c>
      <c r="M94" s="80">
        <v>18268.07</v>
      </c>
      <c r="N94" s="81">
        <f t="shared" si="30"/>
        <v>14.697940300909163</v>
      </c>
      <c r="O94" s="389"/>
    </row>
    <row r="95" spans="1:15" s="15" customFormat="1" ht="11.1" customHeight="1" outlineLevel="1" x14ac:dyDescent="0.2">
      <c r="A95" s="118"/>
      <c r="B95" s="76"/>
      <c r="C95" s="82" t="s">
        <v>375</v>
      </c>
      <c r="D95" s="196"/>
      <c r="E95" s="109"/>
      <c r="F95" s="106" t="s">
        <v>45</v>
      </c>
      <c r="G95" s="140">
        <v>0</v>
      </c>
      <c r="H95" s="139">
        <f t="shared" si="31"/>
        <v>0</v>
      </c>
      <c r="I95" s="81" t="str">
        <f t="shared" si="29"/>
        <v>-</v>
      </c>
      <c r="J95" s="139">
        <v>0</v>
      </c>
      <c r="K95" s="139">
        <f t="shared" si="32"/>
        <v>0</v>
      </c>
      <c r="L95" s="139">
        <v>0</v>
      </c>
      <c r="M95" s="80">
        <v>0</v>
      </c>
      <c r="N95" s="81" t="str">
        <f t="shared" si="30"/>
        <v>-</v>
      </c>
      <c r="O95" s="389"/>
    </row>
    <row r="96" spans="1:15" s="15" customFormat="1" ht="11.1" customHeight="1" outlineLevel="1" x14ac:dyDescent="0.2">
      <c r="A96" s="118"/>
      <c r="B96" s="76"/>
      <c r="C96" s="82" t="s">
        <v>376</v>
      </c>
      <c r="D96" s="196"/>
      <c r="E96" s="109"/>
      <c r="F96" s="106" t="s">
        <v>365</v>
      </c>
      <c r="G96" s="140">
        <v>0</v>
      </c>
      <c r="H96" s="139">
        <f t="shared" si="31"/>
        <v>0</v>
      </c>
      <c r="I96" s="81" t="str">
        <f t="shared" si="29"/>
        <v>-</v>
      </c>
      <c r="J96" s="139">
        <v>0</v>
      </c>
      <c r="K96" s="139">
        <f t="shared" si="32"/>
        <v>0</v>
      </c>
      <c r="L96" s="139">
        <v>0</v>
      </c>
      <c r="M96" s="80">
        <v>0</v>
      </c>
      <c r="N96" s="81" t="str">
        <f t="shared" si="30"/>
        <v>-</v>
      </c>
      <c r="O96" s="389"/>
    </row>
    <row r="97" spans="1:15" s="15" customFormat="1" ht="11.1" customHeight="1" outlineLevel="1" x14ac:dyDescent="0.2">
      <c r="A97" s="118"/>
      <c r="B97" s="76"/>
      <c r="C97" s="82" t="s">
        <v>378</v>
      </c>
      <c r="D97" s="196"/>
      <c r="E97" s="335"/>
      <c r="F97" s="106"/>
      <c r="G97" s="140"/>
      <c r="H97" s="139"/>
      <c r="I97" s="161"/>
      <c r="J97" s="139"/>
      <c r="K97" s="139"/>
      <c r="L97" s="214"/>
      <c r="M97" s="80"/>
      <c r="N97" s="81"/>
      <c r="O97" s="389"/>
    </row>
    <row r="98" spans="1:15" s="15" customFormat="1" ht="11.1" customHeight="1" outlineLevel="1" x14ac:dyDescent="0.2">
      <c r="A98" s="118"/>
      <c r="B98" s="76"/>
      <c r="C98" s="82" t="s">
        <v>377</v>
      </c>
      <c r="D98" s="196"/>
      <c r="E98" s="335"/>
      <c r="F98" s="79"/>
      <c r="G98" s="140"/>
      <c r="H98" s="139"/>
      <c r="I98" s="161"/>
      <c r="J98" s="139"/>
      <c r="K98" s="139"/>
      <c r="L98" s="214"/>
      <c r="M98" s="83"/>
      <c r="N98" s="81"/>
      <c r="O98" s="389"/>
    </row>
    <row r="99" spans="1:15" s="15" customFormat="1" ht="3.95" customHeight="1" outlineLevel="1" x14ac:dyDescent="0.2">
      <c r="A99" s="84"/>
      <c r="B99" s="85"/>
      <c r="C99" s="86"/>
      <c r="D99" s="197"/>
      <c r="E99" s="189"/>
      <c r="F99" s="159"/>
      <c r="G99" s="209"/>
      <c r="H99" s="209"/>
      <c r="I99" s="162"/>
      <c r="J99" s="209"/>
      <c r="K99" s="142"/>
      <c r="L99" s="216"/>
      <c r="M99" s="343"/>
      <c r="N99" s="88"/>
      <c r="O99" s="390"/>
    </row>
    <row r="100" spans="1:15" s="15" customFormat="1" ht="3.95" customHeight="1" outlineLevel="1" x14ac:dyDescent="0.2">
      <c r="A100" s="71"/>
      <c r="B100" s="72"/>
      <c r="C100" s="73"/>
      <c r="D100" s="198"/>
      <c r="E100" s="199"/>
      <c r="F100" s="194"/>
      <c r="G100" s="211"/>
      <c r="H100" s="210"/>
      <c r="I100" s="195"/>
      <c r="J100" s="210"/>
      <c r="K100" s="137"/>
      <c r="L100" s="211"/>
      <c r="M100" s="155"/>
      <c r="N100" s="75"/>
      <c r="O100" s="401" t="s">
        <v>505</v>
      </c>
    </row>
    <row r="101" spans="1:15" s="15" customFormat="1" ht="11.1" customHeight="1" outlineLevel="1" x14ac:dyDescent="0.2">
      <c r="A101" s="391" t="s">
        <v>79</v>
      </c>
      <c r="B101" s="76" t="s">
        <v>9</v>
      </c>
      <c r="C101" s="77" t="s">
        <v>55</v>
      </c>
      <c r="D101" s="392" t="s">
        <v>51</v>
      </c>
      <c r="E101" s="392" t="s">
        <v>165</v>
      </c>
      <c r="F101" s="78" t="s">
        <v>157</v>
      </c>
      <c r="G101" s="138">
        <f>SUM(G102:G107)</f>
        <v>379380</v>
      </c>
      <c r="H101" s="243">
        <f>SUM(H102:H107)</f>
        <v>322562</v>
      </c>
      <c r="I101" s="39">
        <f t="shared" ref="I101:I107" si="33">IF(G101&gt;0,H101/G101*100,"-")</f>
        <v>85.023459328377882</v>
      </c>
      <c r="J101" s="138">
        <f>SUM(J102:J105)</f>
        <v>138003</v>
      </c>
      <c r="K101" s="138">
        <f>SUM(K102:K105)</f>
        <v>80464</v>
      </c>
      <c r="L101" s="215">
        <f>SUM(L102:L105)</f>
        <v>218467</v>
      </c>
      <c r="M101" s="38">
        <f>SUM(M102:M105)</f>
        <v>161647.71</v>
      </c>
      <c r="N101" s="39">
        <f t="shared" ref="N101:N107" si="34">IF(L101&gt;0,M101/L101*100,"-")</f>
        <v>73.991820274915653</v>
      </c>
      <c r="O101" s="389"/>
    </row>
    <row r="102" spans="1:15" s="15" customFormat="1" ht="11.1" customHeight="1" outlineLevel="1" x14ac:dyDescent="0.2">
      <c r="A102" s="391"/>
      <c r="B102" s="76" t="s">
        <v>10</v>
      </c>
      <c r="C102" s="77" t="s">
        <v>158</v>
      </c>
      <c r="D102" s="392"/>
      <c r="E102" s="392"/>
      <c r="F102" s="79" t="s">
        <v>15</v>
      </c>
      <c r="G102" s="179">
        <v>0</v>
      </c>
      <c r="H102" s="139">
        <f>ROUNDUP(0+M102,0)</f>
        <v>0</v>
      </c>
      <c r="I102" s="81" t="str">
        <f t="shared" si="33"/>
        <v>-</v>
      </c>
      <c r="J102" s="139">
        <v>0</v>
      </c>
      <c r="K102" s="139">
        <f t="shared" ref="K102:K107" si="35">L102-J102</f>
        <v>0</v>
      </c>
      <c r="L102" s="139">
        <v>0</v>
      </c>
      <c r="M102" s="80">
        <v>0</v>
      </c>
      <c r="N102" s="81" t="str">
        <f t="shared" si="34"/>
        <v>-</v>
      </c>
      <c r="O102" s="389"/>
    </row>
    <row r="103" spans="1:15" s="15" customFormat="1" ht="11.1" customHeight="1" outlineLevel="1" x14ac:dyDescent="0.2">
      <c r="A103" s="391"/>
      <c r="B103" s="76" t="s">
        <v>11</v>
      </c>
      <c r="C103" s="82" t="s">
        <v>159</v>
      </c>
      <c r="D103" s="392"/>
      <c r="E103" s="392"/>
      <c r="F103" s="79" t="s">
        <v>7</v>
      </c>
      <c r="G103" s="179">
        <v>322472</v>
      </c>
      <c r="H103" s="139">
        <f>ROUNDUP(136776+M103,0)</f>
        <v>274177</v>
      </c>
      <c r="I103" s="81">
        <f t="shared" si="33"/>
        <v>85.023505916792772</v>
      </c>
      <c r="J103" s="139">
        <v>117302</v>
      </c>
      <c r="K103" s="139">
        <f t="shared" si="35"/>
        <v>68394</v>
      </c>
      <c r="L103" s="139">
        <v>185696</v>
      </c>
      <c r="M103" s="80">
        <v>137400.54999999999</v>
      </c>
      <c r="N103" s="81">
        <f t="shared" si="34"/>
        <v>73.992196924004816</v>
      </c>
      <c r="O103" s="389"/>
    </row>
    <row r="104" spans="1:15" s="15" customFormat="1" ht="11.1" customHeight="1" outlineLevel="1" x14ac:dyDescent="0.2">
      <c r="A104" s="118"/>
      <c r="B104" s="76" t="s">
        <v>12</v>
      </c>
      <c r="C104" s="149" t="s">
        <v>264</v>
      </c>
      <c r="D104" s="196"/>
      <c r="E104" s="109"/>
      <c r="F104" s="79" t="s">
        <v>8</v>
      </c>
      <c r="G104" s="179">
        <v>0</v>
      </c>
      <c r="H104" s="139">
        <f>ROUNDUP(0+M104,0)</f>
        <v>0</v>
      </c>
      <c r="I104" s="81" t="str">
        <f t="shared" si="33"/>
        <v>-</v>
      </c>
      <c r="J104" s="139">
        <v>0</v>
      </c>
      <c r="K104" s="139">
        <f t="shared" si="35"/>
        <v>0</v>
      </c>
      <c r="L104" s="139">
        <v>0</v>
      </c>
      <c r="M104" s="80">
        <v>0</v>
      </c>
      <c r="N104" s="81" t="str">
        <f t="shared" si="34"/>
        <v>-</v>
      </c>
      <c r="O104" s="389"/>
    </row>
    <row r="105" spans="1:15" s="15" customFormat="1" ht="11.1" customHeight="1" outlineLevel="1" x14ac:dyDescent="0.2">
      <c r="A105" s="118"/>
      <c r="B105" s="76"/>
      <c r="C105" s="82" t="s">
        <v>181</v>
      </c>
      <c r="D105" s="196"/>
      <c r="E105" s="109"/>
      <c r="F105" s="79" t="s">
        <v>22</v>
      </c>
      <c r="G105" s="179">
        <v>56908</v>
      </c>
      <c r="H105" s="140">
        <f>ROUNDUP(24137+M105,0)</f>
        <v>48385</v>
      </c>
      <c r="I105" s="81">
        <f t="shared" si="33"/>
        <v>85.023195332817878</v>
      </c>
      <c r="J105" s="139">
        <v>20701</v>
      </c>
      <c r="K105" s="139">
        <f t="shared" si="35"/>
        <v>12070</v>
      </c>
      <c r="L105" s="139">
        <v>32771</v>
      </c>
      <c r="M105" s="80">
        <v>24247.16</v>
      </c>
      <c r="N105" s="81">
        <f t="shared" si="34"/>
        <v>73.989686002868396</v>
      </c>
      <c r="O105" s="389"/>
    </row>
    <row r="106" spans="1:15" s="15" customFormat="1" ht="11.1" customHeight="1" outlineLevel="1" x14ac:dyDescent="0.2">
      <c r="A106" s="118"/>
      <c r="B106" s="76" t="s">
        <v>23</v>
      </c>
      <c r="C106" s="82" t="s">
        <v>379</v>
      </c>
      <c r="D106" s="152"/>
      <c r="E106" s="152"/>
      <c r="F106" s="106" t="s">
        <v>45</v>
      </c>
      <c r="G106" s="140">
        <v>0</v>
      </c>
      <c r="H106" s="139">
        <f>ROUNDUP(0+M106,0)</f>
        <v>0</v>
      </c>
      <c r="I106" s="81" t="str">
        <f t="shared" si="33"/>
        <v>-</v>
      </c>
      <c r="J106" s="139">
        <v>0</v>
      </c>
      <c r="K106" s="139">
        <f t="shared" si="35"/>
        <v>0</v>
      </c>
      <c r="L106" s="139">
        <v>0</v>
      </c>
      <c r="M106" s="80">
        <v>0</v>
      </c>
      <c r="N106" s="81" t="str">
        <f t="shared" si="34"/>
        <v>-</v>
      </c>
      <c r="O106" s="389"/>
    </row>
    <row r="107" spans="1:15" s="15" customFormat="1" ht="11.1" customHeight="1" outlineLevel="1" x14ac:dyDescent="0.2">
      <c r="A107" s="118"/>
      <c r="B107" s="76"/>
      <c r="C107" s="82" t="s">
        <v>380</v>
      </c>
      <c r="D107" s="118"/>
      <c r="E107" s="118"/>
      <c r="F107" s="106" t="s">
        <v>365</v>
      </c>
      <c r="G107" s="140">
        <v>0</v>
      </c>
      <c r="H107" s="139">
        <f>ROUNDUP(0+M107,0)</f>
        <v>0</v>
      </c>
      <c r="I107" s="81" t="str">
        <f t="shared" si="33"/>
        <v>-</v>
      </c>
      <c r="J107" s="139">
        <v>0</v>
      </c>
      <c r="K107" s="139">
        <f t="shared" si="35"/>
        <v>0</v>
      </c>
      <c r="L107" s="139">
        <v>0</v>
      </c>
      <c r="M107" s="80">
        <v>0</v>
      </c>
      <c r="N107" s="81" t="str">
        <f t="shared" si="34"/>
        <v>-</v>
      </c>
      <c r="O107" s="389"/>
    </row>
    <row r="108" spans="1:15" s="15" customFormat="1" ht="3.95" customHeight="1" outlineLevel="1" x14ac:dyDescent="0.2">
      <c r="A108" s="119"/>
      <c r="B108" s="85"/>
      <c r="C108" s="205"/>
      <c r="D108" s="119"/>
      <c r="E108" s="119"/>
      <c r="F108" s="206"/>
      <c r="G108" s="141"/>
      <c r="H108" s="141"/>
      <c r="I108" s="88"/>
      <c r="J108" s="142"/>
      <c r="K108" s="142"/>
      <c r="L108" s="217"/>
      <c r="M108" s="87"/>
      <c r="N108" s="88"/>
      <c r="O108" s="390"/>
    </row>
    <row r="109" spans="1:15" ht="3.95" customHeight="1" outlineLevel="1" x14ac:dyDescent="0.2">
      <c r="A109" s="59"/>
      <c r="B109" s="60"/>
      <c r="C109" s="61"/>
      <c r="D109" s="62"/>
      <c r="E109" s="62"/>
      <c r="F109" s="59"/>
      <c r="G109" s="132"/>
      <c r="H109" s="132"/>
      <c r="I109" s="59"/>
      <c r="J109" s="132"/>
      <c r="K109" s="132"/>
      <c r="L109" s="132"/>
      <c r="M109" s="63"/>
      <c r="N109" s="64"/>
      <c r="O109" s="323"/>
    </row>
    <row r="110" spans="1:15" ht="11.45" customHeight="1" outlineLevel="1" x14ac:dyDescent="0.2">
      <c r="A110" s="28" t="s">
        <v>50</v>
      </c>
      <c r="B110" s="397" t="s">
        <v>155</v>
      </c>
      <c r="C110" s="398"/>
      <c r="D110" s="29"/>
      <c r="E110" s="29"/>
      <c r="F110" s="30"/>
      <c r="G110" s="133">
        <f>SUM(G111:G116)</f>
        <v>18608138</v>
      </c>
      <c r="H110" s="133">
        <f>SUM(H111:H116)</f>
        <v>14329968</v>
      </c>
      <c r="I110" s="32">
        <f>IF(G110&gt;0,H110/G110*100,"-")</f>
        <v>77.009145138541001</v>
      </c>
      <c r="J110" s="133">
        <f>SUM(J111:J116)</f>
        <v>2177005</v>
      </c>
      <c r="K110" s="133">
        <f>SUM(K111:K116)</f>
        <v>2617449</v>
      </c>
      <c r="L110" s="133">
        <f>SUM(L111:L116)</f>
        <v>4794454</v>
      </c>
      <c r="M110" s="31">
        <f>SUM(M111:M116)</f>
        <v>1574073.1600000001</v>
      </c>
      <c r="N110" s="32">
        <f t="shared" ref="N110:N116" si="36">IF(L110&gt;0,M110/L110*100,"-")</f>
        <v>32.831124461721814</v>
      </c>
      <c r="O110" s="324"/>
    </row>
    <row r="111" spans="1:15" ht="11.45" customHeight="1" outlineLevel="1" x14ac:dyDescent="0.2">
      <c r="A111" s="30"/>
      <c r="B111" s="33"/>
      <c r="C111" s="34"/>
      <c r="D111" s="29"/>
      <c r="E111" s="29"/>
      <c r="F111" s="35" t="s">
        <v>15</v>
      </c>
      <c r="G111" s="134">
        <f t="shared" ref="G111:H116" si="37">G120+G130+G154+G200+G210</f>
        <v>1796430</v>
      </c>
      <c r="H111" s="134">
        <f t="shared" si="37"/>
        <v>1568606</v>
      </c>
      <c r="I111" s="37">
        <f t="shared" ref="I111:I116" si="38">IF(G111&gt;0,H111/G111*100,"-")</f>
        <v>87.317958395261712</v>
      </c>
      <c r="J111" s="134">
        <f t="shared" ref="J111:M116" si="39">J120+J130+J154+J200+J210</f>
        <v>289172</v>
      </c>
      <c r="K111" s="134">
        <f t="shared" si="39"/>
        <v>20112</v>
      </c>
      <c r="L111" s="134">
        <f t="shared" si="39"/>
        <v>309284</v>
      </c>
      <c r="M111" s="36">
        <f t="shared" si="39"/>
        <v>133591.51999999999</v>
      </c>
      <c r="N111" s="37">
        <f t="shared" si="36"/>
        <v>43.193802459875066</v>
      </c>
      <c r="O111" s="324"/>
    </row>
    <row r="112" spans="1:15" ht="11.45" customHeight="1" outlineLevel="1" x14ac:dyDescent="0.2">
      <c r="A112" s="30"/>
      <c r="B112" s="33"/>
      <c r="C112" s="34"/>
      <c r="D112" s="29"/>
      <c r="E112" s="29"/>
      <c r="F112" s="35" t="s">
        <v>7</v>
      </c>
      <c r="G112" s="134">
        <f t="shared" si="37"/>
        <v>15476101</v>
      </c>
      <c r="H112" s="134">
        <f t="shared" si="37"/>
        <v>11857801</v>
      </c>
      <c r="I112" s="37">
        <f t="shared" si="38"/>
        <v>76.620080212709908</v>
      </c>
      <c r="J112" s="134">
        <f t="shared" si="39"/>
        <v>1724322</v>
      </c>
      <c r="K112" s="134">
        <f t="shared" si="39"/>
        <v>2350964</v>
      </c>
      <c r="L112" s="134">
        <f t="shared" si="39"/>
        <v>4075286</v>
      </c>
      <c r="M112" s="36">
        <f t="shared" si="39"/>
        <v>1311796.3</v>
      </c>
      <c r="N112" s="37">
        <f t="shared" si="36"/>
        <v>32.189061086755629</v>
      </c>
      <c r="O112" s="324"/>
    </row>
    <row r="113" spans="1:15" ht="11.45" customHeight="1" outlineLevel="1" x14ac:dyDescent="0.2">
      <c r="A113" s="30"/>
      <c r="B113" s="33"/>
      <c r="C113" s="34"/>
      <c r="D113" s="29"/>
      <c r="E113" s="29"/>
      <c r="F113" s="35" t="s">
        <v>8</v>
      </c>
      <c r="G113" s="134">
        <f t="shared" si="37"/>
        <v>0</v>
      </c>
      <c r="H113" s="134">
        <f t="shared" si="37"/>
        <v>0</v>
      </c>
      <c r="I113" s="37" t="str">
        <f t="shared" si="38"/>
        <v>-</v>
      </c>
      <c r="J113" s="134">
        <f t="shared" si="39"/>
        <v>0</v>
      </c>
      <c r="K113" s="134">
        <f t="shared" si="39"/>
        <v>0</v>
      </c>
      <c r="L113" s="134">
        <f t="shared" si="39"/>
        <v>0</v>
      </c>
      <c r="M113" s="36">
        <f t="shared" si="39"/>
        <v>0</v>
      </c>
      <c r="N113" s="37" t="str">
        <f t="shared" si="36"/>
        <v>-</v>
      </c>
      <c r="O113" s="324"/>
    </row>
    <row r="114" spans="1:15" ht="11.45" customHeight="1" outlineLevel="1" x14ac:dyDescent="0.2">
      <c r="A114" s="30"/>
      <c r="B114" s="33"/>
      <c r="C114" s="34"/>
      <c r="D114" s="29"/>
      <c r="E114" s="29"/>
      <c r="F114" s="35" t="s">
        <v>22</v>
      </c>
      <c r="G114" s="134">
        <f t="shared" si="37"/>
        <v>1335607</v>
      </c>
      <c r="H114" s="134">
        <f t="shared" si="37"/>
        <v>903561</v>
      </c>
      <c r="I114" s="37">
        <f t="shared" si="38"/>
        <v>67.651711918251394</v>
      </c>
      <c r="J114" s="134">
        <f t="shared" si="39"/>
        <v>163511</v>
      </c>
      <c r="K114" s="134">
        <f t="shared" si="39"/>
        <v>246373</v>
      </c>
      <c r="L114" s="134">
        <f t="shared" si="39"/>
        <v>409884</v>
      </c>
      <c r="M114" s="36">
        <f t="shared" si="39"/>
        <v>128685.34000000001</v>
      </c>
      <c r="N114" s="37">
        <f t="shared" si="36"/>
        <v>31.395550936362486</v>
      </c>
      <c r="O114" s="324"/>
    </row>
    <row r="115" spans="1:15" ht="11.45" customHeight="1" outlineLevel="1" x14ac:dyDescent="0.2">
      <c r="A115" s="30"/>
      <c r="B115" s="33"/>
      <c r="C115" s="34"/>
      <c r="D115" s="29"/>
      <c r="E115" s="29"/>
      <c r="F115" s="35" t="s">
        <v>45</v>
      </c>
      <c r="G115" s="134">
        <f t="shared" si="37"/>
        <v>0</v>
      </c>
      <c r="H115" s="134">
        <f t="shared" si="37"/>
        <v>0</v>
      </c>
      <c r="I115" s="37" t="str">
        <f t="shared" si="38"/>
        <v>-</v>
      </c>
      <c r="J115" s="134">
        <f t="shared" si="39"/>
        <v>0</v>
      </c>
      <c r="K115" s="134">
        <f t="shared" si="39"/>
        <v>0</v>
      </c>
      <c r="L115" s="134">
        <f t="shared" si="39"/>
        <v>0</v>
      </c>
      <c r="M115" s="36">
        <f t="shared" si="39"/>
        <v>0</v>
      </c>
      <c r="N115" s="37" t="str">
        <f t="shared" si="36"/>
        <v>-</v>
      </c>
      <c r="O115" s="324"/>
    </row>
    <row r="116" spans="1:15" ht="11.45" customHeight="1" outlineLevel="1" x14ac:dyDescent="0.2">
      <c r="A116" s="30"/>
      <c r="B116" s="33"/>
      <c r="C116" s="34"/>
      <c r="D116" s="29"/>
      <c r="E116" s="29"/>
      <c r="F116" s="35" t="s">
        <v>365</v>
      </c>
      <c r="G116" s="134">
        <f t="shared" si="37"/>
        <v>0</v>
      </c>
      <c r="H116" s="134">
        <f t="shared" si="37"/>
        <v>0</v>
      </c>
      <c r="I116" s="37" t="str">
        <f t="shared" si="38"/>
        <v>-</v>
      </c>
      <c r="J116" s="134">
        <f t="shared" si="39"/>
        <v>0</v>
      </c>
      <c r="K116" s="134">
        <f t="shared" si="39"/>
        <v>0</v>
      </c>
      <c r="L116" s="134">
        <f t="shared" si="39"/>
        <v>0</v>
      </c>
      <c r="M116" s="36">
        <f t="shared" si="39"/>
        <v>0</v>
      </c>
      <c r="N116" s="37" t="str">
        <f t="shared" si="36"/>
        <v>-</v>
      </c>
      <c r="O116" s="324"/>
    </row>
    <row r="117" spans="1:15" ht="3.95" customHeight="1" outlineLevel="1" x14ac:dyDescent="0.2">
      <c r="A117" s="65"/>
      <c r="B117" s="66"/>
      <c r="C117" s="67"/>
      <c r="D117" s="68"/>
      <c r="E117" s="68"/>
      <c r="F117" s="65"/>
      <c r="G117" s="135"/>
      <c r="H117" s="135"/>
      <c r="I117" s="70"/>
      <c r="J117" s="135"/>
      <c r="K117" s="135"/>
      <c r="L117" s="135"/>
      <c r="M117" s="69"/>
      <c r="N117" s="70"/>
      <c r="O117" s="325"/>
    </row>
    <row r="118" spans="1:15" s="15" customFormat="1" ht="3.95" customHeight="1" outlineLevel="1" x14ac:dyDescent="0.2">
      <c r="A118" s="71"/>
      <c r="B118" s="72"/>
      <c r="C118" s="73"/>
      <c r="D118" s="198"/>
      <c r="E118" s="199"/>
      <c r="F118" s="194"/>
      <c r="G118" s="211"/>
      <c r="H118" s="210"/>
      <c r="I118" s="195"/>
      <c r="J118" s="210"/>
      <c r="K118" s="137"/>
      <c r="L118" s="211"/>
      <c r="M118" s="155"/>
      <c r="N118" s="75"/>
      <c r="O118" s="401" t="s">
        <v>492</v>
      </c>
    </row>
    <row r="119" spans="1:15" s="15" customFormat="1" ht="11.1" customHeight="1" outlineLevel="1" x14ac:dyDescent="0.2">
      <c r="A119" s="391" t="s">
        <v>511</v>
      </c>
      <c r="B119" s="76" t="s">
        <v>9</v>
      </c>
      <c r="C119" s="77" t="s">
        <v>49</v>
      </c>
      <c r="D119" s="392" t="s">
        <v>372</v>
      </c>
      <c r="E119" s="392" t="s">
        <v>54</v>
      </c>
      <c r="F119" s="78" t="s">
        <v>157</v>
      </c>
      <c r="G119" s="138">
        <f>SUM(G120:G125)</f>
        <v>1259801</v>
      </c>
      <c r="H119" s="243">
        <f>SUM(H120:H125)</f>
        <v>0</v>
      </c>
      <c r="I119" s="39">
        <f t="shared" ref="I119:I125" si="40">IF(G119&gt;0,H119/G119*100,"-")</f>
        <v>0</v>
      </c>
      <c r="J119" s="138">
        <f>SUM(J120:J123)</f>
        <v>0</v>
      </c>
      <c r="K119" s="138">
        <f>SUM(K120:K123)</f>
        <v>702967</v>
      </c>
      <c r="L119" s="215">
        <f>SUM(L120:L123)</f>
        <v>702967</v>
      </c>
      <c r="M119" s="38">
        <f>SUM(M120:M123)</f>
        <v>0</v>
      </c>
      <c r="N119" s="39">
        <f t="shared" ref="N119:N125" si="41">IF(L119&gt;0,M119/L119*100,"-")</f>
        <v>0</v>
      </c>
      <c r="O119" s="389"/>
    </row>
    <row r="120" spans="1:15" s="15" customFormat="1" ht="11.1" customHeight="1" outlineLevel="1" x14ac:dyDescent="0.2">
      <c r="A120" s="391"/>
      <c r="B120" s="76" t="s">
        <v>10</v>
      </c>
      <c r="C120" s="77" t="s">
        <v>65</v>
      </c>
      <c r="D120" s="392"/>
      <c r="E120" s="392"/>
      <c r="F120" s="79" t="s">
        <v>15</v>
      </c>
      <c r="G120" s="179">
        <v>0</v>
      </c>
      <c r="H120" s="139">
        <f t="shared" ref="H120:H125" si="42">ROUNDUP(0+M120,0)</f>
        <v>0</v>
      </c>
      <c r="I120" s="81" t="str">
        <f t="shared" si="40"/>
        <v>-</v>
      </c>
      <c r="J120" s="139">
        <v>0</v>
      </c>
      <c r="K120" s="139">
        <f t="shared" ref="K120:K125" si="43">L120-J120</f>
        <v>0</v>
      </c>
      <c r="L120" s="139">
        <v>0</v>
      </c>
      <c r="M120" s="80">
        <v>0</v>
      </c>
      <c r="N120" s="81" t="str">
        <f t="shared" si="41"/>
        <v>-</v>
      </c>
      <c r="O120" s="389"/>
    </row>
    <row r="121" spans="1:15" s="15" customFormat="1" ht="11.1" customHeight="1" outlineLevel="1" x14ac:dyDescent="0.2">
      <c r="A121" s="391"/>
      <c r="B121" s="76"/>
      <c r="C121" s="82" t="s">
        <v>64</v>
      </c>
      <c r="D121" s="392"/>
      <c r="E121" s="392"/>
      <c r="F121" s="79" t="s">
        <v>7</v>
      </c>
      <c r="G121" s="179">
        <v>1070831</v>
      </c>
      <c r="H121" s="139">
        <f t="shared" si="42"/>
        <v>0</v>
      </c>
      <c r="I121" s="81">
        <f t="shared" si="40"/>
        <v>0</v>
      </c>
      <c r="J121" s="139">
        <v>0</v>
      </c>
      <c r="K121" s="139">
        <f t="shared" si="43"/>
        <v>597522</v>
      </c>
      <c r="L121" s="139">
        <v>597522</v>
      </c>
      <c r="M121" s="80">
        <v>0</v>
      </c>
      <c r="N121" s="81">
        <f t="shared" si="41"/>
        <v>0</v>
      </c>
      <c r="O121" s="389"/>
    </row>
    <row r="122" spans="1:15" s="15" customFormat="1" ht="11.1" customHeight="1" outlineLevel="1" x14ac:dyDescent="0.2">
      <c r="A122" s="118"/>
      <c r="B122" s="76" t="s">
        <v>11</v>
      </c>
      <c r="C122" s="82" t="s">
        <v>66</v>
      </c>
      <c r="D122" s="196"/>
      <c r="E122" s="109"/>
      <c r="F122" s="79" t="s">
        <v>8</v>
      </c>
      <c r="G122" s="179">
        <v>0</v>
      </c>
      <c r="H122" s="139">
        <f t="shared" si="42"/>
        <v>0</v>
      </c>
      <c r="I122" s="81" t="str">
        <f t="shared" si="40"/>
        <v>-</v>
      </c>
      <c r="J122" s="139">
        <v>0</v>
      </c>
      <c r="K122" s="139">
        <f t="shared" si="43"/>
        <v>0</v>
      </c>
      <c r="L122" s="139">
        <v>0</v>
      </c>
      <c r="M122" s="80">
        <v>0</v>
      </c>
      <c r="N122" s="81" t="str">
        <f t="shared" si="41"/>
        <v>-</v>
      </c>
      <c r="O122" s="389"/>
    </row>
    <row r="123" spans="1:15" s="15" customFormat="1" ht="11.1" customHeight="1" outlineLevel="1" x14ac:dyDescent="0.2">
      <c r="A123" s="118"/>
      <c r="B123" s="76" t="s">
        <v>12</v>
      </c>
      <c r="C123" s="82" t="s">
        <v>381</v>
      </c>
      <c r="D123" s="196"/>
      <c r="E123" s="109"/>
      <c r="F123" s="79" t="s">
        <v>22</v>
      </c>
      <c r="G123" s="179">
        <v>188970</v>
      </c>
      <c r="H123" s="139">
        <f t="shared" si="42"/>
        <v>0</v>
      </c>
      <c r="I123" s="81">
        <f t="shared" si="40"/>
        <v>0</v>
      </c>
      <c r="J123" s="139">
        <v>0</v>
      </c>
      <c r="K123" s="139">
        <f t="shared" si="43"/>
        <v>105445</v>
      </c>
      <c r="L123" s="139">
        <v>105445</v>
      </c>
      <c r="M123" s="80">
        <v>0</v>
      </c>
      <c r="N123" s="81">
        <f t="shared" si="41"/>
        <v>0</v>
      </c>
      <c r="O123" s="389"/>
    </row>
    <row r="124" spans="1:15" s="15" customFormat="1" ht="11.1" customHeight="1" outlineLevel="1" x14ac:dyDescent="0.2">
      <c r="A124" s="118"/>
      <c r="B124" s="76" t="s">
        <v>23</v>
      </c>
      <c r="C124" s="82" t="s">
        <v>382</v>
      </c>
      <c r="D124" s="341"/>
      <c r="E124" s="341"/>
      <c r="F124" s="106" t="s">
        <v>45</v>
      </c>
      <c r="G124" s="140">
        <v>0</v>
      </c>
      <c r="H124" s="139">
        <f t="shared" si="42"/>
        <v>0</v>
      </c>
      <c r="I124" s="81" t="str">
        <f t="shared" si="40"/>
        <v>-</v>
      </c>
      <c r="J124" s="139">
        <v>0</v>
      </c>
      <c r="K124" s="139">
        <f t="shared" si="43"/>
        <v>0</v>
      </c>
      <c r="L124" s="139">
        <v>0</v>
      </c>
      <c r="M124" s="80">
        <v>0</v>
      </c>
      <c r="N124" s="81" t="str">
        <f t="shared" si="41"/>
        <v>-</v>
      </c>
      <c r="O124" s="389"/>
    </row>
    <row r="125" spans="1:15" s="15" customFormat="1" ht="11.1" customHeight="1" outlineLevel="1" x14ac:dyDescent="0.2">
      <c r="A125" s="118"/>
      <c r="B125" s="76"/>
      <c r="C125" s="82" t="s">
        <v>383</v>
      </c>
      <c r="D125" s="118"/>
      <c r="E125" s="118"/>
      <c r="F125" s="106" t="s">
        <v>365</v>
      </c>
      <c r="G125" s="140">
        <v>0</v>
      </c>
      <c r="H125" s="139">
        <f t="shared" si="42"/>
        <v>0</v>
      </c>
      <c r="I125" s="81" t="str">
        <f t="shared" si="40"/>
        <v>-</v>
      </c>
      <c r="J125" s="139">
        <v>0</v>
      </c>
      <c r="K125" s="139">
        <f t="shared" si="43"/>
        <v>0</v>
      </c>
      <c r="L125" s="139">
        <v>0</v>
      </c>
      <c r="M125" s="80">
        <v>0</v>
      </c>
      <c r="N125" s="81" t="str">
        <f t="shared" si="41"/>
        <v>-</v>
      </c>
      <c r="O125" s="389"/>
    </row>
    <row r="126" spans="1:15" s="15" customFormat="1" ht="11.1" customHeight="1" outlineLevel="1" x14ac:dyDescent="0.2">
      <c r="A126" s="118"/>
      <c r="B126" s="76"/>
      <c r="C126" s="82" t="s">
        <v>384</v>
      </c>
      <c r="D126" s="118"/>
      <c r="E126" s="118"/>
      <c r="F126" s="106"/>
      <c r="G126" s="140"/>
      <c r="H126" s="140"/>
      <c r="I126" s="81"/>
      <c r="J126" s="139"/>
      <c r="K126" s="139"/>
      <c r="L126" s="214"/>
      <c r="M126" s="89"/>
      <c r="N126" s="81"/>
      <c r="O126" s="389"/>
    </row>
    <row r="127" spans="1:15" s="15" customFormat="1" ht="3.95" customHeight="1" outlineLevel="1" x14ac:dyDescent="0.2">
      <c r="A127" s="119"/>
      <c r="B127" s="85"/>
      <c r="C127" s="205"/>
      <c r="D127" s="119"/>
      <c r="E127" s="119"/>
      <c r="F127" s="206"/>
      <c r="G127" s="141"/>
      <c r="H127" s="141"/>
      <c r="I127" s="88"/>
      <c r="J127" s="142"/>
      <c r="K127" s="142"/>
      <c r="L127" s="217"/>
      <c r="M127" s="87"/>
      <c r="N127" s="88"/>
      <c r="O127" s="390"/>
    </row>
    <row r="128" spans="1:15" s="95" customFormat="1" ht="3.95" customHeight="1" outlineLevel="1" x14ac:dyDescent="0.2">
      <c r="A128" s="153"/>
      <c r="B128" s="72"/>
      <c r="C128" s="73"/>
      <c r="D128" s="71"/>
      <c r="E128" s="71"/>
      <c r="F128" s="72"/>
      <c r="G128" s="136"/>
      <c r="H128" s="136"/>
      <c r="I128" s="75"/>
      <c r="J128" s="136"/>
      <c r="K128" s="136"/>
      <c r="L128" s="137"/>
      <c r="M128" s="74"/>
      <c r="N128" s="75"/>
      <c r="O128" s="326"/>
    </row>
    <row r="129" spans="1:15" s="95" customFormat="1" ht="11.1" customHeight="1" outlineLevel="1" x14ac:dyDescent="0.2">
      <c r="A129" s="391" t="s">
        <v>512</v>
      </c>
      <c r="B129" s="76" t="s">
        <v>9</v>
      </c>
      <c r="C129" s="77" t="s">
        <v>49</v>
      </c>
      <c r="D129" s="392" t="s">
        <v>305</v>
      </c>
      <c r="E129" s="392"/>
      <c r="F129" s="78" t="s">
        <v>28</v>
      </c>
      <c r="G129" s="243">
        <f>SUM(G130:G135)</f>
        <v>1487962</v>
      </c>
      <c r="H129" s="138">
        <f>SUM(H130:H135)</f>
        <v>1021815</v>
      </c>
      <c r="I129" s="39">
        <f t="shared" ref="I129:I135" si="44">IF(G129&gt;0,H129/G129*100,"-")</f>
        <v>68.672116626634278</v>
      </c>
      <c r="J129" s="138">
        <f>SUM(J130:J135)</f>
        <v>213874</v>
      </c>
      <c r="K129" s="138">
        <f>SUM(K130:K135)</f>
        <v>0</v>
      </c>
      <c r="L129" s="138">
        <f>SUM(L130:L135)</f>
        <v>213874</v>
      </c>
      <c r="M129" s="38">
        <f>SUM(M130:M135)</f>
        <v>95287.37</v>
      </c>
      <c r="N129" s="39">
        <f t="shared" ref="N129:N135" si="45">IF(L129&gt;0,M129/L129*100,"-")</f>
        <v>44.553040575291988</v>
      </c>
      <c r="O129" s="408" t="s">
        <v>491</v>
      </c>
    </row>
    <row r="130" spans="1:15" s="95" customFormat="1" ht="11.1" customHeight="1" outlineLevel="1" x14ac:dyDescent="0.2">
      <c r="A130" s="391"/>
      <c r="B130" s="76" t="s">
        <v>10</v>
      </c>
      <c r="C130" s="77" t="s">
        <v>65</v>
      </c>
      <c r="D130" s="392"/>
      <c r="E130" s="392"/>
      <c r="F130" s="79" t="s">
        <v>15</v>
      </c>
      <c r="G130" s="139">
        <f t="shared" ref="G130:H135" si="46">G137+G145</f>
        <v>191005</v>
      </c>
      <c r="H130" s="139">
        <f t="shared" si="46"/>
        <v>138871</v>
      </c>
      <c r="I130" s="81">
        <f t="shared" si="44"/>
        <v>72.705426559514152</v>
      </c>
      <c r="J130" s="139">
        <f t="shared" ref="J130:M135" si="47">J137+J145</f>
        <v>32082</v>
      </c>
      <c r="K130" s="139">
        <f t="shared" si="47"/>
        <v>-32082</v>
      </c>
      <c r="L130" s="139">
        <f t="shared" si="47"/>
        <v>0</v>
      </c>
      <c r="M130" s="80">
        <f t="shared" si="47"/>
        <v>0</v>
      </c>
      <c r="N130" s="81" t="str">
        <f t="shared" si="45"/>
        <v>-</v>
      </c>
      <c r="O130" s="408"/>
    </row>
    <row r="131" spans="1:15" s="95" customFormat="1" ht="11.1" customHeight="1" outlineLevel="1" x14ac:dyDescent="0.2">
      <c r="A131" s="391"/>
      <c r="B131" s="76"/>
      <c r="C131" s="82" t="s">
        <v>64</v>
      </c>
      <c r="D131" s="392"/>
      <c r="E131" s="392"/>
      <c r="F131" s="79" t="s">
        <v>7</v>
      </c>
      <c r="G131" s="139">
        <f t="shared" si="46"/>
        <v>1102415</v>
      </c>
      <c r="H131" s="139">
        <f t="shared" si="46"/>
        <v>750502</v>
      </c>
      <c r="I131" s="81">
        <f t="shared" si="44"/>
        <v>68.077992407577909</v>
      </c>
      <c r="J131" s="139">
        <f t="shared" si="47"/>
        <v>154523</v>
      </c>
      <c r="K131" s="139">
        <f t="shared" si="47"/>
        <v>27271</v>
      </c>
      <c r="L131" s="139">
        <f t="shared" si="47"/>
        <v>181794</v>
      </c>
      <c r="M131" s="80">
        <f t="shared" si="47"/>
        <v>80993.78</v>
      </c>
      <c r="N131" s="81">
        <f t="shared" si="45"/>
        <v>44.55250448309625</v>
      </c>
      <c r="O131" s="408"/>
    </row>
    <row r="132" spans="1:15" s="95" customFormat="1" ht="11.1" customHeight="1" outlineLevel="1" x14ac:dyDescent="0.2">
      <c r="A132" s="118"/>
      <c r="B132" s="76" t="s">
        <v>11</v>
      </c>
      <c r="C132" s="82" t="s">
        <v>66</v>
      </c>
      <c r="D132" s="109"/>
      <c r="E132" s="392"/>
      <c r="F132" s="79" t="s">
        <v>8</v>
      </c>
      <c r="G132" s="139">
        <f t="shared" si="46"/>
        <v>0</v>
      </c>
      <c r="H132" s="139">
        <f t="shared" si="46"/>
        <v>0</v>
      </c>
      <c r="I132" s="81" t="str">
        <f t="shared" si="44"/>
        <v>-</v>
      </c>
      <c r="J132" s="139">
        <f t="shared" si="47"/>
        <v>0</v>
      </c>
      <c r="K132" s="139">
        <f t="shared" si="47"/>
        <v>0</v>
      </c>
      <c r="L132" s="139">
        <f t="shared" si="47"/>
        <v>0</v>
      </c>
      <c r="M132" s="80">
        <f t="shared" si="47"/>
        <v>0</v>
      </c>
      <c r="N132" s="81" t="str">
        <f t="shared" si="45"/>
        <v>-</v>
      </c>
      <c r="O132" s="408"/>
    </row>
    <row r="133" spans="1:15" s="95" customFormat="1" ht="11.1" customHeight="1" outlineLevel="1" x14ac:dyDescent="0.2">
      <c r="A133" s="118"/>
      <c r="B133" s="76" t="s">
        <v>12</v>
      </c>
      <c r="C133" s="82" t="s">
        <v>192</v>
      </c>
      <c r="D133" s="109"/>
      <c r="E133" s="392"/>
      <c r="F133" s="79" t="s">
        <v>22</v>
      </c>
      <c r="G133" s="139">
        <f t="shared" si="46"/>
        <v>194542</v>
      </c>
      <c r="H133" s="139">
        <f t="shared" si="46"/>
        <v>132442</v>
      </c>
      <c r="I133" s="81">
        <f t="shared" si="44"/>
        <v>68.078872428575835</v>
      </c>
      <c r="J133" s="139">
        <f t="shared" si="47"/>
        <v>27269</v>
      </c>
      <c r="K133" s="139">
        <f t="shared" si="47"/>
        <v>4811</v>
      </c>
      <c r="L133" s="139">
        <f t="shared" si="47"/>
        <v>32080</v>
      </c>
      <c r="M133" s="80">
        <f t="shared" si="47"/>
        <v>14293.59</v>
      </c>
      <c r="N133" s="81">
        <f t="shared" si="45"/>
        <v>44.556078553615961</v>
      </c>
      <c r="O133" s="408"/>
    </row>
    <row r="134" spans="1:15" s="95" customFormat="1" ht="11.1" customHeight="1" outlineLevel="1" x14ac:dyDescent="0.2">
      <c r="A134" s="118"/>
      <c r="B134" s="76" t="s">
        <v>23</v>
      </c>
      <c r="C134" s="82" t="s">
        <v>67</v>
      </c>
      <c r="D134" s="109"/>
      <c r="E134" s="90"/>
      <c r="F134" s="106" t="s">
        <v>45</v>
      </c>
      <c r="G134" s="139">
        <f t="shared" si="46"/>
        <v>0</v>
      </c>
      <c r="H134" s="139">
        <f t="shared" si="46"/>
        <v>0</v>
      </c>
      <c r="I134" s="81" t="str">
        <f t="shared" si="44"/>
        <v>-</v>
      </c>
      <c r="J134" s="139">
        <f t="shared" si="47"/>
        <v>0</v>
      </c>
      <c r="K134" s="139">
        <f t="shared" si="47"/>
        <v>0</v>
      </c>
      <c r="L134" s="139">
        <f t="shared" si="47"/>
        <v>0</v>
      </c>
      <c r="M134" s="80">
        <f t="shared" si="47"/>
        <v>0</v>
      </c>
      <c r="N134" s="81" t="str">
        <f t="shared" si="45"/>
        <v>-</v>
      </c>
      <c r="O134" s="408"/>
    </row>
    <row r="135" spans="1:15" s="95" customFormat="1" ht="11.1" customHeight="1" outlineLevel="1" x14ac:dyDescent="0.2">
      <c r="A135" s="118"/>
      <c r="B135" s="76"/>
      <c r="C135" s="82"/>
      <c r="D135" s="109"/>
      <c r="E135" s="90"/>
      <c r="F135" s="106" t="s">
        <v>365</v>
      </c>
      <c r="G135" s="139">
        <f t="shared" si="46"/>
        <v>0</v>
      </c>
      <c r="H135" s="139">
        <f t="shared" si="46"/>
        <v>0</v>
      </c>
      <c r="I135" s="81" t="str">
        <f t="shared" si="44"/>
        <v>-</v>
      </c>
      <c r="J135" s="139">
        <f t="shared" si="47"/>
        <v>0</v>
      </c>
      <c r="K135" s="139">
        <f t="shared" si="47"/>
        <v>0</v>
      </c>
      <c r="L135" s="139">
        <f t="shared" si="47"/>
        <v>0</v>
      </c>
      <c r="M135" s="80">
        <f t="shared" si="47"/>
        <v>0</v>
      </c>
      <c r="N135" s="81" t="str">
        <f t="shared" si="45"/>
        <v>-</v>
      </c>
      <c r="O135" s="408"/>
    </row>
    <row r="136" spans="1:15" s="95" customFormat="1" ht="10.5" customHeight="1" outlineLevel="1" x14ac:dyDescent="0.2">
      <c r="A136" s="118"/>
      <c r="B136" s="76"/>
      <c r="C136" s="82"/>
      <c r="D136" s="109"/>
      <c r="E136" s="90"/>
      <c r="F136" s="106"/>
      <c r="G136" s="140"/>
      <c r="H136" s="140"/>
      <c r="I136" s="81"/>
      <c r="J136" s="140"/>
      <c r="K136" s="140"/>
      <c r="L136" s="139"/>
      <c r="M136" s="89"/>
      <c r="N136" s="81"/>
      <c r="O136" s="408"/>
    </row>
    <row r="137" spans="1:15" s="116" customFormat="1" ht="11.1" customHeight="1" outlineLevel="1" x14ac:dyDescent="0.2">
      <c r="A137" s="118"/>
      <c r="B137" s="110"/>
      <c r="C137" s="111"/>
      <c r="D137" s="112"/>
      <c r="E137" s="410" t="s">
        <v>53</v>
      </c>
      <c r="F137" s="113" t="s">
        <v>15</v>
      </c>
      <c r="G137" s="143">
        <v>191005</v>
      </c>
      <c r="H137" s="143">
        <f>ROUNDUP(138871+M137,0)</f>
        <v>138871</v>
      </c>
      <c r="I137" s="81">
        <f t="shared" ref="I137:I142" si="48">IF(G137&gt;0,H137/G137*100,"-")</f>
        <v>72.705426559514152</v>
      </c>
      <c r="J137" s="143">
        <v>32082</v>
      </c>
      <c r="K137" s="143">
        <f t="shared" ref="K137:K142" si="49">L137-J137</f>
        <v>-32082</v>
      </c>
      <c r="L137" s="143">
        <v>0</v>
      </c>
      <c r="M137" s="114">
        <v>0</v>
      </c>
      <c r="N137" s="81" t="str">
        <f t="shared" ref="N137:N142" si="50">IF(L137&gt;0,M137/L137*100,"-")</f>
        <v>-</v>
      </c>
      <c r="O137" s="408"/>
    </row>
    <row r="138" spans="1:15" s="116" customFormat="1" ht="11.1" customHeight="1" outlineLevel="1" x14ac:dyDescent="0.2">
      <c r="A138" s="118"/>
      <c r="B138" s="110"/>
      <c r="C138" s="111"/>
      <c r="D138" s="112"/>
      <c r="E138" s="410"/>
      <c r="F138" s="113" t="s">
        <v>7</v>
      </c>
      <c r="G138" s="143">
        <v>0</v>
      </c>
      <c r="H138" s="143">
        <f>ROUNDUP(0+M138,0)</f>
        <v>0</v>
      </c>
      <c r="I138" s="81" t="str">
        <f t="shared" si="48"/>
        <v>-</v>
      </c>
      <c r="J138" s="143"/>
      <c r="K138" s="143">
        <f t="shared" si="49"/>
        <v>0</v>
      </c>
      <c r="L138" s="143">
        <v>0</v>
      </c>
      <c r="M138" s="114">
        <v>0</v>
      </c>
      <c r="N138" s="81" t="str">
        <f t="shared" si="50"/>
        <v>-</v>
      </c>
      <c r="O138" s="408"/>
    </row>
    <row r="139" spans="1:15" s="116" customFormat="1" ht="11.1" customHeight="1" outlineLevel="1" x14ac:dyDescent="0.2">
      <c r="A139" s="118"/>
      <c r="B139" s="110"/>
      <c r="C139" s="111"/>
      <c r="D139" s="112"/>
      <c r="E139" s="410"/>
      <c r="F139" s="113" t="s">
        <v>8</v>
      </c>
      <c r="G139" s="143">
        <v>0</v>
      </c>
      <c r="H139" s="143">
        <f t="shared" ref="H139:H150" si="51">ROUNDUP(0+M139,0)</f>
        <v>0</v>
      </c>
      <c r="I139" s="81" t="str">
        <f t="shared" si="48"/>
        <v>-</v>
      </c>
      <c r="J139" s="143"/>
      <c r="K139" s="143">
        <f t="shared" si="49"/>
        <v>0</v>
      </c>
      <c r="L139" s="143">
        <v>0</v>
      </c>
      <c r="M139" s="114">
        <v>0</v>
      </c>
      <c r="N139" s="81" t="str">
        <f t="shared" si="50"/>
        <v>-</v>
      </c>
      <c r="O139" s="408"/>
    </row>
    <row r="140" spans="1:15" s="116" customFormat="1" ht="11.1" customHeight="1" outlineLevel="1" x14ac:dyDescent="0.2">
      <c r="A140" s="118"/>
      <c r="B140" s="110"/>
      <c r="C140" s="111"/>
      <c r="D140" s="112"/>
      <c r="E140" s="191"/>
      <c r="F140" s="113" t="s">
        <v>22</v>
      </c>
      <c r="G140" s="143">
        <v>0</v>
      </c>
      <c r="H140" s="143">
        <f t="shared" si="51"/>
        <v>0</v>
      </c>
      <c r="I140" s="81" t="str">
        <f t="shared" si="48"/>
        <v>-</v>
      </c>
      <c r="J140" s="143"/>
      <c r="K140" s="143">
        <f t="shared" si="49"/>
        <v>0</v>
      </c>
      <c r="L140" s="143">
        <v>0</v>
      </c>
      <c r="M140" s="114">
        <v>0</v>
      </c>
      <c r="N140" s="81" t="str">
        <f t="shared" si="50"/>
        <v>-</v>
      </c>
      <c r="O140" s="408"/>
    </row>
    <row r="141" spans="1:15" s="116" customFormat="1" ht="11.1" customHeight="1" outlineLevel="1" x14ac:dyDescent="0.2">
      <c r="A141" s="118"/>
      <c r="B141" s="110"/>
      <c r="C141" s="111"/>
      <c r="D141" s="112"/>
      <c r="E141" s="191"/>
      <c r="F141" s="113" t="s">
        <v>45</v>
      </c>
      <c r="G141" s="143">
        <v>0</v>
      </c>
      <c r="H141" s="143">
        <f t="shared" si="51"/>
        <v>0</v>
      </c>
      <c r="I141" s="81" t="str">
        <f t="shared" si="48"/>
        <v>-</v>
      </c>
      <c r="J141" s="143"/>
      <c r="K141" s="143">
        <f t="shared" si="49"/>
        <v>0</v>
      </c>
      <c r="L141" s="143">
        <v>0</v>
      </c>
      <c r="M141" s="114">
        <v>0</v>
      </c>
      <c r="N141" s="81" t="str">
        <f t="shared" si="50"/>
        <v>-</v>
      </c>
      <c r="O141" s="408"/>
    </row>
    <row r="142" spans="1:15" s="116" customFormat="1" ht="11.1" customHeight="1" outlineLevel="1" x14ac:dyDescent="0.2">
      <c r="A142" s="118"/>
      <c r="B142" s="110"/>
      <c r="C142" s="111"/>
      <c r="D142" s="112"/>
      <c r="E142" s="191"/>
      <c r="F142" s="113" t="s">
        <v>365</v>
      </c>
      <c r="G142" s="143">
        <v>0</v>
      </c>
      <c r="H142" s="143">
        <f t="shared" si="51"/>
        <v>0</v>
      </c>
      <c r="I142" s="81" t="str">
        <f t="shared" si="48"/>
        <v>-</v>
      </c>
      <c r="J142" s="143"/>
      <c r="K142" s="143">
        <f t="shared" si="49"/>
        <v>0</v>
      </c>
      <c r="L142" s="143">
        <v>0</v>
      </c>
      <c r="M142" s="114">
        <v>0</v>
      </c>
      <c r="N142" s="81" t="str">
        <f t="shared" si="50"/>
        <v>-</v>
      </c>
      <c r="O142" s="408"/>
    </row>
    <row r="143" spans="1:15" s="116" customFormat="1" ht="3.95" customHeight="1" outlineLevel="1" x14ac:dyDescent="0.2">
      <c r="A143" s="119"/>
      <c r="B143" s="120"/>
      <c r="C143" s="121"/>
      <c r="D143" s="122"/>
      <c r="E143" s="122"/>
      <c r="F143" s="123"/>
      <c r="G143" s="145"/>
      <c r="H143" s="145"/>
      <c r="I143" s="88"/>
      <c r="J143" s="145"/>
      <c r="K143" s="145"/>
      <c r="L143" s="146"/>
      <c r="M143" s="124"/>
      <c r="N143" s="88"/>
      <c r="O143" s="185"/>
    </row>
    <row r="144" spans="1:15" s="116" customFormat="1" ht="3.95" customHeight="1" outlineLevel="1" x14ac:dyDescent="0.2">
      <c r="A144" s="118"/>
      <c r="B144" s="110"/>
      <c r="C144" s="111"/>
      <c r="D144" s="377"/>
      <c r="E144" s="377"/>
      <c r="F144" s="117"/>
      <c r="G144" s="143"/>
      <c r="H144" s="143"/>
      <c r="I144" s="81"/>
      <c r="J144" s="143"/>
      <c r="K144" s="143"/>
      <c r="L144" s="143"/>
      <c r="M144" s="115"/>
      <c r="N144" s="81"/>
      <c r="O144" s="184"/>
    </row>
    <row r="145" spans="1:15" s="116" customFormat="1" ht="11.1" customHeight="1" outlineLevel="1" x14ac:dyDescent="0.2">
      <c r="A145" s="118"/>
      <c r="B145" s="110"/>
      <c r="C145" s="111"/>
      <c r="D145" s="112"/>
      <c r="E145" s="410" t="s">
        <v>54</v>
      </c>
      <c r="F145" s="113" t="s">
        <v>15</v>
      </c>
      <c r="G145" s="143">
        <v>0</v>
      </c>
      <c r="H145" s="143">
        <f t="shared" si="51"/>
        <v>0</v>
      </c>
      <c r="I145" s="81" t="str">
        <f t="shared" ref="I145:I150" si="52">IF(G145&gt;0,H145/G145*100,"-")</f>
        <v>-</v>
      </c>
      <c r="J145" s="143">
        <v>0</v>
      </c>
      <c r="K145" s="143">
        <f t="shared" ref="K145:K150" si="53">L145-J145</f>
        <v>0</v>
      </c>
      <c r="L145" s="143">
        <v>0</v>
      </c>
      <c r="M145" s="114">
        <v>0</v>
      </c>
      <c r="N145" s="81" t="str">
        <f t="shared" ref="N145:N150" si="54">IF(L145&gt;0,M145/L145*100,"-")</f>
        <v>-</v>
      </c>
      <c r="O145" s="184"/>
    </row>
    <row r="146" spans="1:15" s="116" customFormat="1" ht="11.1" customHeight="1" outlineLevel="1" x14ac:dyDescent="0.2">
      <c r="A146" s="118"/>
      <c r="B146" s="110"/>
      <c r="C146" s="111"/>
      <c r="D146" s="112"/>
      <c r="E146" s="410"/>
      <c r="F146" s="113" t="s">
        <v>7</v>
      </c>
      <c r="G146" s="143">
        <v>1102415</v>
      </c>
      <c r="H146" s="143">
        <f>ROUNDUP(669508+M146,0)</f>
        <v>750502</v>
      </c>
      <c r="I146" s="81">
        <f t="shared" si="52"/>
        <v>68.077992407577909</v>
      </c>
      <c r="J146" s="143">
        <v>154523</v>
      </c>
      <c r="K146" s="143">
        <f t="shared" si="53"/>
        <v>27271</v>
      </c>
      <c r="L146" s="143">
        <v>181794</v>
      </c>
      <c r="M146" s="114">
        <v>80993.78</v>
      </c>
      <c r="N146" s="81">
        <f t="shared" si="54"/>
        <v>44.55250448309625</v>
      </c>
      <c r="O146" s="184"/>
    </row>
    <row r="147" spans="1:15" s="116" customFormat="1" ht="11.1" customHeight="1" outlineLevel="1" x14ac:dyDescent="0.2">
      <c r="A147" s="118"/>
      <c r="B147" s="110"/>
      <c r="C147" s="111"/>
      <c r="D147" s="112"/>
      <c r="E147" s="410"/>
      <c r="F147" s="113" t="s">
        <v>8</v>
      </c>
      <c r="G147" s="143">
        <v>0</v>
      </c>
      <c r="H147" s="143">
        <f t="shared" si="51"/>
        <v>0</v>
      </c>
      <c r="I147" s="81" t="str">
        <f t="shared" si="52"/>
        <v>-</v>
      </c>
      <c r="J147" s="143">
        <v>0</v>
      </c>
      <c r="K147" s="143">
        <f t="shared" si="53"/>
        <v>0</v>
      </c>
      <c r="L147" s="143">
        <v>0</v>
      </c>
      <c r="M147" s="114">
        <v>0</v>
      </c>
      <c r="N147" s="81" t="str">
        <f t="shared" si="54"/>
        <v>-</v>
      </c>
      <c r="O147" s="184"/>
    </row>
    <row r="148" spans="1:15" s="116" customFormat="1" ht="11.1" customHeight="1" outlineLevel="1" x14ac:dyDescent="0.2">
      <c r="A148" s="118"/>
      <c r="B148" s="110"/>
      <c r="C148" s="111"/>
      <c r="D148" s="112"/>
      <c r="E148" s="191"/>
      <c r="F148" s="113" t="s">
        <v>22</v>
      </c>
      <c r="G148" s="244">
        <v>194542</v>
      </c>
      <c r="H148" s="244">
        <f>ROUNDUP(118148+M148,0)</f>
        <v>132442</v>
      </c>
      <c r="I148" s="362">
        <f t="shared" si="52"/>
        <v>68.078872428575835</v>
      </c>
      <c r="J148" s="244">
        <v>27269</v>
      </c>
      <c r="K148" s="244">
        <f t="shared" si="53"/>
        <v>4811</v>
      </c>
      <c r="L148" s="244">
        <v>32080</v>
      </c>
      <c r="M148" s="115">
        <v>14293.59</v>
      </c>
      <c r="N148" s="81">
        <f t="shared" si="54"/>
        <v>44.556078553615961</v>
      </c>
      <c r="O148" s="184"/>
    </row>
    <row r="149" spans="1:15" s="116" customFormat="1" ht="11.1" customHeight="1" outlineLevel="1" x14ac:dyDescent="0.2">
      <c r="A149" s="118"/>
      <c r="B149" s="110"/>
      <c r="C149" s="111"/>
      <c r="D149" s="112"/>
      <c r="E149" s="191"/>
      <c r="F149" s="113" t="s">
        <v>45</v>
      </c>
      <c r="G149" s="143">
        <v>0</v>
      </c>
      <c r="H149" s="143">
        <f t="shared" si="51"/>
        <v>0</v>
      </c>
      <c r="I149" s="81" t="str">
        <f t="shared" si="52"/>
        <v>-</v>
      </c>
      <c r="J149" s="143">
        <v>0</v>
      </c>
      <c r="K149" s="143">
        <f t="shared" si="53"/>
        <v>0</v>
      </c>
      <c r="L149" s="143">
        <v>0</v>
      </c>
      <c r="M149" s="114">
        <v>0</v>
      </c>
      <c r="N149" s="81" t="str">
        <f t="shared" si="54"/>
        <v>-</v>
      </c>
      <c r="O149" s="184"/>
    </row>
    <row r="150" spans="1:15" s="116" customFormat="1" ht="11.1" customHeight="1" outlineLevel="1" x14ac:dyDescent="0.2">
      <c r="A150" s="118"/>
      <c r="B150" s="110"/>
      <c r="C150" s="111"/>
      <c r="D150" s="112"/>
      <c r="E150" s="191"/>
      <c r="F150" s="113" t="s">
        <v>365</v>
      </c>
      <c r="G150" s="143">
        <v>0</v>
      </c>
      <c r="H150" s="143">
        <f t="shared" si="51"/>
        <v>0</v>
      </c>
      <c r="I150" s="81" t="str">
        <f t="shared" si="52"/>
        <v>-</v>
      </c>
      <c r="J150" s="143">
        <v>0</v>
      </c>
      <c r="K150" s="143">
        <f t="shared" si="53"/>
        <v>0</v>
      </c>
      <c r="L150" s="143">
        <v>0</v>
      </c>
      <c r="M150" s="114">
        <v>0</v>
      </c>
      <c r="N150" s="81" t="str">
        <f t="shared" si="54"/>
        <v>-</v>
      </c>
      <c r="O150" s="184"/>
    </row>
    <row r="151" spans="1:15" s="95" customFormat="1" ht="3.95" customHeight="1" outlineLevel="1" x14ac:dyDescent="0.2">
      <c r="A151" s="119"/>
      <c r="B151" s="85"/>
      <c r="C151" s="86"/>
      <c r="D151" s="84"/>
      <c r="E151" s="84"/>
      <c r="F151" s="85"/>
      <c r="G151" s="141"/>
      <c r="H151" s="141"/>
      <c r="I151" s="88"/>
      <c r="J151" s="141"/>
      <c r="K151" s="141"/>
      <c r="L151" s="142"/>
      <c r="M151" s="87"/>
      <c r="N151" s="88"/>
      <c r="O151" s="185"/>
    </row>
    <row r="152" spans="1:15" s="95" customFormat="1" ht="3.95" customHeight="1" outlineLevel="1" x14ac:dyDescent="0.2">
      <c r="A152" s="153"/>
      <c r="B152" s="72"/>
      <c r="C152" s="73"/>
      <c r="D152" s="71"/>
      <c r="E152" s="71"/>
      <c r="F152" s="72"/>
      <c r="G152" s="136"/>
      <c r="H152" s="136"/>
      <c r="I152" s="75"/>
      <c r="J152" s="136"/>
      <c r="K152" s="136"/>
      <c r="L152" s="137"/>
      <c r="M152" s="74"/>
      <c r="N152" s="75"/>
      <c r="O152" s="326"/>
    </row>
    <row r="153" spans="1:15" s="95" customFormat="1" ht="11.1" customHeight="1" outlineLevel="1" x14ac:dyDescent="0.2">
      <c r="A153" s="391" t="s">
        <v>513</v>
      </c>
      <c r="B153" s="76" t="s">
        <v>9</v>
      </c>
      <c r="C153" s="77" t="s">
        <v>55</v>
      </c>
      <c r="D153" s="392" t="s">
        <v>147</v>
      </c>
      <c r="E153" s="392"/>
      <c r="F153" s="78" t="s">
        <v>28</v>
      </c>
      <c r="G153" s="138">
        <f>SUM(G154:G159)</f>
        <v>14668482</v>
      </c>
      <c r="H153" s="138">
        <f>SUM(H154:H159)</f>
        <v>12732861</v>
      </c>
      <c r="I153" s="39">
        <f t="shared" ref="I153:I159" si="55">IF(G153&gt;0,H153/G153*100,"-")</f>
        <v>86.804217368913839</v>
      </c>
      <c r="J153" s="243">
        <f>SUM(J154:J159)</f>
        <v>1457090</v>
      </c>
      <c r="K153" s="243">
        <f>SUM(K154:K159)</f>
        <v>1488457</v>
      </c>
      <c r="L153" s="243">
        <f>SUM(L154:L159)</f>
        <v>2945547</v>
      </c>
      <c r="M153" s="38">
        <f>SUM(M154:M159)</f>
        <v>1009922.6</v>
      </c>
      <c r="N153" s="39">
        <f t="shared" ref="N153:N159" si="56">IF(L153&gt;0,M153/L153*100,"-")</f>
        <v>34.28641946640132</v>
      </c>
      <c r="O153" s="405" t="s">
        <v>490</v>
      </c>
    </row>
    <row r="154" spans="1:15" s="95" customFormat="1" ht="11.1" customHeight="1" outlineLevel="1" x14ac:dyDescent="0.2">
      <c r="A154" s="391"/>
      <c r="B154" s="76" t="s">
        <v>10</v>
      </c>
      <c r="C154" s="77" t="s">
        <v>63</v>
      </c>
      <c r="D154" s="392"/>
      <c r="E154" s="392"/>
      <c r="F154" s="79" t="s">
        <v>15</v>
      </c>
      <c r="G154" s="139">
        <f t="shared" ref="G154:H159" si="57">G162+G170+G177+G184+G191</f>
        <v>1605425</v>
      </c>
      <c r="H154" s="139">
        <f t="shared" si="57"/>
        <v>1429735</v>
      </c>
      <c r="I154" s="81">
        <f t="shared" si="55"/>
        <v>89.056480371241264</v>
      </c>
      <c r="J154" s="139">
        <f t="shared" ref="J154:M159" si="58">J162+J170+J177+J184+J191</f>
        <v>257090</v>
      </c>
      <c r="K154" s="139">
        <f t="shared" si="58"/>
        <v>52194</v>
      </c>
      <c r="L154" s="139">
        <f t="shared" si="58"/>
        <v>309284</v>
      </c>
      <c r="M154" s="80">
        <f t="shared" si="58"/>
        <v>133591.51999999999</v>
      </c>
      <c r="N154" s="81">
        <f t="shared" si="56"/>
        <v>43.193802459875066</v>
      </c>
      <c r="O154" s="405"/>
    </row>
    <row r="155" spans="1:15" s="95" customFormat="1" ht="11.1" customHeight="1" outlineLevel="1" x14ac:dyDescent="0.2">
      <c r="A155" s="391"/>
      <c r="B155" s="76" t="s">
        <v>11</v>
      </c>
      <c r="C155" s="82" t="s">
        <v>68</v>
      </c>
      <c r="D155" s="392"/>
      <c r="E155" s="392"/>
      <c r="F155" s="79" t="s">
        <v>7</v>
      </c>
      <c r="G155" s="139">
        <f t="shared" si="57"/>
        <v>12289745</v>
      </c>
      <c r="H155" s="139">
        <f t="shared" si="57"/>
        <v>10618301</v>
      </c>
      <c r="I155" s="81">
        <f t="shared" si="55"/>
        <v>86.399685266049048</v>
      </c>
      <c r="J155" s="139">
        <f t="shared" si="58"/>
        <v>1139663</v>
      </c>
      <c r="K155" s="139">
        <f t="shared" si="58"/>
        <v>1364050</v>
      </c>
      <c r="L155" s="139">
        <f t="shared" si="58"/>
        <v>2503713</v>
      </c>
      <c r="M155" s="80">
        <f t="shared" si="58"/>
        <v>832268.57</v>
      </c>
      <c r="N155" s="81">
        <f t="shared" si="56"/>
        <v>33.241372713246285</v>
      </c>
      <c r="O155" s="405"/>
    </row>
    <row r="156" spans="1:15" s="95" customFormat="1" ht="11.1" customHeight="1" outlineLevel="1" x14ac:dyDescent="0.2">
      <c r="A156" s="118"/>
      <c r="B156" s="76" t="s">
        <v>12</v>
      </c>
      <c r="C156" s="82" t="s">
        <v>193</v>
      </c>
      <c r="D156" s="109"/>
      <c r="E156" s="392"/>
      <c r="F156" s="79" t="s">
        <v>8</v>
      </c>
      <c r="G156" s="139">
        <f t="shared" si="57"/>
        <v>0</v>
      </c>
      <c r="H156" s="139">
        <f t="shared" si="57"/>
        <v>0</v>
      </c>
      <c r="I156" s="81" t="str">
        <f t="shared" si="55"/>
        <v>-</v>
      </c>
      <c r="J156" s="139">
        <f t="shared" si="58"/>
        <v>0</v>
      </c>
      <c r="K156" s="139">
        <f t="shared" si="58"/>
        <v>0</v>
      </c>
      <c r="L156" s="139">
        <f t="shared" si="58"/>
        <v>0</v>
      </c>
      <c r="M156" s="80">
        <f t="shared" si="58"/>
        <v>0</v>
      </c>
      <c r="N156" s="81" t="str">
        <f t="shared" si="56"/>
        <v>-</v>
      </c>
      <c r="O156" s="405"/>
    </row>
    <row r="157" spans="1:15" s="95" customFormat="1" ht="11.1" customHeight="1" outlineLevel="1" x14ac:dyDescent="0.2">
      <c r="A157" s="118"/>
      <c r="B157" s="76" t="s">
        <v>23</v>
      </c>
      <c r="C157" s="82" t="s">
        <v>69</v>
      </c>
      <c r="D157" s="109"/>
      <c r="E157" s="392"/>
      <c r="F157" s="79" t="s">
        <v>22</v>
      </c>
      <c r="G157" s="139">
        <f t="shared" si="57"/>
        <v>773312</v>
      </c>
      <c r="H157" s="139">
        <f t="shared" si="57"/>
        <v>684825</v>
      </c>
      <c r="I157" s="81">
        <f t="shared" si="55"/>
        <v>88.557399859306457</v>
      </c>
      <c r="J157" s="139">
        <f t="shared" si="58"/>
        <v>60337</v>
      </c>
      <c r="K157" s="139">
        <f t="shared" si="58"/>
        <v>72213</v>
      </c>
      <c r="L157" s="139">
        <f t="shared" si="58"/>
        <v>132550</v>
      </c>
      <c r="M157" s="80">
        <f t="shared" si="58"/>
        <v>44062.51</v>
      </c>
      <c r="N157" s="81">
        <f t="shared" si="56"/>
        <v>33.242180309317241</v>
      </c>
      <c r="O157" s="405"/>
    </row>
    <row r="158" spans="1:15" s="95" customFormat="1" ht="11.1" customHeight="1" outlineLevel="1" x14ac:dyDescent="0.2">
      <c r="A158" s="118"/>
      <c r="B158" s="76"/>
      <c r="C158" s="82" t="s">
        <v>70</v>
      </c>
      <c r="D158" s="109"/>
      <c r="E158" s="90"/>
      <c r="F158" s="106" t="s">
        <v>45</v>
      </c>
      <c r="G158" s="139">
        <f t="shared" si="57"/>
        <v>0</v>
      </c>
      <c r="H158" s="139">
        <f t="shared" si="57"/>
        <v>0</v>
      </c>
      <c r="I158" s="81" t="str">
        <f t="shared" si="55"/>
        <v>-</v>
      </c>
      <c r="J158" s="139">
        <f t="shared" si="58"/>
        <v>0</v>
      </c>
      <c r="K158" s="139">
        <f t="shared" si="58"/>
        <v>0</v>
      </c>
      <c r="L158" s="139">
        <f t="shared" si="58"/>
        <v>0</v>
      </c>
      <c r="M158" s="80">
        <f t="shared" si="58"/>
        <v>0</v>
      </c>
      <c r="N158" s="81" t="str">
        <f t="shared" si="56"/>
        <v>-</v>
      </c>
      <c r="O158" s="405"/>
    </row>
    <row r="159" spans="1:15" s="95" customFormat="1" ht="11.1" customHeight="1" outlineLevel="1" x14ac:dyDescent="0.2">
      <c r="A159" s="118"/>
      <c r="B159" s="76"/>
      <c r="C159" s="82" t="s">
        <v>71</v>
      </c>
      <c r="D159" s="109"/>
      <c r="E159" s="90"/>
      <c r="F159" s="106" t="s">
        <v>365</v>
      </c>
      <c r="G159" s="139">
        <f t="shared" si="57"/>
        <v>0</v>
      </c>
      <c r="H159" s="139">
        <f t="shared" si="57"/>
        <v>0</v>
      </c>
      <c r="I159" s="81" t="str">
        <f t="shared" si="55"/>
        <v>-</v>
      </c>
      <c r="J159" s="139">
        <f t="shared" si="58"/>
        <v>0</v>
      </c>
      <c r="K159" s="139">
        <f t="shared" si="58"/>
        <v>0</v>
      </c>
      <c r="L159" s="139">
        <f t="shared" si="58"/>
        <v>0</v>
      </c>
      <c r="M159" s="80">
        <f t="shared" si="58"/>
        <v>0</v>
      </c>
      <c r="N159" s="81" t="str">
        <f t="shared" si="56"/>
        <v>-</v>
      </c>
      <c r="O159" s="405"/>
    </row>
    <row r="160" spans="1:15" s="95" customFormat="1" ht="11.1" customHeight="1" outlineLevel="1" x14ac:dyDescent="0.2">
      <c r="A160" s="118"/>
      <c r="B160" s="76"/>
      <c r="C160" s="82" t="s">
        <v>72</v>
      </c>
      <c r="D160" s="109"/>
      <c r="E160" s="90"/>
      <c r="F160" s="106"/>
      <c r="G160" s="140"/>
      <c r="H160" s="140"/>
      <c r="I160" s="81"/>
      <c r="J160" s="140"/>
      <c r="K160" s="140"/>
      <c r="L160" s="139"/>
      <c r="M160" s="89"/>
      <c r="N160" s="81"/>
      <c r="O160" s="405"/>
    </row>
    <row r="161" spans="1:15" s="95" customFormat="1" ht="10.5" customHeight="1" outlineLevel="1" x14ac:dyDescent="0.2">
      <c r="A161" s="118"/>
      <c r="B161" s="76"/>
      <c r="C161" s="82"/>
      <c r="D161" s="90"/>
      <c r="E161" s="90"/>
      <c r="F161" s="106"/>
      <c r="G161" s="140"/>
      <c r="H161" s="140"/>
      <c r="I161" s="81"/>
      <c r="J161" s="140"/>
      <c r="K161" s="140"/>
      <c r="L161" s="139"/>
      <c r="M161" s="89"/>
      <c r="N161" s="81"/>
      <c r="O161" s="405"/>
    </row>
    <row r="162" spans="1:15" s="116" customFormat="1" ht="11.1" customHeight="1" outlineLevel="1" x14ac:dyDescent="0.2">
      <c r="A162" s="118"/>
      <c r="B162" s="110"/>
      <c r="C162" s="111"/>
      <c r="D162" s="112"/>
      <c r="E162" s="410" t="s">
        <v>56</v>
      </c>
      <c r="F162" s="113" t="s">
        <v>15</v>
      </c>
      <c r="G162" s="244">
        <v>252179</v>
      </c>
      <c r="H162" s="143">
        <f>ROUNDUP(242096+M162,0)</f>
        <v>242591</v>
      </c>
      <c r="I162" s="81">
        <f t="shared" ref="I162:I167" si="59">IF(G162&gt;0,H162/G162*100,"-")</f>
        <v>96.197938765718007</v>
      </c>
      <c r="J162" s="143">
        <v>4941</v>
      </c>
      <c r="K162" s="143">
        <f t="shared" ref="K162:K167" si="60">L162-J162</f>
        <v>5142</v>
      </c>
      <c r="L162" s="143">
        <v>10083</v>
      </c>
      <c r="M162" s="114">
        <v>494.1</v>
      </c>
      <c r="N162" s="81">
        <f t="shared" ref="N162:N167" si="61">IF(L162&gt;0,M162/L162*100,"-")</f>
        <v>4.9003272835465639</v>
      </c>
      <c r="O162" s="405"/>
    </row>
    <row r="163" spans="1:15" s="116" customFormat="1" ht="11.1" customHeight="1" outlineLevel="1" x14ac:dyDescent="0.2">
      <c r="A163" s="118"/>
      <c r="B163" s="110"/>
      <c r="C163" s="111"/>
      <c r="D163" s="112"/>
      <c r="E163" s="410"/>
      <c r="F163" s="113" t="s">
        <v>7</v>
      </c>
      <c r="G163" s="143">
        <v>0</v>
      </c>
      <c r="H163" s="143">
        <f t="shared" ref="H163:H167" si="62">ROUNDUP(0+M163,0)</f>
        <v>0</v>
      </c>
      <c r="I163" s="81" t="str">
        <f t="shared" si="59"/>
        <v>-</v>
      </c>
      <c r="J163" s="143">
        <v>0</v>
      </c>
      <c r="K163" s="143">
        <f t="shared" si="60"/>
        <v>0</v>
      </c>
      <c r="L163" s="143">
        <v>0</v>
      </c>
      <c r="M163" s="114">
        <v>0</v>
      </c>
      <c r="N163" s="81" t="str">
        <f t="shared" si="61"/>
        <v>-</v>
      </c>
      <c r="O163" s="405"/>
    </row>
    <row r="164" spans="1:15" s="116" customFormat="1" ht="11.1" customHeight="1" outlineLevel="1" x14ac:dyDescent="0.2">
      <c r="A164" s="118"/>
      <c r="B164" s="110"/>
      <c r="C164" s="111"/>
      <c r="D164" s="112"/>
      <c r="E164" s="410"/>
      <c r="F164" s="113" t="s">
        <v>8</v>
      </c>
      <c r="G164" s="143">
        <v>0</v>
      </c>
      <c r="H164" s="143">
        <f t="shared" si="62"/>
        <v>0</v>
      </c>
      <c r="I164" s="81" t="str">
        <f t="shared" si="59"/>
        <v>-</v>
      </c>
      <c r="J164" s="143">
        <v>0</v>
      </c>
      <c r="K164" s="143">
        <f t="shared" si="60"/>
        <v>0</v>
      </c>
      <c r="L164" s="143">
        <v>0</v>
      </c>
      <c r="M164" s="114">
        <v>0</v>
      </c>
      <c r="N164" s="81" t="str">
        <f t="shared" si="61"/>
        <v>-</v>
      </c>
      <c r="O164" s="405"/>
    </row>
    <row r="165" spans="1:15" s="116" customFormat="1" ht="11.1" customHeight="1" outlineLevel="1" x14ac:dyDescent="0.2">
      <c r="A165" s="118"/>
      <c r="B165" s="110"/>
      <c r="C165" s="111"/>
      <c r="D165" s="112"/>
      <c r="E165" s="191"/>
      <c r="F165" s="113" t="s">
        <v>22</v>
      </c>
      <c r="G165" s="143">
        <v>0</v>
      </c>
      <c r="H165" s="143">
        <f t="shared" si="62"/>
        <v>0</v>
      </c>
      <c r="I165" s="81" t="str">
        <f t="shared" si="59"/>
        <v>-</v>
      </c>
      <c r="J165" s="143">
        <v>0</v>
      </c>
      <c r="K165" s="143">
        <f t="shared" si="60"/>
        <v>0</v>
      </c>
      <c r="L165" s="143">
        <v>0</v>
      </c>
      <c r="M165" s="114">
        <v>0</v>
      </c>
      <c r="N165" s="81" t="str">
        <f t="shared" si="61"/>
        <v>-</v>
      </c>
      <c r="O165" s="405"/>
    </row>
    <row r="166" spans="1:15" s="116" customFormat="1" ht="11.1" customHeight="1" outlineLevel="1" x14ac:dyDescent="0.2">
      <c r="A166" s="118"/>
      <c r="B166" s="110"/>
      <c r="C166" s="111"/>
      <c r="D166" s="112"/>
      <c r="E166" s="191"/>
      <c r="F166" s="113" t="s">
        <v>45</v>
      </c>
      <c r="G166" s="143">
        <v>0</v>
      </c>
      <c r="H166" s="143">
        <f t="shared" si="62"/>
        <v>0</v>
      </c>
      <c r="I166" s="81" t="str">
        <f t="shared" si="59"/>
        <v>-</v>
      </c>
      <c r="J166" s="143">
        <v>0</v>
      </c>
      <c r="K166" s="143">
        <f t="shared" si="60"/>
        <v>0</v>
      </c>
      <c r="L166" s="143">
        <v>0</v>
      </c>
      <c r="M166" s="114">
        <v>0</v>
      </c>
      <c r="N166" s="81" t="str">
        <f t="shared" si="61"/>
        <v>-</v>
      </c>
      <c r="O166" s="405"/>
    </row>
    <row r="167" spans="1:15" s="116" customFormat="1" ht="11.1" customHeight="1" outlineLevel="1" x14ac:dyDescent="0.2">
      <c r="A167" s="118"/>
      <c r="B167" s="110"/>
      <c r="C167" s="111"/>
      <c r="D167" s="288"/>
      <c r="E167" s="191"/>
      <c r="F167" s="113" t="s">
        <v>365</v>
      </c>
      <c r="G167" s="143">
        <v>0</v>
      </c>
      <c r="H167" s="143">
        <f t="shared" si="62"/>
        <v>0</v>
      </c>
      <c r="I167" s="81" t="str">
        <f t="shared" si="59"/>
        <v>-</v>
      </c>
      <c r="J167" s="143">
        <v>0</v>
      </c>
      <c r="K167" s="143">
        <f t="shared" si="60"/>
        <v>0</v>
      </c>
      <c r="L167" s="143">
        <v>0</v>
      </c>
      <c r="M167" s="114">
        <v>0</v>
      </c>
      <c r="N167" s="81" t="str">
        <f t="shared" si="61"/>
        <v>-</v>
      </c>
      <c r="O167" s="405"/>
    </row>
    <row r="168" spans="1:15" s="116" customFormat="1" ht="3.95" customHeight="1" outlineLevel="1" x14ac:dyDescent="0.2">
      <c r="A168" s="118"/>
      <c r="B168" s="110"/>
      <c r="C168" s="111"/>
      <c r="D168" s="377"/>
      <c r="E168" s="191"/>
      <c r="F168" s="117"/>
      <c r="G168" s="143"/>
      <c r="H168" s="143"/>
      <c r="I168" s="81"/>
      <c r="J168" s="143"/>
      <c r="K168" s="143"/>
      <c r="L168" s="144"/>
      <c r="M168" s="115"/>
      <c r="N168" s="81"/>
      <c r="O168" s="184"/>
    </row>
    <row r="169" spans="1:15" s="116" customFormat="1" ht="3" customHeight="1" outlineLevel="1" x14ac:dyDescent="0.2">
      <c r="A169" s="118"/>
      <c r="B169" s="110"/>
      <c r="C169" s="111"/>
      <c r="D169" s="277"/>
      <c r="E169" s="277"/>
      <c r="F169" s="117"/>
      <c r="G169" s="143"/>
      <c r="H169" s="143"/>
      <c r="I169" s="278"/>
      <c r="J169" s="143"/>
      <c r="K169" s="143"/>
      <c r="L169" s="144"/>
      <c r="M169" s="115"/>
      <c r="N169" s="278"/>
      <c r="O169" s="184"/>
    </row>
    <row r="170" spans="1:15" s="116" customFormat="1" ht="11.1" customHeight="1" outlineLevel="1" x14ac:dyDescent="0.2">
      <c r="A170" s="118"/>
      <c r="B170" s="110"/>
      <c r="C170" s="111"/>
      <c r="D170" s="112"/>
      <c r="E170" s="410" t="s">
        <v>57</v>
      </c>
      <c r="F170" s="113" t="s">
        <v>15</v>
      </c>
      <c r="G170" s="244">
        <v>430843</v>
      </c>
      <c r="H170" s="143">
        <f>ROUNDUP(361795+M170,0)</f>
        <v>389562</v>
      </c>
      <c r="I170" s="81">
        <f t="shared" ref="I170:I175" si="63">IF(G170&gt;0,H170/G170*100,"-")</f>
        <v>90.418551537334949</v>
      </c>
      <c r="J170" s="143">
        <v>58076</v>
      </c>
      <c r="K170" s="143">
        <f t="shared" ref="K170:K175" si="64">L170-J170</f>
        <v>10972</v>
      </c>
      <c r="L170" s="143">
        <v>69048</v>
      </c>
      <c r="M170" s="114">
        <v>27766.37</v>
      </c>
      <c r="N170" s="81">
        <f t="shared" ref="N170:N175" si="65">IF(L170&gt;0,M170/L170*100,"-")</f>
        <v>40.213141582667127</v>
      </c>
      <c r="O170" s="184"/>
    </row>
    <row r="171" spans="1:15" s="116" customFormat="1" ht="11.1" customHeight="1" outlineLevel="1" x14ac:dyDescent="0.2">
      <c r="A171" s="118"/>
      <c r="B171" s="110"/>
      <c r="C171" s="111"/>
      <c r="D171" s="112"/>
      <c r="E171" s="410"/>
      <c r="F171" s="113" t="s">
        <v>7</v>
      </c>
      <c r="G171" s="143">
        <v>0</v>
      </c>
      <c r="H171" s="143">
        <f t="shared" ref="H171:H175" si="66">ROUNDUP(0+M171,0)</f>
        <v>0</v>
      </c>
      <c r="I171" s="81" t="str">
        <f t="shared" si="63"/>
        <v>-</v>
      </c>
      <c r="J171" s="143">
        <v>0</v>
      </c>
      <c r="K171" s="143">
        <f t="shared" si="64"/>
        <v>0</v>
      </c>
      <c r="L171" s="143">
        <v>0</v>
      </c>
      <c r="M171" s="114">
        <v>0</v>
      </c>
      <c r="N171" s="81" t="str">
        <f t="shared" si="65"/>
        <v>-</v>
      </c>
      <c r="O171" s="184"/>
    </row>
    <row r="172" spans="1:15" s="116" customFormat="1" ht="11.1" customHeight="1" outlineLevel="1" x14ac:dyDescent="0.2">
      <c r="A172" s="118"/>
      <c r="B172" s="110"/>
      <c r="C172" s="111"/>
      <c r="D172" s="112"/>
      <c r="E172" s="410"/>
      <c r="F172" s="113" t="s">
        <v>8</v>
      </c>
      <c r="G172" s="143">
        <v>0</v>
      </c>
      <c r="H172" s="143">
        <f t="shared" si="66"/>
        <v>0</v>
      </c>
      <c r="I172" s="81" t="str">
        <f t="shared" si="63"/>
        <v>-</v>
      </c>
      <c r="J172" s="143">
        <v>0</v>
      </c>
      <c r="K172" s="143">
        <f t="shared" si="64"/>
        <v>0</v>
      </c>
      <c r="L172" s="143">
        <v>0</v>
      </c>
      <c r="M172" s="114">
        <v>0</v>
      </c>
      <c r="N172" s="81" t="str">
        <f t="shared" si="65"/>
        <v>-</v>
      </c>
      <c r="O172" s="184"/>
    </row>
    <row r="173" spans="1:15" s="116" customFormat="1" ht="11.1" customHeight="1" outlineLevel="1" x14ac:dyDescent="0.2">
      <c r="A173" s="118"/>
      <c r="B173" s="110"/>
      <c r="C173" s="111"/>
      <c r="D173" s="112"/>
      <c r="E173" s="191"/>
      <c r="F173" s="113" t="s">
        <v>22</v>
      </c>
      <c r="G173" s="143">
        <v>0</v>
      </c>
      <c r="H173" s="143">
        <f t="shared" si="66"/>
        <v>0</v>
      </c>
      <c r="I173" s="81" t="str">
        <f t="shared" si="63"/>
        <v>-</v>
      </c>
      <c r="J173" s="143">
        <v>0</v>
      </c>
      <c r="K173" s="143">
        <f t="shared" si="64"/>
        <v>0</v>
      </c>
      <c r="L173" s="143">
        <v>0</v>
      </c>
      <c r="M173" s="114">
        <v>0</v>
      </c>
      <c r="N173" s="81" t="str">
        <f t="shared" si="65"/>
        <v>-</v>
      </c>
      <c r="O173" s="184"/>
    </row>
    <row r="174" spans="1:15" s="116" customFormat="1" ht="11.1" customHeight="1" outlineLevel="1" x14ac:dyDescent="0.2">
      <c r="A174" s="118"/>
      <c r="B174" s="110"/>
      <c r="C174" s="111"/>
      <c r="D174" s="112"/>
      <c r="E174" s="191"/>
      <c r="F174" s="113" t="s">
        <v>45</v>
      </c>
      <c r="G174" s="143">
        <v>0</v>
      </c>
      <c r="H174" s="143">
        <f t="shared" si="66"/>
        <v>0</v>
      </c>
      <c r="I174" s="81" t="str">
        <f t="shared" si="63"/>
        <v>-</v>
      </c>
      <c r="J174" s="143">
        <v>0</v>
      </c>
      <c r="K174" s="143">
        <f t="shared" si="64"/>
        <v>0</v>
      </c>
      <c r="L174" s="143">
        <v>0</v>
      </c>
      <c r="M174" s="114">
        <v>0</v>
      </c>
      <c r="N174" s="81" t="str">
        <f t="shared" si="65"/>
        <v>-</v>
      </c>
      <c r="O174" s="184"/>
    </row>
    <row r="175" spans="1:15" s="116" customFormat="1" ht="11.1" customHeight="1" outlineLevel="1" x14ac:dyDescent="0.2">
      <c r="A175" s="118"/>
      <c r="B175" s="110"/>
      <c r="C175" s="111"/>
      <c r="D175" s="112"/>
      <c r="E175" s="191"/>
      <c r="F175" s="113" t="s">
        <v>365</v>
      </c>
      <c r="G175" s="143">
        <v>0</v>
      </c>
      <c r="H175" s="143">
        <f t="shared" si="66"/>
        <v>0</v>
      </c>
      <c r="I175" s="81" t="str">
        <f t="shared" si="63"/>
        <v>-</v>
      </c>
      <c r="J175" s="143">
        <v>0</v>
      </c>
      <c r="K175" s="143">
        <f t="shared" si="64"/>
        <v>0</v>
      </c>
      <c r="L175" s="143">
        <v>0</v>
      </c>
      <c r="M175" s="114">
        <v>0</v>
      </c>
      <c r="N175" s="81" t="str">
        <f t="shared" si="65"/>
        <v>-</v>
      </c>
      <c r="O175" s="184"/>
    </row>
    <row r="176" spans="1:15" s="116" customFormat="1" ht="3" customHeight="1" outlineLevel="1" x14ac:dyDescent="0.2">
      <c r="A176" s="118"/>
      <c r="B176" s="110"/>
      <c r="C176" s="111"/>
      <c r="D176" s="288"/>
      <c r="E176" s="191"/>
      <c r="F176" s="117"/>
      <c r="G176" s="143"/>
      <c r="H176" s="143"/>
      <c r="I176" s="81"/>
      <c r="J176" s="143"/>
      <c r="K176" s="143"/>
      <c r="L176" s="144"/>
      <c r="M176" s="115"/>
      <c r="N176" s="81"/>
      <c r="O176" s="184"/>
    </row>
    <row r="177" spans="1:15" s="116" customFormat="1" ht="11.1" customHeight="1" outlineLevel="1" x14ac:dyDescent="0.2">
      <c r="A177" s="118"/>
      <c r="B177" s="110"/>
      <c r="C177" s="111"/>
      <c r="D177" s="112"/>
      <c r="E177" s="410" t="s">
        <v>58</v>
      </c>
      <c r="F177" s="113" t="s">
        <v>15</v>
      </c>
      <c r="G177" s="143">
        <v>72198</v>
      </c>
      <c r="H177" s="143">
        <f>ROUNDUP(27384+M177,0)</f>
        <v>27384</v>
      </c>
      <c r="I177" s="81">
        <f t="shared" ref="I177:I182" si="67">IF(G177&gt;0,H177/G177*100,"-")</f>
        <v>37.929028504944732</v>
      </c>
      <c r="J177" s="143">
        <v>0</v>
      </c>
      <c r="K177" s="143">
        <f t="shared" ref="K177:K182" si="68">L177-J177</f>
        <v>44814</v>
      </c>
      <c r="L177" s="143">
        <v>44814</v>
      </c>
      <c r="M177" s="114">
        <v>0</v>
      </c>
      <c r="N177" s="81">
        <f t="shared" ref="N177:N182" si="69">IF(L177&gt;0,M177/L177*100,"-")</f>
        <v>0</v>
      </c>
      <c r="O177" s="184"/>
    </row>
    <row r="178" spans="1:15" s="116" customFormat="1" ht="11.1" customHeight="1" outlineLevel="1" x14ac:dyDescent="0.2">
      <c r="A178" s="118"/>
      <c r="B178" s="110"/>
      <c r="C178" s="111"/>
      <c r="D178" s="112"/>
      <c r="E178" s="410"/>
      <c r="F178" s="113" t="s">
        <v>7</v>
      </c>
      <c r="G178" s="143">
        <v>0</v>
      </c>
      <c r="H178" s="143">
        <f t="shared" ref="H178:H182" si="70">ROUNDUP(0+M178,0)</f>
        <v>0</v>
      </c>
      <c r="I178" s="81" t="str">
        <f t="shared" si="67"/>
        <v>-</v>
      </c>
      <c r="J178" s="143">
        <v>0</v>
      </c>
      <c r="K178" s="143">
        <f t="shared" si="68"/>
        <v>0</v>
      </c>
      <c r="L178" s="143">
        <v>0</v>
      </c>
      <c r="M178" s="114">
        <v>0</v>
      </c>
      <c r="N178" s="81" t="str">
        <f t="shared" si="69"/>
        <v>-</v>
      </c>
      <c r="O178" s="184"/>
    </row>
    <row r="179" spans="1:15" s="116" customFormat="1" ht="11.1" customHeight="1" outlineLevel="1" x14ac:dyDescent="0.2">
      <c r="A179" s="118"/>
      <c r="B179" s="110"/>
      <c r="C179" s="111"/>
      <c r="D179" s="112"/>
      <c r="E179" s="410"/>
      <c r="F179" s="113" t="s">
        <v>8</v>
      </c>
      <c r="G179" s="143">
        <v>0</v>
      </c>
      <c r="H179" s="143">
        <f t="shared" si="70"/>
        <v>0</v>
      </c>
      <c r="I179" s="81" t="str">
        <f t="shared" si="67"/>
        <v>-</v>
      </c>
      <c r="J179" s="143">
        <v>0</v>
      </c>
      <c r="K179" s="143">
        <f t="shared" si="68"/>
        <v>0</v>
      </c>
      <c r="L179" s="143">
        <v>0</v>
      </c>
      <c r="M179" s="114">
        <v>0</v>
      </c>
      <c r="N179" s="81" t="str">
        <f t="shared" si="69"/>
        <v>-</v>
      </c>
      <c r="O179" s="184"/>
    </row>
    <row r="180" spans="1:15" s="116" customFormat="1" ht="11.1" customHeight="1" outlineLevel="1" x14ac:dyDescent="0.2">
      <c r="A180" s="118"/>
      <c r="B180" s="110"/>
      <c r="C180" s="111"/>
      <c r="D180" s="112"/>
      <c r="E180" s="191"/>
      <c r="F180" s="113" t="s">
        <v>22</v>
      </c>
      <c r="G180" s="143">
        <v>0</v>
      </c>
      <c r="H180" s="143">
        <f t="shared" si="70"/>
        <v>0</v>
      </c>
      <c r="I180" s="81" t="str">
        <f t="shared" si="67"/>
        <v>-</v>
      </c>
      <c r="J180" s="143">
        <v>0</v>
      </c>
      <c r="K180" s="143">
        <f t="shared" si="68"/>
        <v>0</v>
      </c>
      <c r="L180" s="143">
        <v>0</v>
      </c>
      <c r="M180" s="114">
        <v>0</v>
      </c>
      <c r="N180" s="81" t="str">
        <f t="shared" si="69"/>
        <v>-</v>
      </c>
      <c r="O180" s="184"/>
    </row>
    <row r="181" spans="1:15" s="116" customFormat="1" ht="11.1" customHeight="1" outlineLevel="1" x14ac:dyDescent="0.2">
      <c r="A181" s="118"/>
      <c r="B181" s="110"/>
      <c r="C181" s="111"/>
      <c r="D181" s="112"/>
      <c r="E181" s="191"/>
      <c r="F181" s="113" t="s">
        <v>45</v>
      </c>
      <c r="G181" s="143">
        <v>0</v>
      </c>
      <c r="H181" s="143">
        <f t="shared" si="70"/>
        <v>0</v>
      </c>
      <c r="I181" s="81" t="str">
        <f t="shared" si="67"/>
        <v>-</v>
      </c>
      <c r="J181" s="143">
        <v>0</v>
      </c>
      <c r="K181" s="143">
        <f t="shared" si="68"/>
        <v>0</v>
      </c>
      <c r="L181" s="143">
        <v>0</v>
      </c>
      <c r="M181" s="114">
        <v>0</v>
      </c>
      <c r="N181" s="81" t="str">
        <f t="shared" si="69"/>
        <v>-</v>
      </c>
      <c r="O181" s="184"/>
    </row>
    <row r="182" spans="1:15" s="116" customFormat="1" ht="11.1" customHeight="1" outlineLevel="1" x14ac:dyDescent="0.2">
      <c r="A182" s="118"/>
      <c r="B182" s="110"/>
      <c r="C182" s="111"/>
      <c r="D182" s="112"/>
      <c r="E182" s="191"/>
      <c r="F182" s="113" t="s">
        <v>365</v>
      </c>
      <c r="G182" s="143">
        <v>0</v>
      </c>
      <c r="H182" s="143">
        <f t="shared" si="70"/>
        <v>0</v>
      </c>
      <c r="I182" s="81" t="str">
        <f t="shared" si="67"/>
        <v>-</v>
      </c>
      <c r="J182" s="143">
        <v>0</v>
      </c>
      <c r="K182" s="143">
        <f t="shared" si="68"/>
        <v>0</v>
      </c>
      <c r="L182" s="143">
        <v>0</v>
      </c>
      <c r="M182" s="114">
        <v>0</v>
      </c>
      <c r="N182" s="81" t="str">
        <f t="shared" si="69"/>
        <v>-</v>
      </c>
      <c r="O182" s="184"/>
    </row>
    <row r="183" spans="1:15" s="116" customFormat="1" ht="3" customHeight="1" outlineLevel="1" x14ac:dyDescent="0.2">
      <c r="A183" s="118"/>
      <c r="B183" s="110"/>
      <c r="C183" s="111"/>
      <c r="D183" s="112"/>
      <c r="E183" s="112"/>
      <c r="F183" s="117"/>
      <c r="G183" s="143"/>
      <c r="H183" s="143"/>
      <c r="I183" s="81"/>
      <c r="J183" s="143"/>
      <c r="K183" s="143"/>
      <c r="L183" s="144"/>
      <c r="M183" s="115"/>
      <c r="N183" s="81"/>
      <c r="O183" s="184"/>
    </row>
    <row r="184" spans="1:15" s="116" customFormat="1" ht="11.1" customHeight="1" outlineLevel="1" x14ac:dyDescent="0.2">
      <c r="A184" s="118"/>
      <c r="B184" s="110"/>
      <c r="C184" s="111"/>
      <c r="D184" s="112"/>
      <c r="E184" s="410" t="s">
        <v>53</v>
      </c>
      <c r="F184" s="113" t="s">
        <v>15</v>
      </c>
      <c r="G184" s="244">
        <v>850205</v>
      </c>
      <c r="H184" s="143">
        <f>ROUNDUP(664866+M184,0)</f>
        <v>770198</v>
      </c>
      <c r="I184" s="81">
        <f t="shared" ref="I184:I189" si="71">IF(G184&gt;0,H184/G184*100,"-")</f>
        <v>90.589681312154127</v>
      </c>
      <c r="J184" s="143">
        <v>194073</v>
      </c>
      <c r="K184" s="143">
        <f t="shared" ref="K184:K189" si="72">L184-J184</f>
        <v>-8734</v>
      </c>
      <c r="L184" s="143">
        <v>185339</v>
      </c>
      <c r="M184" s="114">
        <v>105331.05</v>
      </c>
      <c r="N184" s="81">
        <f t="shared" ref="N184:N189" si="73">IF(L184&gt;0,M184/L184*100,"-")</f>
        <v>56.831562704018047</v>
      </c>
      <c r="O184" s="184"/>
    </row>
    <row r="185" spans="1:15" s="116" customFormat="1" ht="11.1" customHeight="1" outlineLevel="1" x14ac:dyDescent="0.2">
      <c r="A185" s="118"/>
      <c r="B185" s="110"/>
      <c r="C185" s="111"/>
      <c r="D185" s="112"/>
      <c r="E185" s="410"/>
      <c r="F185" s="113" t="s">
        <v>7</v>
      </c>
      <c r="G185" s="143">
        <v>0</v>
      </c>
      <c r="H185" s="143">
        <f t="shared" ref="H185:H189" si="74">ROUNDUP(0+M185,0)</f>
        <v>0</v>
      </c>
      <c r="I185" s="81" t="str">
        <f t="shared" si="71"/>
        <v>-</v>
      </c>
      <c r="J185" s="143">
        <v>0</v>
      </c>
      <c r="K185" s="143">
        <f t="shared" si="72"/>
        <v>0</v>
      </c>
      <c r="L185" s="143">
        <v>0</v>
      </c>
      <c r="M185" s="114">
        <v>0</v>
      </c>
      <c r="N185" s="81" t="str">
        <f t="shared" si="73"/>
        <v>-</v>
      </c>
      <c r="O185" s="184"/>
    </row>
    <row r="186" spans="1:15" s="116" customFormat="1" ht="11.1" customHeight="1" outlineLevel="1" x14ac:dyDescent="0.2">
      <c r="A186" s="118"/>
      <c r="B186" s="110"/>
      <c r="C186" s="111"/>
      <c r="D186" s="112"/>
      <c r="E186" s="410"/>
      <c r="F186" s="113" t="s">
        <v>8</v>
      </c>
      <c r="G186" s="143">
        <v>0</v>
      </c>
      <c r="H186" s="143">
        <f t="shared" si="74"/>
        <v>0</v>
      </c>
      <c r="I186" s="81" t="str">
        <f t="shared" si="71"/>
        <v>-</v>
      </c>
      <c r="J186" s="143">
        <v>0</v>
      </c>
      <c r="K186" s="143">
        <f t="shared" si="72"/>
        <v>0</v>
      </c>
      <c r="L186" s="143">
        <v>0</v>
      </c>
      <c r="M186" s="114">
        <v>0</v>
      </c>
      <c r="N186" s="81" t="str">
        <f t="shared" si="73"/>
        <v>-</v>
      </c>
      <c r="O186" s="184"/>
    </row>
    <row r="187" spans="1:15" s="116" customFormat="1" ht="11.1" customHeight="1" outlineLevel="1" x14ac:dyDescent="0.2">
      <c r="A187" s="118"/>
      <c r="B187" s="110"/>
      <c r="C187" s="111"/>
      <c r="D187" s="112"/>
      <c r="E187" s="191"/>
      <c r="F187" s="113" t="s">
        <v>22</v>
      </c>
      <c r="G187" s="143">
        <v>0</v>
      </c>
      <c r="H187" s="143">
        <f t="shared" si="74"/>
        <v>0</v>
      </c>
      <c r="I187" s="81" t="str">
        <f t="shared" si="71"/>
        <v>-</v>
      </c>
      <c r="J187" s="143">
        <v>0</v>
      </c>
      <c r="K187" s="143">
        <f t="shared" si="72"/>
        <v>0</v>
      </c>
      <c r="L187" s="143">
        <v>0</v>
      </c>
      <c r="M187" s="114">
        <v>0</v>
      </c>
      <c r="N187" s="81" t="str">
        <f t="shared" si="73"/>
        <v>-</v>
      </c>
      <c r="O187" s="184"/>
    </row>
    <row r="188" spans="1:15" s="116" customFormat="1" ht="11.1" customHeight="1" outlineLevel="1" x14ac:dyDescent="0.2">
      <c r="A188" s="118"/>
      <c r="B188" s="110"/>
      <c r="C188" s="111"/>
      <c r="D188" s="112"/>
      <c r="E188" s="191"/>
      <c r="F188" s="113" t="s">
        <v>45</v>
      </c>
      <c r="G188" s="143">
        <v>0</v>
      </c>
      <c r="H188" s="143">
        <f t="shared" si="74"/>
        <v>0</v>
      </c>
      <c r="I188" s="81" t="str">
        <f t="shared" si="71"/>
        <v>-</v>
      </c>
      <c r="J188" s="143">
        <v>0</v>
      </c>
      <c r="K188" s="143">
        <f t="shared" si="72"/>
        <v>0</v>
      </c>
      <c r="L188" s="143">
        <v>0</v>
      </c>
      <c r="M188" s="114">
        <v>0</v>
      </c>
      <c r="N188" s="81" t="str">
        <f t="shared" si="73"/>
        <v>-</v>
      </c>
      <c r="O188" s="184"/>
    </row>
    <row r="189" spans="1:15" s="116" customFormat="1" ht="11.1" customHeight="1" outlineLevel="1" x14ac:dyDescent="0.2">
      <c r="A189" s="118"/>
      <c r="B189" s="110"/>
      <c r="C189" s="111"/>
      <c r="D189" s="112"/>
      <c r="E189" s="191"/>
      <c r="F189" s="113" t="s">
        <v>365</v>
      </c>
      <c r="G189" s="143">
        <v>0</v>
      </c>
      <c r="H189" s="143">
        <f t="shared" si="74"/>
        <v>0</v>
      </c>
      <c r="I189" s="81" t="str">
        <f t="shared" si="71"/>
        <v>-</v>
      </c>
      <c r="J189" s="143">
        <v>0</v>
      </c>
      <c r="K189" s="143">
        <f t="shared" si="72"/>
        <v>0</v>
      </c>
      <c r="L189" s="143">
        <v>0</v>
      </c>
      <c r="M189" s="114">
        <v>0</v>
      </c>
      <c r="N189" s="81" t="str">
        <f t="shared" si="73"/>
        <v>-</v>
      </c>
      <c r="O189" s="184"/>
    </row>
    <row r="190" spans="1:15" s="116" customFormat="1" ht="3" customHeight="1" outlineLevel="1" x14ac:dyDescent="0.2">
      <c r="A190" s="118"/>
      <c r="B190" s="110"/>
      <c r="C190" s="111"/>
      <c r="D190" s="112"/>
      <c r="E190" s="112"/>
      <c r="F190" s="117"/>
      <c r="G190" s="143"/>
      <c r="H190" s="143"/>
      <c r="I190" s="81"/>
      <c r="J190" s="143"/>
      <c r="K190" s="143"/>
      <c r="L190" s="144"/>
      <c r="M190" s="115"/>
      <c r="N190" s="81"/>
      <c r="O190" s="184"/>
    </row>
    <row r="191" spans="1:15" s="116" customFormat="1" ht="11.1" customHeight="1" outlineLevel="1" x14ac:dyDescent="0.2">
      <c r="A191" s="118"/>
      <c r="B191" s="110"/>
      <c r="C191" s="111"/>
      <c r="D191" s="112"/>
      <c r="E191" s="410" t="s">
        <v>54</v>
      </c>
      <c r="F191" s="113" t="s">
        <v>15</v>
      </c>
      <c r="G191" s="143">
        <v>0</v>
      </c>
      <c r="H191" s="143">
        <f t="shared" ref="H191" si="75">ROUNDUP(0+M191,0)</f>
        <v>0</v>
      </c>
      <c r="I191" s="81" t="str">
        <f t="shared" ref="I191:I196" si="76">IF(G191&gt;0,H191/G191*100,"-")</f>
        <v>-</v>
      </c>
      <c r="J191" s="143">
        <v>0</v>
      </c>
      <c r="K191" s="143">
        <f t="shared" ref="K191:K196" si="77">L191-J191</f>
        <v>0</v>
      </c>
      <c r="L191" s="143">
        <v>0</v>
      </c>
      <c r="M191" s="114">
        <v>0</v>
      </c>
      <c r="N191" s="81" t="str">
        <f t="shared" ref="N191:N196" si="78">IF(L191&gt;0,M191/L191*100,"-")</f>
        <v>-</v>
      </c>
      <c r="O191" s="184"/>
    </row>
    <row r="192" spans="1:15" s="116" customFormat="1" ht="11.1" customHeight="1" outlineLevel="1" x14ac:dyDescent="0.2">
      <c r="A192" s="118"/>
      <c r="B192" s="110"/>
      <c r="C192" s="111"/>
      <c r="D192" s="112"/>
      <c r="E192" s="410"/>
      <c r="F192" s="113" t="s">
        <v>7</v>
      </c>
      <c r="G192" s="244">
        <v>12289745</v>
      </c>
      <c r="H192" s="143">
        <f>ROUNDUP(9786032+M192,0)</f>
        <v>10618301</v>
      </c>
      <c r="I192" s="81">
        <f t="shared" si="76"/>
        <v>86.399685266049048</v>
      </c>
      <c r="J192" s="143">
        <v>1139663</v>
      </c>
      <c r="K192" s="143">
        <f t="shared" si="77"/>
        <v>1364050</v>
      </c>
      <c r="L192" s="143">
        <v>2503713</v>
      </c>
      <c r="M192" s="114">
        <v>832268.57</v>
      </c>
      <c r="N192" s="81">
        <f t="shared" si="78"/>
        <v>33.241372713246285</v>
      </c>
      <c r="O192" s="184"/>
    </row>
    <row r="193" spans="1:15" s="116" customFormat="1" ht="11.1" customHeight="1" outlineLevel="1" x14ac:dyDescent="0.2">
      <c r="A193" s="118"/>
      <c r="B193" s="110"/>
      <c r="C193" s="111"/>
      <c r="D193" s="112"/>
      <c r="E193" s="410"/>
      <c r="F193" s="113" t="s">
        <v>8</v>
      </c>
      <c r="G193" s="143">
        <v>0</v>
      </c>
      <c r="H193" s="143">
        <f t="shared" ref="H193" si="79">ROUNDUP(0+M193,0)</f>
        <v>0</v>
      </c>
      <c r="I193" s="81" t="str">
        <f t="shared" si="76"/>
        <v>-</v>
      </c>
      <c r="J193" s="143">
        <v>0</v>
      </c>
      <c r="K193" s="143">
        <f t="shared" si="77"/>
        <v>0</v>
      </c>
      <c r="L193" s="143">
        <v>0</v>
      </c>
      <c r="M193" s="114">
        <v>0</v>
      </c>
      <c r="N193" s="81" t="str">
        <f t="shared" si="78"/>
        <v>-</v>
      </c>
      <c r="O193" s="184"/>
    </row>
    <row r="194" spans="1:15" s="116" customFormat="1" ht="11.1" customHeight="1" outlineLevel="1" x14ac:dyDescent="0.2">
      <c r="A194" s="118"/>
      <c r="B194" s="110"/>
      <c r="C194" s="111"/>
      <c r="D194" s="112"/>
      <c r="E194" s="191"/>
      <c r="F194" s="113" t="s">
        <v>22</v>
      </c>
      <c r="G194" s="244">
        <v>773312</v>
      </c>
      <c r="H194" s="143">
        <f>ROUNDUP(640762+M194,0)</f>
        <v>684825</v>
      </c>
      <c r="I194" s="81">
        <f t="shared" si="76"/>
        <v>88.557399859306457</v>
      </c>
      <c r="J194" s="143">
        <v>60337</v>
      </c>
      <c r="K194" s="143">
        <f t="shared" si="77"/>
        <v>72213</v>
      </c>
      <c r="L194" s="143">
        <v>132550</v>
      </c>
      <c r="M194" s="114">
        <v>44062.51</v>
      </c>
      <c r="N194" s="81">
        <f t="shared" si="78"/>
        <v>33.242180309317241</v>
      </c>
      <c r="O194" s="184"/>
    </row>
    <row r="195" spans="1:15" s="116" customFormat="1" ht="11.1" customHeight="1" outlineLevel="1" x14ac:dyDescent="0.2">
      <c r="A195" s="118"/>
      <c r="B195" s="110"/>
      <c r="C195" s="111"/>
      <c r="D195" s="112"/>
      <c r="E195" s="191"/>
      <c r="F195" s="113" t="s">
        <v>45</v>
      </c>
      <c r="G195" s="143">
        <v>0</v>
      </c>
      <c r="H195" s="143">
        <f t="shared" ref="H195:H196" si="80">ROUNDUP(0+M195,0)</f>
        <v>0</v>
      </c>
      <c r="I195" s="81" t="str">
        <f t="shared" si="76"/>
        <v>-</v>
      </c>
      <c r="J195" s="143">
        <v>0</v>
      </c>
      <c r="K195" s="143">
        <f t="shared" si="77"/>
        <v>0</v>
      </c>
      <c r="L195" s="143">
        <v>0</v>
      </c>
      <c r="M195" s="114">
        <v>0</v>
      </c>
      <c r="N195" s="81" t="str">
        <f t="shared" si="78"/>
        <v>-</v>
      </c>
      <c r="O195" s="184"/>
    </row>
    <row r="196" spans="1:15" s="116" customFormat="1" ht="11.1" customHeight="1" outlineLevel="1" x14ac:dyDescent="0.2">
      <c r="A196" s="118"/>
      <c r="B196" s="110"/>
      <c r="C196" s="111"/>
      <c r="D196" s="112"/>
      <c r="E196" s="191"/>
      <c r="F196" s="113" t="s">
        <v>365</v>
      </c>
      <c r="G196" s="143">
        <v>0</v>
      </c>
      <c r="H196" s="143">
        <f t="shared" si="80"/>
        <v>0</v>
      </c>
      <c r="I196" s="81" t="str">
        <f t="shared" si="76"/>
        <v>-</v>
      </c>
      <c r="J196" s="143">
        <v>0</v>
      </c>
      <c r="K196" s="143">
        <f t="shared" si="77"/>
        <v>0</v>
      </c>
      <c r="L196" s="143">
        <v>0</v>
      </c>
      <c r="M196" s="114">
        <v>0</v>
      </c>
      <c r="N196" s="81" t="str">
        <f t="shared" si="78"/>
        <v>-</v>
      </c>
      <c r="O196" s="184"/>
    </row>
    <row r="197" spans="1:15" s="116" customFormat="1" ht="3" customHeight="1" outlineLevel="1" x14ac:dyDescent="0.2">
      <c r="A197" s="118"/>
      <c r="B197" s="110"/>
      <c r="C197" s="111"/>
      <c r="D197" s="292"/>
      <c r="E197" s="191"/>
      <c r="F197" s="117"/>
      <c r="G197" s="143"/>
      <c r="H197" s="143"/>
      <c r="I197" s="81"/>
      <c r="J197" s="143"/>
      <c r="K197" s="143"/>
      <c r="L197" s="144"/>
      <c r="M197" s="115"/>
      <c r="N197" s="81"/>
      <c r="O197" s="185"/>
    </row>
    <row r="198" spans="1:15" s="95" customFormat="1" ht="3" customHeight="1" outlineLevel="1" x14ac:dyDescent="0.2">
      <c r="A198" s="153"/>
      <c r="B198" s="72"/>
      <c r="C198" s="73"/>
      <c r="D198" s="71"/>
      <c r="E198" s="71"/>
      <c r="F198" s="72"/>
      <c r="G198" s="136"/>
      <c r="H198" s="136"/>
      <c r="I198" s="75"/>
      <c r="J198" s="136"/>
      <c r="K198" s="136"/>
      <c r="L198" s="137"/>
      <c r="M198" s="74"/>
      <c r="N198" s="75"/>
      <c r="O198" s="400" t="s">
        <v>493</v>
      </c>
    </row>
    <row r="199" spans="1:15" s="95" customFormat="1" ht="11.1" customHeight="1" outlineLevel="1" x14ac:dyDescent="0.2">
      <c r="A199" s="391" t="s">
        <v>514</v>
      </c>
      <c r="B199" s="76" t="s">
        <v>9</v>
      </c>
      <c r="C199" s="77" t="s">
        <v>55</v>
      </c>
      <c r="D199" s="392" t="s">
        <v>389</v>
      </c>
      <c r="E199" s="392" t="s">
        <v>54</v>
      </c>
      <c r="F199" s="78" t="s">
        <v>28</v>
      </c>
      <c r="G199" s="138">
        <f>SUM(G200:G205)</f>
        <v>579425</v>
      </c>
      <c r="H199" s="138">
        <f>SUM(H200:H205)</f>
        <v>63646</v>
      </c>
      <c r="I199" s="39">
        <f t="shared" ref="I199:I205" si="81">IF(G199&gt;0,H199/G199*100,"-")</f>
        <v>10.984337921214998</v>
      </c>
      <c r="J199" s="138">
        <f>SUM(J200:J205)</f>
        <v>0</v>
      </c>
      <c r="K199" s="138">
        <f>SUM(K200:K205)</f>
        <v>426025</v>
      </c>
      <c r="L199" s="138">
        <f>SUM(L200:L205)</f>
        <v>426025</v>
      </c>
      <c r="M199" s="38">
        <f>SUM(M200:M205)</f>
        <v>63644.679999999993</v>
      </c>
      <c r="N199" s="39">
        <f t="shared" ref="N199:N205" si="82">IF(L199&gt;0,M199/L199*100,"-")</f>
        <v>14.939189014729182</v>
      </c>
      <c r="O199" s="388"/>
    </row>
    <row r="200" spans="1:15" s="95" customFormat="1" ht="11.1" customHeight="1" outlineLevel="1" x14ac:dyDescent="0.2">
      <c r="A200" s="391"/>
      <c r="B200" s="76" t="s">
        <v>10</v>
      </c>
      <c r="C200" s="77" t="s">
        <v>63</v>
      </c>
      <c r="D200" s="392"/>
      <c r="E200" s="392"/>
      <c r="F200" s="79" t="s">
        <v>15</v>
      </c>
      <c r="G200" s="139">
        <v>0</v>
      </c>
      <c r="H200" s="139">
        <f t="shared" ref="H200" si="83">ROUNDUP(0+M200,0)</f>
        <v>0</v>
      </c>
      <c r="I200" s="81" t="str">
        <f t="shared" si="81"/>
        <v>-</v>
      </c>
      <c r="J200" s="139">
        <v>0</v>
      </c>
      <c r="K200" s="139">
        <f t="shared" ref="K200:K205" si="84">L200-J200</f>
        <v>0</v>
      </c>
      <c r="L200" s="139">
        <v>0</v>
      </c>
      <c r="M200" s="80">
        <v>0</v>
      </c>
      <c r="N200" s="81" t="str">
        <f t="shared" si="82"/>
        <v>-</v>
      </c>
      <c r="O200" s="388"/>
    </row>
    <row r="201" spans="1:15" s="95" customFormat="1" ht="11.1" customHeight="1" outlineLevel="1" x14ac:dyDescent="0.2">
      <c r="A201" s="391"/>
      <c r="B201" s="76" t="s">
        <v>11</v>
      </c>
      <c r="C201" s="82" t="s">
        <v>276</v>
      </c>
      <c r="D201" s="392"/>
      <c r="E201" s="392"/>
      <c r="F201" s="79" t="s">
        <v>7</v>
      </c>
      <c r="G201" s="139">
        <v>492511</v>
      </c>
      <c r="H201" s="139">
        <f t="shared" ref="H201:H205" si="85">ROUNDUP(0+M201,0)</f>
        <v>54099</v>
      </c>
      <c r="I201" s="81">
        <f t="shared" si="81"/>
        <v>10.984323192781481</v>
      </c>
      <c r="J201" s="180">
        <v>0</v>
      </c>
      <c r="K201" s="139">
        <f t="shared" si="84"/>
        <v>362121</v>
      </c>
      <c r="L201" s="139">
        <v>362121</v>
      </c>
      <c r="M201" s="80">
        <v>54098.02</v>
      </c>
      <c r="N201" s="81">
        <f t="shared" si="82"/>
        <v>14.939210926734434</v>
      </c>
      <c r="O201" s="388"/>
    </row>
    <row r="202" spans="1:15" s="95" customFormat="1" ht="11.1" customHeight="1" outlineLevel="1" x14ac:dyDescent="0.2">
      <c r="A202" s="118"/>
      <c r="B202" s="76"/>
      <c r="C202" s="82" t="s">
        <v>277</v>
      </c>
      <c r="D202" s="109"/>
      <c r="E202" s="109"/>
      <c r="F202" s="79" t="s">
        <v>8</v>
      </c>
      <c r="G202" s="139">
        <v>0</v>
      </c>
      <c r="H202" s="139">
        <f t="shared" ref="H202" si="86">ROUNDUP(0+M202,0)</f>
        <v>0</v>
      </c>
      <c r="I202" s="81" t="str">
        <f t="shared" si="81"/>
        <v>-</v>
      </c>
      <c r="J202" s="180">
        <v>0</v>
      </c>
      <c r="K202" s="139">
        <f t="shared" si="84"/>
        <v>0</v>
      </c>
      <c r="L202" s="139">
        <v>0</v>
      </c>
      <c r="M202" s="80">
        <v>0</v>
      </c>
      <c r="N202" s="81" t="str">
        <f t="shared" si="82"/>
        <v>-</v>
      </c>
      <c r="O202" s="388"/>
    </row>
    <row r="203" spans="1:15" s="95" customFormat="1" ht="11.1" customHeight="1" outlineLevel="1" x14ac:dyDescent="0.2">
      <c r="A203" s="118"/>
      <c r="B203" s="76" t="s">
        <v>12</v>
      </c>
      <c r="C203" s="82" t="s">
        <v>385</v>
      </c>
      <c r="D203" s="109"/>
      <c r="E203" s="109"/>
      <c r="F203" s="79" t="s">
        <v>22</v>
      </c>
      <c r="G203" s="139">
        <v>86914</v>
      </c>
      <c r="H203" s="139">
        <f t="shared" si="85"/>
        <v>9547</v>
      </c>
      <c r="I203" s="81">
        <f t="shared" si="81"/>
        <v>10.984421382055826</v>
      </c>
      <c r="J203" s="180">
        <v>0</v>
      </c>
      <c r="K203" s="139">
        <f t="shared" si="84"/>
        <v>63904</v>
      </c>
      <c r="L203" s="139">
        <v>63904</v>
      </c>
      <c r="M203" s="80">
        <v>9546.66</v>
      </c>
      <c r="N203" s="81">
        <f t="shared" si="82"/>
        <v>14.939064847270906</v>
      </c>
      <c r="O203" s="388"/>
    </row>
    <row r="204" spans="1:15" s="95" customFormat="1" ht="11.1" customHeight="1" outlineLevel="1" x14ac:dyDescent="0.2">
      <c r="A204" s="118"/>
      <c r="B204" s="76" t="s">
        <v>23</v>
      </c>
      <c r="C204" s="82" t="s">
        <v>386</v>
      </c>
      <c r="D204" s="109"/>
      <c r="E204" s="109"/>
      <c r="F204" s="79" t="s">
        <v>45</v>
      </c>
      <c r="G204" s="139">
        <v>0</v>
      </c>
      <c r="H204" s="139">
        <f t="shared" si="85"/>
        <v>0</v>
      </c>
      <c r="I204" s="81" t="str">
        <f t="shared" si="81"/>
        <v>-</v>
      </c>
      <c r="J204" s="139">
        <v>0</v>
      </c>
      <c r="K204" s="139">
        <f t="shared" si="84"/>
        <v>0</v>
      </c>
      <c r="L204" s="139">
        <v>0</v>
      </c>
      <c r="M204" s="80">
        <v>0</v>
      </c>
      <c r="N204" s="81" t="str">
        <f t="shared" si="82"/>
        <v>-</v>
      </c>
      <c r="O204" s="388"/>
    </row>
    <row r="205" spans="1:15" s="95" customFormat="1" ht="11.1" customHeight="1" outlineLevel="1" x14ac:dyDescent="0.2">
      <c r="A205" s="118"/>
      <c r="B205" s="76"/>
      <c r="C205" s="82" t="s">
        <v>387</v>
      </c>
      <c r="D205" s="109"/>
      <c r="E205" s="109"/>
      <c r="F205" s="79" t="s">
        <v>365</v>
      </c>
      <c r="G205" s="139">
        <v>0</v>
      </c>
      <c r="H205" s="139">
        <f t="shared" si="85"/>
        <v>0</v>
      </c>
      <c r="I205" s="81" t="str">
        <f t="shared" si="81"/>
        <v>-</v>
      </c>
      <c r="J205" s="139">
        <v>0</v>
      </c>
      <c r="K205" s="139">
        <f t="shared" si="84"/>
        <v>0</v>
      </c>
      <c r="L205" s="139">
        <v>0</v>
      </c>
      <c r="M205" s="80">
        <v>0</v>
      </c>
      <c r="N205" s="81" t="str">
        <f t="shared" si="82"/>
        <v>-</v>
      </c>
      <c r="O205" s="388"/>
    </row>
    <row r="206" spans="1:15" s="95" customFormat="1" ht="11.1" customHeight="1" outlineLevel="1" x14ac:dyDescent="0.2">
      <c r="A206" s="118"/>
      <c r="B206" s="76"/>
      <c r="C206" s="82" t="s">
        <v>388</v>
      </c>
      <c r="D206" s="109"/>
      <c r="E206" s="109"/>
      <c r="F206" s="106"/>
      <c r="G206" s="140"/>
      <c r="H206" s="140"/>
      <c r="I206" s="81"/>
      <c r="J206" s="140"/>
      <c r="K206" s="140"/>
      <c r="L206" s="139"/>
      <c r="M206" s="107"/>
      <c r="N206" s="81"/>
      <c r="O206" s="388"/>
    </row>
    <row r="207" spans="1:15" s="95" customFormat="1" ht="3" customHeight="1" outlineLevel="1" x14ac:dyDescent="0.2">
      <c r="A207" s="119"/>
      <c r="B207" s="85"/>
      <c r="C207" s="86"/>
      <c r="D207" s="84"/>
      <c r="E207" s="84"/>
      <c r="F207" s="85"/>
      <c r="G207" s="141"/>
      <c r="H207" s="141"/>
      <c r="I207" s="88"/>
      <c r="J207" s="141"/>
      <c r="K207" s="141"/>
      <c r="L207" s="142"/>
      <c r="M207" s="87"/>
      <c r="N207" s="88"/>
      <c r="O207" s="404"/>
    </row>
    <row r="208" spans="1:15" s="95" customFormat="1" ht="3" customHeight="1" outlineLevel="1" x14ac:dyDescent="0.2">
      <c r="A208" s="153"/>
      <c r="B208" s="72"/>
      <c r="C208" s="73"/>
      <c r="D208" s="71"/>
      <c r="E208" s="71"/>
      <c r="F208" s="72"/>
      <c r="G208" s="136"/>
      <c r="H208" s="136"/>
      <c r="I208" s="75"/>
      <c r="J208" s="136"/>
      <c r="K208" s="136"/>
      <c r="L208" s="137"/>
      <c r="M208" s="74"/>
      <c r="N208" s="75"/>
      <c r="O208" s="400" t="s">
        <v>494</v>
      </c>
    </row>
    <row r="209" spans="1:15" s="95" customFormat="1" ht="11.1" customHeight="1" outlineLevel="1" x14ac:dyDescent="0.2">
      <c r="A209" s="391" t="s">
        <v>515</v>
      </c>
      <c r="B209" s="76" t="s">
        <v>9</v>
      </c>
      <c r="C209" s="77" t="s">
        <v>55</v>
      </c>
      <c r="D209" s="392" t="s">
        <v>291</v>
      </c>
      <c r="E209" s="392" t="s">
        <v>54</v>
      </c>
      <c r="F209" s="78" t="s">
        <v>28</v>
      </c>
      <c r="G209" s="138">
        <f>SUM(G210:G215)</f>
        <v>612468</v>
      </c>
      <c r="H209" s="138">
        <f>SUM(H210:H215)</f>
        <v>511646</v>
      </c>
      <c r="I209" s="39">
        <f t="shared" ref="I209:I215" si="87">IF(G209&gt;0,H209/G209*100,"-")</f>
        <v>83.538405271785635</v>
      </c>
      <c r="J209" s="138">
        <f>SUM(J210:J215)</f>
        <v>506041</v>
      </c>
      <c r="K209" s="138">
        <f>SUM(K210:K215)</f>
        <v>0</v>
      </c>
      <c r="L209" s="138">
        <f>SUM(L210:L215)</f>
        <v>506041</v>
      </c>
      <c r="M209" s="38">
        <f>SUM(M210:M215)</f>
        <v>405218.51</v>
      </c>
      <c r="N209" s="39">
        <f t="shared" ref="N209:N215" si="88">IF(L209&gt;0,M209/L209*100,"-")</f>
        <v>80.07622109670956</v>
      </c>
      <c r="O209" s="388"/>
    </row>
    <row r="210" spans="1:15" s="95" customFormat="1" ht="11.1" customHeight="1" outlineLevel="1" x14ac:dyDescent="0.2">
      <c r="A210" s="391"/>
      <c r="B210" s="76" t="s">
        <v>10</v>
      </c>
      <c r="C210" s="77" t="s">
        <v>306</v>
      </c>
      <c r="D210" s="392"/>
      <c r="E210" s="392"/>
      <c r="F210" s="79" t="s">
        <v>15</v>
      </c>
      <c r="G210" s="139">
        <v>0</v>
      </c>
      <c r="H210" s="139">
        <f t="shared" ref="H210:H215" si="89">ROUNDUP(0+M210,0)</f>
        <v>0</v>
      </c>
      <c r="I210" s="81" t="str">
        <f t="shared" si="87"/>
        <v>-</v>
      </c>
      <c r="J210" s="139"/>
      <c r="K210" s="139">
        <f t="shared" ref="K210:K215" si="90">L210-J210</f>
        <v>0</v>
      </c>
      <c r="L210" s="139">
        <v>0</v>
      </c>
      <c r="M210" s="80">
        <v>0</v>
      </c>
      <c r="N210" s="81" t="str">
        <f t="shared" si="88"/>
        <v>-</v>
      </c>
      <c r="O210" s="388"/>
    </row>
    <row r="211" spans="1:15" s="95" customFormat="1" ht="11.1" customHeight="1" outlineLevel="1" x14ac:dyDescent="0.2">
      <c r="A211" s="391"/>
      <c r="B211" s="76" t="s">
        <v>11</v>
      </c>
      <c r="C211" s="82" t="s">
        <v>307</v>
      </c>
      <c r="D211" s="392"/>
      <c r="E211" s="392"/>
      <c r="F211" s="79" t="s">
        <v>7</v>
      </c>
      <c r="G211" s="139">
        <v>520599</v>
      </c>
      <c r="H211" s="139">
        <f>ROUNDUP(90463+M211,0)</f>
        <v>434899</v>
      </c>
      <c r="I211" s="81">
        <f t="shared" si="87"/>
        <v>83.538193504021336</v>
      </c>
      <c r="J211" s="139">
        <v>430136</v>
      </c>
      <c r="K211" s="139">
        <f t="shared" si="90"/>
        <v>0</v>
      </c>
      <c r="L211" s="139">
        <v>430136</v>
      </c>
      <c r="M211" s="80">
        <v>344435.93</v>
      </c>
      <c r="N211" s="81">
        <f t="shared" si="88"/>
        <v>80.076052690311911</v>
      </c>
      <c r="O211" s="388"/>
    </row>
    <row r="212" spans="1:15" s="95" customFormat="1" ht="11.1" customHeight="1" outlineLevel="1" x14ac:dyDescent="0.2">
      <c r="A212" s="118"/>
      <c r="B212" s="76" t="s">
        <v>12</v>
      </c>
      <c r="C212" s="82" t="s">
        <v>308</v>
      </c>
      <c r="D212" s="109"/>
      <c r="E212" s="109"/>
      <c r="F212" s="79" t="s">
        <v>8</v>
      </c>
      <c r="G212" s="139">
        <v>0</v>
      </c>
      <c r="H212" s="139">
        <f t="shared" si="89"/>
        <v>0</v>
      </c>
      <c r="I212" s="81" t="str">
        <f t="shared" si="87"/>
        <v>-</v>
      </c>
      <c r="J212" s="139"/>
      <c r="K212" s="139">
        <f t="shared" si="90"/>
        <v>0</v>
      </c>
      <c r="L212" s="139">
        <v>0</v>
      </c>
      <c r="M212" s="80">
        <v>0</v>
      </c>
      <c r="N212" s="81" t="str">
        <f t="shared" si="88"/>
        <v>-</v>
      </c>
      <c r="O212" s="388"/>
    </row>
    <row r="213" spans="1:15" s="95" customFormat="1" ht="11.1" customHeight="1" outlineLevel="1" x14ac:dyDescent="0.2">
      <c r="A213" s="118"/>
      <c r="B213" s="76"/>
      <c r="C213" s="82" t="s">
        <v>309</v>
      </c>
      <c r="D213" s="109"/>
      <c r="E213" s="109"/>
      <c r="F213" s="79" t="s">
        <v>22</v>
      </c>
      <c r="G213" s="139">
        <v>91869</v>
      </c>
      <c r="H213" s="139">
        <f>ROUNDUP(15964+M213,0)</f>
        <v>76747</v>
      </c>
      <c r="I213" s="81">
        <f t="shared" si="87"/>
        <v>83.539605307557494</v>
      </c>
      <c r="J213" s="139">
        <v>75905</v>
      </c>
      <c r="K213" s="139">
        <f t="shared" si="90"/>
        <v>0</v>
      </c>
      <c r="L213" s="139">
        <v>75905</v>
      </c>
      <c r="M213" s="80">
        <v>60782.58</v>
      </c>
      <c r="N213" s="81">
        <f t="shared" si="88"/>
        <v>80.077175416639221</v>
      </c>
      <c r="O213" s="388"/>
    </row>
    <row r="214" spans="1:15" s="95" customFormat="1" ht="11.1" customHeight="1" outlineLevel="1" x14ac:dyDescent="0.2">
      <c r="A214" s="118"/>
      <c r="B214" s="76"/>
      <c r="C214" s="82" t="s">
        <v>310</v>
      </c>
      <c r="D214" s="109"/>
      <c r="E214" s="109"/>
      <c r="F214" s="79" t="s">
        <v>45</v>
      </c>
      <c r="G214" s="139">
        <v>0</v>
      </c>
      <c r="H214" s="139">
        <f t="shared" si="89"/>
        <v>0</v>
      </c>
      <c r="I214" s="81" t="str">
        <f t="shared" si="87"/>
        <v>-</v>
      </c>
      <c r="J214" s="139"/>
      <c r="K214" s="139">
        <f t="shared" si="90"/>
        <v>0</v>
      </c>
      <c r="L214" s="139">
        <v>0</v>
      </c>
      <c r="M214" s="80">
        <v>0</v>
      </c>
      <c r="N214" s="81" t="str">
        <f t="shared" si="88"/>
        <v>-</v>
      </c>
      <c r="O214" s="388"/>
    </row>
    <row r="215" spans="1:15" s="95" customFormat="1" ht="11.1" customHeight="1" outlineLevel="1" x14ac:dyDescent="0.2">
      <c r="A215" s="118"/>
      <c r="B215" s="76" t="s">
        <v>23</v>
      </c>
      <c r="C215" s="82" t="s">
        <v>311</v>
      </c>
      <c r="D215" s="109"/>
      <c r="E215" s="109"/>
      <c r="F215" s="79" t="s">
        <v>365</v>
      </c>
      <c r="G215" s="139">
        <v>0</v>
      </c>
      <c r="H215" s="139">
        <f t="shared" si="89"/>
        <v>0</v>
      </c>
      <c r="I215" s="81" t="str">
        <f t="shared" si="87"/>
        <v>-</v>
      </c>
      <c r="J215" s="139"/>
      <c r="K215" s="139">
        <f t="shared" si="90"/>
        <v>0</v>
      </c>
      <c r="L215" s="139">
        <v>0</v>
      </c>
      <c r="M215" s="80">
        <v>0</v>
      </c>
      <c r="N215" s="81" t="str">
        <f t="shared" si="88"/>
        <v>-</v>
      </c>
      <c r="O215" s="388"/>
    </row>
    <row r="216" spans="1:15" s="95" customFormat="1" ht="11.1" customHeight="1" outlineLevel="1" x14ac:dyDescent="0.2">
      <c r="A216" s="118"/>
      <c r="B216" s="76"/>
      <c r="C216" s="82" t="s">
        <v>509</v>
      </c>
      <c r="D216" s="109"/>
      <c r="E216" s="109"/>
      <c r="F216" s="106"/>
      <c r="G216" s="140"/>
      <c r="H216" s="140"/>
      <c r="I216" s="81"/>
      <c r="J216" s="140"/>
      <c r="K216" s="140"/>
      <c r="L216" s="139"/>
      <c r="M216" s="107"/>
      <c r="N216" s="81"/>
      <c r="O216" s="388"/>
    </row>
    <row r="217" spans="1:15" s="95" customFormat="1" ht="11.1" customHeight="1" outlineLevel="1" x14ac:dyDescent="0.2">
      <c r="A217" s="118"/>
      <c r="B217" s="76"/>
      <c r="C217" s="82" t="s">
        <v>510</v>
      </c>
      <c r="D217" s="109"/>
      <c r="E217" s="109"/>
      <c r="F217" s="106"/>
      <c r="G217" s="140"/>
      <c r="H217" s="140"/>
      <c r="I217" s="81"/>
      <c r="J217" s="140"/>
      <c r="K217" s="140"/>
      <c r="L217" s="139"/>
      <c r="M217" s="107"/>
      <c r="N217" s="81"/>
      <c r="O217" s="388"/>
    </row>
    <row r="218" spans="1:15" s="95" customFormat="1" ht="3" customHeight="1" outlineLevel="1" x14ac:dyDescent="0.2">
      <c r="A218" s="119"/>
      <c r="B218" s="85"/>
      <c r="C218" s="86"/>
      <c r="D218" s="84"/>
      <c r="E218" s="84"/>
      <c r="F218" s="85"/>
      <c r="G218" s="141"/>
      <c r="H218" s="141"/>
      <c r="I218" s="88"/>
      <c r="J218" s="141"/>
      <c r="K218" s="141"/>
      <c r="L218" s="142"/>
      <c r="M218" s="87"/>
      <c r="N218" s="88"/>
      <c r="O218" s="404"/>
    </row>
    <row r="219" spans="1:15" ht="3" customHeight="1" outlineLevel="1" x14ac:dyDescent="0.2">
      <c r="A219" s="59"/>
      <c r="B219" s="60"/>
      <c r="C219" s="61"/>
      <c r="D219" s="62"/>
      <c r="E219" s="62"/>
      <c r="F219" s="59"/>
      <c r="G219" s="132"/>
      <c r="H219" s="132"/>
      <c r="I219" s="59"/>
      <c r="J219" s="132"/>
      <c r="K219" s="132"/>
      <c r="L219" s="132"/>
      <c r="M219" s="63"/>
      <c r="N219" s="64"/>
      <c r="O219" s="323"/>
    </row>
    <row r="220" spans="1:15" ht="11.45" customHeight="1" outlineLevel="1" x14ac:dyDescent="0.2">
      <c r="A220" s="28" t="s">
        <v>59</v>
      </c>
      <c r="B220" s="397" t="s">
        <v>60</v>
      </c>
      <c r="C220" s="398"/>
      <c r="D220" s="29"/>
      <c r="E220" s="29"/>
      <c r="F220" s="30"/>
      <c r="G220" s="133">
        <f>SUM(G221:G226)</f>
        <v>7295953</v>
      </c>
      <c r="H220" s="383">
        <f>SUM(H221:H226)</f>
        <v>2666911</v>
      </c>
      <c r="I220" s="32">
        <f>IF(G220&gt;0,H220/G220*100,"-")</f>
        <v>36.553291941436569</v>
      </c>
      <c r="J220" s="133">
        <f>SUM(J221:J226)</f>
        <v>4442199</v>
      </c>
      <c r="K220" s="133">
        <f>SUM(K221:K226)</f>
        <v>216080</v>
      </c>
      <c r="L220" s="133">
        <f>SUM(L221:L226)</f>
        <v>4658279</v>
      </c>
      <c r="M220" s="31">
        <f>SUM(M221:M226)</f>
        <v>1758272.52</v>
      </c>
      <c r="N220" s="32">
        <f t="shared" ref="N220:N226" si="91">IF(L220&gt;0,M220/L220*100,"-")</f>
        <v>37.745109728292356</v>
      </c>
      <c r="O220" s="324"/>
    </row>
    <row r="221" spans="1:15" ht="11.45" customHeight="1" outlineLevel="1" x14ac:dyDescent="0.2">
      <c r="A221" s="30"/>
      <c r="B221" s="33"/>
      <c r="C221" s="34"/>
      <c r="D221" s="29"/>
      <c r="E221" s="29"/>
      <c r="F221" s="35" t="s">
        <v>15</v>
      </c>
      <c r="G221" s="134">
        <f t="shared" ref="G221:H226" si="92">G230+G239+G250+G259+G268+G279+G289+G298</f>
        <v>0</v>
      </c>
      <c r="H221" s="384">
        <f t="shared" si="92"/>
        <v>0</v>
      </c>
      <c r="I221" s="37" t="str">
        <f t="shared" ref="I221:I226" si="93">IF(G221&gt;0,H221/G221*100,"-")</f>
        <v>-</v>
      </c>
      <c r="J221" s="134">
        <f t="shared" ref="J221:M226" si="94">J230+J239+J250+J259+J268+J279+J289+J298</f>
        <v>0</v>
      </c>
      <c r="K221" s="134">
        <f t="shared" si="94"/>
        <v>0</v>
      </c>
      <c r="L221" s="134">
        <f t="shared" si="94"/>
        <v>0</v>
      </c>
      <c r="M221" s="36">
        <f t="shared" si="94"/>
        <v>0</v>
      </c>
      <c r="N221" s="37" t="str">
        <f t="shared" si="91"/>
        <v>-</v>
      </c>
      <c r="O221" s="324"/>
    </row>
    <row r="222" spans="1:15" ht="11.45" customHeight="1" outlineLevel="1" x14ac:dyDescent="0.2">
      <c r="A222" s="30"/>
      <c r="B222" s="33"/>
      <c r="C222" s="34"/>
      <c r="D222" s="29"/>
      <c r="E222" s="29"/>
      <c r="F222" s="35" t="s">
        <v>7</v>
      </c>
      <c r="G222" s="134">
        <f t="shared" si="92"/>
        <v>6403900</v>
      </c>
      <c r="H222" s="384">
        <f t="shared" si="92"/>
        <v>2394778</v>
      </c>
      <c r="I222" s="37">
        <f t="shared" si="93"/>
        <v>37.395618295101421</v>
      </c>
      <c r="J222" s="134">
        <f t="shared" si="94"/>
        <v>3855398</v>
      </c>
      <c r="K222" s="134">
        <f t="shared" si="94"/>
        <v>184554</v>
      </c>
      <c r="L222" s="134">
        <f t="shared" si="94"/>
        <v>4039952</v>
      </c>
      <c r="M222" s="36">
        <f t="shared" si="94"/>
        <v>1523949.48</v>
      </c>
      <c r="N222" s="37">
        <f t="shared" si="91"/>
        <v>37.721969963999577</v>
      </c>
      <c r="O222" s="324"/>
    </row>
    <row r="223" spans="1:15" ht="11.45" customHeight="1" outlineLevel="1" x14ac:dyDescent="0.2">
      <c r="A223" s="30"/>
      <c r="B223" s="33"/>
      <c r="C223" s="34"/>
      <c r="D223" s="29"/>
      <c r="E223" s="29"/>
      <c r="F223" s="35" t="s">
        <v>8</v>
      </c>
      <c r="G223" s="134">
        <f t="shared" si="92"/>
        <v>0</v>
      </c>
      <c r="H223" s="384">
        <f t="shared" si="92"/>
        <v>0</v>
      </c>
      <c r="I223" s="37" t="str">
        <f t="shared" si="93"/>
        <v>-</v>
      </c>
      <c r="J223" s="134">
        <f t="shared" si="94"/>
        <v>0</v>
      </c>
      <c r="K223" s="134">
        <f t="shared" si="94"/>
        <v>0</v>
      </c>
      <c r="L223" s="134">
        <f t="shared" si="94"/>
        <v>0</v>
      </c>
      <c r="M223" s="36">
        <f t="shared" si="94"/>
        <v>0</v>
      </c>
      <c r="N223" s="37" t="str">
        <f t="shared" si="91"/>
        <v>-</v>
      </c>
      <c r="O223" s="324"/>
    </row>
    <row r="224" spans="1:15" ht="11.45" customHeight="1" outlineLevel="1" x14ac:dyDescent="0.2">
      <c r="A224" s="30"/>
      <c r="B224" s="33"/>
      <c r="C224" s="34"/>
      <c r="D224" s="29"/>
      <c r="E224" s="29"/>
      <c r="F224" s="35" t="s">
        <v>22</v>
      </c>
      <c r="G224" s="134">
        <f t="shared" si="92"/>
        <v>892053</v>
      </c>
      <c r="H224" s="384">
        <f t="shared" si="92"/>
        <v>272133</v>
      </c>
      <c r="I224" s="37">
        <f t="shared" si="93"/>
        <v>30.506371258209995</v>
      </c>
      <c r="J224" s="134">
        <f t="shared" si="94"/>
        <v>586801</v>
      </c>
      <c r="K224" s="134">
        <f t="shared" si="94"/>
        <v>31526</v>
      </c>
      <c r="L224" s="134">
        <f t="shared" si="94"/>
        <v>618327</v>
      </c>
      <c r="M224" s="36">
        <f t="shared" si="94"/>
        <v>234323.04</v>
      </c>
      <c r="N224" s="37">
        <f t="shared" si="91"/>
        <v>37.896297590110088</v>
      </c>
      <c r="O224" s="324"/>
    </row>
    <row r="225" spans="1:15" ht="11.45" customHeight="1" outlineLevel="1" x14ac:dyDescent="0.2">
      <c r="A225" s="30"/>
      <c r="B225" s="33"/>
      <c r="C225" s="34"/>
      <c r="D225" s="29"/>
      <c r="E225" s="29"/>
      <c r="F225" s="35" t="s">
        <v>45</v>
      </c>
      <c r="G225" s="134">
        <f t="shared" si="92"/>
        <v>0</v>
      </c>
      <c r="H225" s="134">
        <f t="shared" si="92"/>
        <v>0</v>
      </c>
      <c r="I225" s="37" t="str">
        <f t="shared" si="93"/>
        <v>-</v>
      </c>
      <c r="J225" s="134">
        <f t="shared" si="94"/>
        <v>0</v>
      </c>
      <c r="K225" s="134">
        <f t="shared" si="94"/>
        <v>0</v>
      </c>
      <c r="L225" s="134">
        <f t="shared" si="94"/>
        <v>0</v>
      </c>
      <c r="M225" s="36">
        <f t="shared" si="94"/>
        <v>0</v>
      </c>
      <c r="N225" s="37" t="str">
        <f t="shared" si="91"/>
        <v>-</v>
      </c>
      <c r="O225" s="324"/>
    </row>
    <row r="226" spans="1:15" ht="11.45" customHeight="1" outlineLevel="1" x14ac:dyDescent="0.2">
      <c r="A226" s="30"/>
      <c r="B226" s="33"/>
      <c r="C226" s="34"/>
      <c r="D226" s="29"/>
      <c r="E226" s="29"/>
      <c r="F226" s="35" t="s">
        <v>365</v>
      </c>
      <c r="G226" s="134">
        <f t="shared" si="92"/>
        <v>0</v>
      </c>
      <c r="H226" s="134">
        <f t="shared" si="92"/>
        <v>0</v>
      </c>
      <c r="I226" s="37" t="str">
        <f t="shared" si="93"/>
        <v>-</v>
      </c>
      <c r="J226" s="134">
        <f t="shared" si="94"/>
        <v>0</v>
      </c>
      <c r="K226" s="134">
        <f t="shared" si="94"/>
        <v>0</v>
      </c>
      <c r="L226" s="134">
        <f t="shared" si="94"/>
        <v>0</v>
      </c>
      <c r="M226" s="36">
        <f t="shared" si="94"/>
        <v>0</v>
      </c>
      <c r="N226" s="37" t="str">
        <f t="shared" si="91"/>
        <v>-</v>
      </c>
      <c r="O226" s="324"/>
    </row>
    <row r="227" spans="1:15" ht="3" customHeight="1" outlineLevel="1" x14ac:dyDescent="0.2">
      <c r="A227" s="65"/>
      <c r="B227" s="66"/>
      <c r="C227" s="67"/>
      <c r="D227" s="68"/>
      <c r="E227" s="68"/>
      <c r="F227" s="65"/>
      <c r="G227" s="135"/>
      <c r="H227" s="135"/>
      <c r="I227" s="70"/>
      <c r="J227" s="135"/>
      <c r="K227" s="135"/>
      <c r="L227" s="135"/>
      <c r="M227" s="69"/>
      <c r="N227" s="70"/>
      <c r="O227" s="325"/>
    </row>
    <row r="228" spans="1:15" s="95" customFormat="1" ht="3" customHeight="1" outlineLevel="1" x14ac:dyDescent="0.2">
      <c r="A228" s="153"/>
      <c r="B228" s="72"/>
      <c r="C228" s="73"/>
      <c r="D228" s="71"/>
      <c r="E228" s="71"/>
      <c r="F228" s="72"/>
      <c r="G228" s="136"/>
      <c r="H228" s="136"/>
      <c r="I228" s="75"/>
      <c r="J228" s="136"/>
      <c r="K228" s="136"/>
      <c r="L228" s="137"/>
      <c r="M228" s="74"/>
      <c r="N228" s="75"/>
      <c r="O228" s="339"/>
    </row>
    <row r="229" spans="1:15" s="95" customFormat="1" ht="11.1" customHeight="1" outlineLevel="1" x14ac:dyDescent="0.2">
      <c r="A229" s="391" t="s">
        <v>516</v>
      </c>
      <c r="B229" s="76" t="s">
        <v>9</v>
      </c>
      <c r="C229" s="77" t="s">
        <v>55</v>
      </c>
      <c r="D229" s="392" t="s">
        <v>395</v>
      </c>
      <c r="E229" s="392" t="s">
        <v>54</v>
      </c>
      <c r="F229" s="78" t="s">
        <v>28</v>
      </c>
      <c r="G229" s="138">
        <f>SUM(G230:G235)</f>
        <v>331125</v>
      </c>
      <c r="H229" s="138">
        <f>SUM(H230:H235)</f>
        <v>19220</v>
      </c>
      <c r="I229" s="39">
        <f t="shared" ref="I229:I235" si="95">IF(G229&gt;0,H229/G229*100,"-")</f>
        <v>5.804454511136278</v>
      </c>
      <c r="J229" s="138">
        <f>SUM(J230:J235)</f>
        <v>0</v>
      </c>
      <c r="K229" s="138">
        <f>SUM(K230:K235)</f>
        <v>116100</v>
      </c>
      <c r="L229" s="138">
        <f>SUM(L230:L235)</f>
        <v>116100</v>
      </c>
      <c r="M229" s="38">
        <f>SUM(M230:M235)</f>
        <v>19218.95</v>
      </c>
      <c r="N229" s="39">
        <f t="shared" ref="N229:N235" si="96">IF(L229&gt;0,M229/L229*100,"-")</f>
        <v>16.553789836347978</v>
      </c>
      <c r="O229" s="388" t="s">
        <v>410</v>
      </c>
    </row>
    <row r="230" spans="1:15" s="95" customFormat="1" ht="11.1" customHeight="1" outlineLevel="1" x14ac:dyDescent="0.2">
      <c r="A230" s="391"/>
      <c r="B230" s="76" t="s">
        <v>10</v>
      </c>
      <c r="C230" s="77" t="s">
        <v>75</v>
      </c>
      <c r="D230" s="392"/>
      <c r="E230" s="392"/>
      <c r="F230" s="79" t="s">
        <v>15</v>
      </c>
      <c r="G230" s="139">
        <v>0</v>
      </c>
      <c r="H230" s="139">
        <f t="shared" ref="H230:H235" si="97">ROUNDUP(0+M230,0)</f>
        <v>0</v>
      </c>
      <c r="I230" s="81" t="str">
        <f t="shared" si="95"/>
        <v>-</v>
      </c>
      <c r="J230" s="139">
        <v>0</v>
      </c>
      <c r="K230" s="139">
        <f t="shared" ref="K230:K235" si="98">L230-J230</f>
        <v>0</v>
      </c>
      <c r="L230" s="139">
        <v>0</v>
      </c>
      <c r="M230" s="80">
        <v>0</v>
      </c>
      <c r="N230" s="81" t="str">
        <f t="shared" si="96"/>
        <v>-</v>
      </c>
      <c r="O230" s="388"/>
    </row>
    <row r="231" spans="1:15" s="95" customFormat="1" ht="11.1" customHeight="1" outlineLevel="1" x14ac:dyDescent="0.2">
      <c r="A231" s="391"/>
      <c r="B231" s="76" t="s">
        <v>11</v>
      </c>
      <c r="C231" s="82" t="s">
        <v>390</v>
      </c>
      <c r="D231" s="392"/>
      <c r="E231" s="392"/>
      <c r="F231" s="79" t="s">
        <v>7</v>
      </c>
      <c r="G231" s="139">
        <v>281456</v>
      </c>
      <c r="H231" s="180">
        <f t="shared" si="97"/>
        <v>16337</v>
      </c>
      <c r="I231" s="81">
        <f t="shared" si="95"/>
        <v>5.8044596668751067</v>
      </c>
      <c r="J231" s="139">
        <v>0</v>
      </c>
      <c r="K231" s="139">
        <f t="shared" si="98"/>
        <v>98685</v>
      </c>
      <c r="L231" s="139">
        <v>98685</v>
      </c>
      <c r="M231" s="80">
        <v>16336.11</v>
      </c>
      <c r="N231" s="81">
        <f t="shared" si="96"/>
        <v>16.553792369661043</v>
      </c>
      <c r="O231" s="388"/>
    </row>
    <row r="232" spans="1:15" s="95" customFormat="1" ht="11.1" customHeight="1" outlineLevel="1" x14ac:dyDescent="0.2">
      <c r="A232" s="118"/>
      <c r="B232" s="76"/>
      <c r="C232" s="82" t="s">
        <v>391</v>
      </c>
      <c r="D232" s="109"/>
      <c r="E232" s="109"/>
      <c r="F232" s="79" t="s">
        <v>8</v>
      </c>
      <c r="G232" s="139">
        <v>0</v>
      </c>
      <c r="H232" s="139">
        <f t="shared" si="97"/>
        <v>0</v>
      </c>
      <c r="I232" s="81" t="str">
        <f t="shared" si="95"/>
        <v>-</v>
      </c>
      <c r="J232" s="139">
        <v>0</v>
      </c>
      <c r="K232" s="139">
        <f t="shared" si="98"/>
        <v>0</v>
      </c>
      <c r="L232" s="139">
        <v>0</v>
      </c>
      <c r="M232" s="80">
        <v>0</v>
      </c>
      <c r="N232" s="81" t="str">
        <f t="shared" si="96"/>
        <v>-</v>
      </c>
      <c r="O232" s="388"/>
    </row>
    <row r="233" spans="1:15" s="95" customFormat="1" ht="11.1" customHeight="1" outlineLevel="1" x14ac:dyDescent="0.2">
      <c r="A233" s="118"/>
      <c r="B233" s="76"/>
      <c r="C233" s="82" t="s">
        <v>392</v>
      </c>
      <c r="D233" s="109"/>
      <c r="E233" s="109"/>
      <c r="F233" s="79" t="s">
        <v>22</v>
      </c>
      <c r="G233" s="139">
        <v>49669</v>
      </c>
      <c r="H233" s="139">
        <f t="shared" si="97"/>
        <v>2883</v>
      </c>
      <c r="I233" s="81">
        <f t="shared" si="95"/>
        <v>5.8044252954559177</v>
      </c>
      <c r="J233" s="139">
        <v>0</v>
      </c>
      <c r="K233" s="139">
        <f t="shared" si="98"/>
        <v>17415</v>
      </c>
      <c r="L233" s="139">
        <v>17415</v>
      </c>
      <c r="M233" s="80">
        <v>2882.84</v>
      </c>
      <c r="N233" s="81">
        <f t="shared" si="96"/>
        <v>16.553775480907266</v>
      </c>
      <c r="O233" s="388"/>
    </row>
    <row r="234" spans="1:15" s="95" customFormat="1" ht="11.1" customHeight="1" outlineLevel="1" x14ac:dyDescent="0.2">
      <c r="A234" s="118"/>
      <c r="B234" s="76" t="s">
        <v>12</v>
      </c>
      <c r="C234" s="82" t="s">
        <v>393</v>
      </c>
      <c r="D234" s="109"/>
      <c r="E234" s="109"/>
      <c r="F234" s="79" t="s">
        <v>45</v>
      </c>
      <c r="G234" s="139">
        <v>0</v>
      </c>
      <c r="H234" s="139">
        <f t="shared" si="97"/>
        <v>0</v>
      </c>
      <c r="I234" s="81" t="str">
        <f t="shared" si="95"/>
        <v>-</v>
      </c>
      <c r="J234" s="139">
        <v>0</v>
      </c>
      <c r="K234" s="139">
        <f t="shared" si="98"/>
        <v>0</v>
      </c>
      <c r="L234" s="139">
        <v>0</v>
      </c>
      <c r="M234" s="80">
        <v>0</v>
      </c>
      <c r="N234" s="81" t="str">
        <f t="shared" si="96"/>
        <v>-</v>
      </c>
      <c r="O234" s="388"/>
    </row>
    <row r="235" spans="1:15" s="95" customFormat="1" ht="11.1" customHeight="1" outlineLevel="1" x14ac:dyDescent="0.2">
      <c r="A235" s="118"/>
      <c r="B235" s="76" t="s">
        <v>23</v>
      </c>
      <c r="C235" s="82" t="s">
        <v>394</v>
      </c>
      <c r="D235" s="109"/>
      <c r="E235" s="109"/>
      <c r="F235" s="79" t="s">
        <v>365</v>
      </c>
      <c r="G235" s="139">
        <v>0</v>
      </c>
      <c r="H235" s="139">
        <f t="shared" si="97"/>
        <v>0</v>
      </c>
      <c r="I235" s="81" t="str">
        <f t="shared" si="95"/>
        <v>-</v>
      </c>
      <c r="J235" s="139">
        <v>0</v>
      </c>
      <c r="K235" s="139">
        <f t="shared" si="98"/>
        <v>0</v>
      </c>
      <c r="L235" s="139">
        <v>0</v>
      </c>
      <c r="M235" s="80">
        <v>0</v>
      </c>
      <c r="N235" s="81" t="str">
        <f t="shared" si="96"/>
        <v>-</v>
      </c>
      <c r="O235" s="388"/>
    </row>
    <row r="236" spans="1:15" s="95" customFormat="1" ht="3" customHeight="1" outlineLevel="1" x14ac:dyDescent="0.2">
      <c r="A236" s="119"/>
      <c r="B236" s="85"/>
      <c r="C236" s="86"/>
      <c r="D236" s="84"/>
      <c r="E236" s="84"/>
      <c r="F236" s="85"/>
      <c r="G236" s="141"/>
      <c r="H236" s="141"/>
      <c r="I236" s="88"/>
      <c r="J236" s="141"/>
      <c r="K236" s="141"/>
      <c r="L236" s="142"/>
      <c r="M236" s="87"/>
      <c r="N236" s="88"/>
      <c r="O236" s="340"/>
    </row>
    <row r="237" spans="1:15" s="95" customFormat="1" ht="3" customHeight="1" outlineLevel="1" x14ac:dyDescent="0.2">
      <c r="A237" s="153"/>
      <c r="B237" s="72"/>
      <c r="C237" s="73"/>
      <c r="D237" s="71"/>
      <c r="E237" s="71"/>
      <c r="F237" s="72"/>
      <c r="G237" s="136"/>
      <c r="H237" s="136"/>
      <c r="I237" s="75"/>
      <c r="J237" s="136"/>
      <c r="K237" s="136"/>
      <c r="L237" s="137"/>
      <c r="M237" s="74"/>
      <c r="N237" s="75"/>
      <c r="O237" s="326"/>
    </row>
    <row r="238" spans="1:15" s="95" customFormat="1" ht="11.1" customHeight="1" outlineLevel="1" x14ac:dyDescent="0.2">
      <c r="A238" s="391" t="s">
        <v>517</v>
      </c>
      <c r="B238" s="76" t="s">
        <v>9</v>
      </c>
      <c r="C238" s="77" t="s">
        <v>55</v>
      </c>
      <c r="D238" s="392" t="s">
        <v>279</v>
      </c>
      <c r="E238" s="392" t="s">
        <v>54</v>
      </c>
      <c r="F238" s="78" t="s">
        <v>28</v>
      </c>
      <c r="G238" s="138">
        <f>SUM(G239:G244)</f>
        <v>465231</v>
      </c>
      <c r="H238" s="138">
        <f>SUM(H239:H244)</f>
        <v>114256</v>
      </c>
      <c r="I238" s="39">
        <f t="shared" ref="I238:I244" si="99">IF(G238&gt;0,H238/G238*100,"-")</f>
        <v>24.558982526959724</v>
      </c>
      <c r="J238" s="138">
        <f>SUM(J239:J244)</f>
        <v>386014</v>
      </c>
      <c r="K238" s="138">
        <f>SUM(K239:K244)</f>
        <v>11730</v>
      </c>
      <c r="L238" s="138">
        <f>SUM(L239:L244)</f>
        <v>397744</v>
      </c>
      <c r="M238" s="38">
        <f>SUM(M239:M244)</f>
        <v>79633.950000000012</v>
      </c>
      <c r="N238" s="39">
        <f t="shared" ref="N238:N244" si="100">IF(L238&gt;0,M238/L238*100,"-")</f>
        <v>20.021408242487635</v>
      </c>
      <c r="O238" s="388" t="s">
        <v>411</v>
      </c>
    </row>
    <row r="239" spans="1:15" s="95" customFormat="1" ht="11.1" customHeight="1" outlineLevel="1" x14ac:dyDescent="0.2">
      <c r="A239" s="391"/>
      <c r="B239" s="76" t="s">
        <v>10</v>
      </c>
      <c r="C239" s="77" t="s">
        <v>63</v>
      </c>
      <c r="D239" s="392"/>
      <c r="E239" s="392"/>
      <c r="F239" s="79" t="s">
        <v>15</v>
      </c>
      <c r="G239" s="139">
        <v>0</v>
      </c>
      <c r="H239" s="139">
        <f t="shared" ref="H239:H244" si="101">ROUNDUP(0+M239,0)</f>
        <v>0</v>
      </c>
      <c r="I239" s="81" t="str">
        <f t="shared" si="99"/>
        <v>-</v>
      </c>
      <c r="J239" s="139">
        <v>0</v>
      </c>
      <c r="K239" s="139">
        <f t="shared" ref="K239:K244" si="102">L239-J239</f>
        <v>0</v>
      </c>
      <c r="L239" s="139">
        <v>0</v>
      </c>
      <c r="M239" s="80">
        <v>0</v>
      </c>
      <c r="N239" s="81" t="str">
        <f t="shared" si="100"/>
        <v>-</v>
      </c>
      <c r="O239" s="388"/>
    </row>
    <row r="240" spans="1:15" s="95" customFormat="1" ht="11.1" customHeight="1" outlineLevel="1" x14ac:dyDescent="0.2">
      <c r="A240" s="391"/>
      <c r="B240" s="76" t="s">
        <v>11</v>
      </c>
      <c r="C240" s="82" t="s">
        <v>276</v>
      </c>
      <c r="D240" s="392"/>
      <c r="E240" s="392"/>
      <c r="F240" s="79" t="s">
        <v>7</v>
      </c>
      <c r="G240" s="139">
        <v>395447</v>
      </c>
      <c r="H240" s="139">
        <f>ROUNDUP(29428+M240,0)</f>
        <v>97117</v>
      </c>
      <c r="I240" s="81">
        <f t="shared" si="99"/>
        <v>24.558790432093303</v>
      </c>
      <c r="J240" s="139">
        <v>328112</v>
      </c>
      <c r="K240" s="180">
        <f t="shared" si="102"/>
        <v>9971</v>
      </c>
      <c r="L240" s="139">
        <v>338083</v>
      </c>
      <c r="M240" s="80">
        <v>67688.850000000006</v>
      </c>
      <c r="N240" s="81">
        <f t="shared" si="100"/>
        <v>20.021370491861468</v>
      </c>
      <c r="O240" s="388"/>
    </row>
    <row r="241" spans="1:15" s="95" customFormat="1" ht="11.1" customHeight="1" outlineLevel="1" x14ac:dyDescent="0.2">
      <c r="A241" s="118"/>
      <c r="B241" s="76"/>
      <c r="C241" s="82" t="s">
        <v>277</v>
      </c>
      <c r="D241" s="109"/>
      <c r="E241" s="109"/>
      <c r="F241" s="79" t="s">
        <v>8</v>
      </c>
      <c r="G241" s="139">
        <v>0</v>
      </c>
      <c r="H241" s="139">
        <f t="shared" si="101"/>
        <v>0</v>
      </c>
      <c r="I241" s="81" t="str">
        <f t="shared" si="99"/>
        <v>-</v>
      </c>
      <c r="J241" s="139">
        <v>0</v>
      </c>
      <c r="K241" s="180">
        <f t="shared" si="102"/>
        <v>0</v>
      </c>
      <c r="L241" s="139">
        <v>0</v>
      </c>
      <c r="M241" s="80">
        <v>0</v>
      </c>
      <c r="N241" s="81" t="str">
        <f t="shared" si="100"/>
        <v>-</v>
      </c>
      <c r="O241" s="388"/>
    </row>
    <row r="242" spans="1:15" s="95" customFormat="1" ht="11.1" customHeight="1" outlineLevel="1" x14ac:dyDescent="0.2">
      <c r="A242" s="118"/>
      <c r="B242" s="76" t="s">
        <v>12</v>
      </c>
      <c r="C242" s="82" t="s">
        <v>278</v>
      </c>
      <c r="D242" s="109"/>
      <c r="E242" s="109"/>
      <c r="F242" s="79" t="s">
        <v>22</v>
      </c>
      <c r="G242" s="139">
        <v>69784</v>
      </c>
      <c r="H242" s="180">
        <f>ROUNDUP(5193+M242,0)</f>
        <v>17139</v>
      </c>
      <c r="I242" s="81">
        <f t="shared" si="99"/>
        <v>24.560071076464517</v>
      </c>
      <c r="J242" s="139">
        <v>57902</v>
      </c>
      <c r="K242" s="180">
        <f t="shared" si="102"/>
        <v>1759</v>
      </c>
      <c r="L242" s="139">
        <v>59661</v>
      </c>
      <c r="M242" s="80">
        <v>11945.1</v>
      </c>
      <c r="N242" s="81">
        <f t="shared" si="100"/>
        <v>20.02162216523357</v>
      </c>
      <c r="O242" s="388"/>
    </row>
    <row r="243" spans="1:15" s="95" customFormat="1" ht="11.1" customHeight="1" outlineLevel="1" x14ac:dyDescent="0.2">
      <c r="A243" s="118"/>
      <c r="B243" s="76" t="s">
        <v>23</v>
      </c>
      <c r="C243" s="82" t="s">
        <v>396</v>
      </c>
      <c r="D243" s="109"/>
      <c r="E243" s="109"/>
      <c r="F243" s="79" t="s">
        <v>45</v>
      </c>
      <c r="G243" s="139">
        <v>0</v>
      </c>
      <c r="H243" s="139">
        <f t="shared" si="101"/>
        <v>0</v>
      </c>
      <c r="I243" s="81" t="str">
        <f t="shared" si="99"/>
        <v>-</v>
      </c>
      <c r="J243" s="139">
        <v>0</v>
      </c>
      <c r="K243" s="139">
        <f t="shared" si="102"/>
        <v>0</v>
      </c>
      <c r="L243" s="139">
        <v>0</v>
      </c>
      <c r="M243" s="80">
        <v>0</v>
      </c>
      <c r="N243" s="81" t="str">
        <f t="shared" si="100"/>
        <v>-</v>
      </c>
      <c r="O243" s="388"/>
    </row>
    <row r="244" spans="1:15" s="95" customFormat="1" ht="11.1" customHeight="1" outlineLevel="1" x14ac:dyDescent="0.2">
      <c r="A244" s="118"/>
      <c r="B244" s="76"/>
      <c r="C244" s="82" t="s">
        <v>397</v>
      </c>
      <c r="D244" s="109"/>
      <c r="E244" s="109"/>
      <c r="F244" s="79" t="s">
        <v>365</v>
      </c>
      <c r="G244" s="139">
        <v>0</v>
      </c>
      <c r="H244" s="139">
        <f t="shared" si="101"/>
        <v>0</v>
      </c>
      <c r="I244" s="81" t="str">
        <f t="shared" si="99"/>
        <v>-</v>
      </c>
      <c r="J244" s="139">
        <v>0</v>
      </c>
      <c r="K244" s="139">
        <f t="shared" si="102"/>
        <v>0</v>
      </c>
      <c r="L244" s="139">
        <v>0</v>
      </c>
      <c r="M244" s="80">
        <v>0</v>
      </c>
      <c r="N244" s="81" t="str">
        <f t="shared" si="100"/>
        <v>-</v>
      </c>
      <c r="O244" s="388"/>
    </row>
    <row r="245" spans="1:15" s="95" customFormat="1" ht="11.1" customHeight="1" outlineLevel="1" x14ac:dyDescent="0.2">
      <c r="A245" s="118"/>
      <c r="B245" s="76"/>
      <c r="C245" s="82" t="s">
        <v>398</v>
      </c>
      <c r="D245" s="109"/>
      <c r="E245" s="109"/>
      <c r="F245" s="106"/>
      <c r="G245" s="140"/>
      <c r="H245" s="140"/>
      <c r="I245" s="81"/>
      <c r="J245" s="140"/>
      <c r="K245" s="140"/>
      <c r="L245" s="139"/>
      <c r="M245" s="107"/>
      <c r="N245" s="81"/>
      <c r="O245" s="338"/>
    </row>
    <row r="246" spans="1:15" s="95" customFormat="1" ht="11.1" customHeight="1" outlineLevel="1" x14ac:dyDescent="0.2">
      <c r="A246" s="118"/>
      <c r="B246" s="76"/>
      <c r="C246" s="82" t="s">
        <v>399</v>
      </c>
      <c r="D246" s="109"/>
      <c r="E246" s="109"/>
      <c r="F246" s="106"/>
      <c r="G246" s="140"/>
      <c r="H246" s="140"/>
      <c r="I246" s="81"/>
      <c r="J246" s="140"/>
      <c r="K246" s="140"/>
      <c r="L246" s="139"/>
      <c r="M246" s="107"/>
      <c r="N246" s="81"/>
      <c r="O246" s="338"/>
    </row>
    <row r="247" spans="1:15" s="95" customFormat="1" ht="3" customHeight="1" outlineLevel="1" x14ac:dyDescent="0.2">
      <c r="A247" s="119"/>
      <c r="B247" s="85"/>
      <c r="C247" s="86"/>
      <c r="D247" s="84"/>
      <c r="E247" s="84"/>
      <c r="F247" s="85"/>
      <c r="G247" s="141"/>
      <c r="H247" s="141"/>
      <c r="I247" s="88"/>
      <c r="J247" s="141"/>
      <c r="K247" s="141"/>
      <c r="L247" s="142"/>
      <c r="M247" s="87"/>
      <c r="N247" s="88"/>
      <c r="O247" s="327"/>
    </row>
    <row r="248" spans="1:15" s="95" customFormat="1" ht="3" customHeight="1" outlineLevel="1" x14ac:dyDescent="0.2">
      <c r="A248" s="153"/>
      <c r="B248" s="72"/>
      <c r="C248" s="73"/>
      <c r="D248" s="71"/>
      <c r="E248" s="71"/>
      <c r="F248" s="72"/>
      <c r="G248" s="136"/>
      <c r="H248" s="136"/>
      <c r="I248" s="75"/>
      <c r="J248" s="136"/>
      <c r="K248" s="136"/>
      <c r="L248" s="137"/>
      <c r="M248" s="74"/>
      <c r="N248" s="75"/>
      <c r="O248" s="326"/>
    </row>
    <row r="249" spans="1:15" s="95" customFormat="1" ht="11.1" customHeight="1" outlineLevel="1" x14ac:dyDescent="0.2">
      <c r="A249" s="391" t="s">
        <v>518</v>
      </c>
      <c r="B249" s="76" t="s">
        <v>9</v>
      </c>
      <c r="C249" s="77" t="s">
        <v>55</v>
      </c>
      <c r="D249" s="392" t="s">
        <v>279</v>
      </c>
      <c r="E249" s="392" t="s">
        <v>54</v>
      </c>
      <c r="F249" s="78" t="s">
        <v>28</v>
      </c>
      <c r="G249" s="138">
        <f>SUM(G250:G255)</f>
        <v>1012761</v>
      </c>
      <c r="H249" s="138">
        <f>SUM(H250:H255)</f>
        <v>264736</v>
      </c>
      <c r="I249" s="39">
        <f t="shared" ref="I249:I255" si="103">IF(G249&gt;0,H249/G249*100,"-")</f>
        <v>26.140027113998265</v>
      </c>
      <c r="J249" s="138">
        <f>SUM(J250:J255)</f>
        <v>563094</v>
      </c>
      <c r="K249" s="138">
        <f>SUM(K250:K255)</f>
        <v>6200</v>
      </c>
      <c r="L249" s="138">
        <f>SUM(L250:L255)</f>
        <v>569294</v>
      </c>
      <c r="M249" s="38">
        <f>SUM(M250:M255)</f>
        <v>234584.84</v>
      </c>
      <c r="N249" s="39">
        <f t="shared" ref="N249:N255" si="104">IF(L249&gt;0,M249/L249*100,"-")</f>
        <v>41.206273032914453</v>
      </c>
      <c r="O249" s="388" t="s">
        <v>411</v>
      </c>
    </row>
    <row r="250" spans="1:15" s="95" customFormat="1" ht="11.1" customHeight="1" outlineLevel="1" x14ac:dyDescent="0.2">
      <c r="A250" s="391"/>
      <c r="B250" s="76" t="s">
        <v>10</v>
      </c>
      <c r="C250" s="77" t="s">
        <v>314</v>
      </c>
      <c r="D250" s="392"/>
      <c r="E250" s="392"/>
      <c r="F250" s="79" t="s">
        <v>15</v>
      </c>
      <c r="G250" s="139">
        <v>0</v>
      </c>
      <c r="H250" s="139">
        <f t="shared" ref="H250:H255" si="105">ROUNDUP(0+M250,0)</f>
        <v>0</v>
      </c>
      <c r="I250" s="81" t="str">
        <f t="shared" si="103"/>
        <v>-</v>
      </c>
      <c r="J250" s="139">
        <v>0</v>
      </c>
      <c r="K250" s="139">
        <f t="shared" ref="K250:K255" si="106">L250-J250</f>
        <v>0</v>
      </c>
      <c r="L250" s="139">
        <v>0</v>
      </c>
      <c r="M250" s="80">
        <v>0</v>
      </c>
      <c r="N250" s="81" t="str">
        <f t="shared" si="104"/>
        <v>-</v>
      </c>
      <c r="O250" s="388"/>
    </row>
    <row r="251" spans="1:15" s="95" customFormat="1" ht="11.1" customHeight="1" outlineLevel="1" x14ac:dyDescent="0.2">
      <c r="A251" s="391"/>
      <c r="B251" s="76" t="s">
        <v>11</v>
      </c>
      <c r="C251" s="82" t="s">
        <v>73</v>
      </c>
      <c r="D251" s="392"/>
      <c r="E251" s="392"/>
      <c r="F251" s="79" t="s">
        <v>7</v>
      </c>
      <c r="G251" s="180">
        <v>860847</v>
      </c>
      <c r="H251" s="139">
        <f>ROUNDUP(25628+M251,0)</f>
        <v>225025</v>
      </c>
      <c r="I251" s="81">
        <f t="shared" si="103"/>
        <v>26.139952860380532</v>
      </c>
      <c r="J251" s="139">
        <v>478630</v>
      </c>
      <c r="K251" s="139">
        <f t="shared" si="106"/>
        <v>5270</v>
      </c>
      <c r="L251" s="139">
        <v>483900</v>
      </c>
      <c r="M251" s="80">
        <v>199396.9</v>
      </c>
      <c r="N251" s="81">
        <f t="shared" si="104"/>
        <v>41.206220293449057</v>
      </c>
      <c r="O251" s="388"/>
    </row>
    <row r="252" spans="1:15" s="95" customFormat="1" ht="11.1" customHeight="1" outlineLevel="1" x14ac:dyDescent="0.2">
      <c r="A252" s="118"/>
      <c r="B252" s="76"/>
      <c r="C252" s="82" t="s">
        <v>74</v>
      </c>
      <c r="D252" s="109"/>
      <c r="E252" s="109"/>
      <c r="F252" s="79" t="s">
        <v>8</v>
      </c>
      <c r="G252" s="180">
        <v>0</v>
      </c>
      <c r="H252" s="139">
        <f t="shared" si="105"/>
        <v>0</v>
      </c>
      <c r="I252" s="81" t="str">
        <f t="shared" si="103"/>
        <v>-</v>
      </c>
      <c r="J252" s="139">
        <v>0</v>
      </c>
      <c r="K252" s="139">
        <f t="shared" si="106"/>
        <v>0</v>
      </c>
      <c r="L252" s="139">
        <v>0</v>
      </c>
      <c r="M252" s="80">
        <v>0</v>
      </c>
      <c r="N252" s="81" t="str">
        <f t="shared" si="104"/>
        <v>-</v>
      </c>
      <c r="O252" s="388"/>
    </row>
    <row r="253" spans="1:15" s="95" customFormat="1" ht="11.1" customHeight="1" outlineLevel="1" x14ac:dyDescent="0.2">
      <c r="A253" s="118"/>
      <c r="B253" s="76" t="s">
        <v>12</v>
      </c>
      <c r="C253" s="82" t="s">
        <v>312</v>
      </c>
      <c r="D253" s="109"/>
      <c r="E253" s="109"/>
      <c r="F253" s="79" t="s">
        <v>22</v>
      </c>
      <c r="G253" s="180">
        <v>151914</v>
      </c>
      <c r="H253" s="139">
        <f>ROUNDUP(4523+M253,0)</f>
        <v>39711</v>
      </c>
      <c r="I253" s="81">
        <f t="shared" si="103"/>
        <v>26.140447884987562</v>
      </c>
      <c r="J253" s="139">
        <v>84464</v>
      </c>
      <c r="K253" s="139">
        <f t="shared" si="106"/>
        <v>930</v>
      </c>
      <c r="L253" s="139">
        <v>85394</v>
      </c>
      <c r="M253" s="80">
        <v>35187.94</v>
      </c>
      <c r="N253" s="81">
        <f t="shared" si="104"/>
        <v>41.206571890296743</v>
      </c>
      <c r="O253" s="388"/>
    </row>
    <row r="254" spans="1:15" s="95" customFormat="1" ht="11.1" customHeight="1" outlineLevel="1" x14ac:dyDescent="0.2">
      <c r="A254" s="118"/>
      <c r="B254" s="76" t="s">
        <v>23</v>
      </c>
      <c r="C254" s="82" t="s">
        <v>550</v>
      </c>
      <c r="D254" s="109"/>
      <c r="E254" s="109"/>
      <c r="F254" s="79" t="s">
        <v>45</v>
      </c>
      <c r="G254" s="180">
        <v>0</v>
      </c>
      <c r="H254" s="139">
        <f t="shared" si="105"/>
        <v>0</v>
      </c>
      <c r="I254" s="81" t="str">
        <f t="shared" si="103"/>
        <v>-</v>
      </c>
      <c r="J254" s="139">
        <v>0</v>
      </c>
      <c r="K254" s="139">
        <f t="shared" si="106"/>
        <v>0</v>
      </c>
      <c r="L254" s="139">
        <v>0</v>
      </c>
      <c r="M254" s="80">
        <v>0</v>
      </c>
      <c r="N254" s="81" t="str">
        <f t="shared" si="104"/>
        <v>-</v>
      </c>
      <c r="O254" s="388"/>
    </row>
    <row r="255" spans="1:15" s="95" customFormat="1" ht="11.1" customHeight="1" outlineLevel="1" x14ac:dyDescent="0.2">
      <c r="A255" s="118"/>
      <c r="B255" s="76"/>
      <c r="C255" s="82" t="s">
        <v>551</v>
      </c>
      <c r="D255" s="109"/>
      <c r="E255" s="109"/>
      <c r="F255" s="79" t="s">
        <v>365</v>
      </c>
      <c r="G255" s="139">
        <v>0</v>
      </c>
      <c r="H255" s="139">
        <f t="shared" si="105"/>
        <v>0</v>
      </c>
      <c r="I255" s="81" t="str">
        <f t="shared" si="103"/>
        <v>-</v>
      </c>
      <c r="J255" s="139">
        <v>0</v>
      </c>
      <c r="K255" s="139">
        <f t="shared" si="106"/>
        <v>0</v>
      </c>
      <c r="L255" s="139">
        <v>0</v>
      </c>
      <c r="M255" s="80">
        <v>0</v>
      </c>
      <c r="N255" s="81" t="str">
        <f t="shared" si="104"/>
        <v>-</v>
      </c>
      <c r="O255" s="388"/>
    </row>
    <row r="256" spans="1:15" s="95" customFormat="1" ht="3" customHeight="1" outlineLevel="1" x14ac:dyDescent="0.2">
      <c r="A256" s="119"/>
      <c r="B256" s="85"/>
      <c r="C256" s="86"/>
      <c r="D256" s="84"/>
      <c r="E256" s="84"/>
      <c r="F256" s="85"/>
      <c r="G256" s="141"/>
      <c r="H256" s="141"/>
      <c r="I256" s="88"/>
      <c r="J256" s="141"/>
      <c r="K256" s="141"/>
      <c r="L256" s="142"/>
      <c r="M256" s="87"/>
      <c r="N256" s="88"/>
      <c r="O256" s="327"/>
    </row>
    <row r="257" spans="1:15" s="95" customFormat="1" ht="3" customHeight="1" outlineLevel="1" x14ac:dyDescent="0.2">
      <c r="A257" s="153"/>
      <c r="B257" s="72"/>
      <c r="C257" s="73"/>
      <c r="D257" s="71"/>
      <c r="E257" s="71"/>
      <c r="F257" s="72"/>
      <c r="G257" s="136"/>
      <c r="H257" s="136"/>
      <c r="I257" s="75"/>
      <c r="J257" s="136"/>
      <c r="K257" s="136"/>
      <c r="L257" s="137"/>
      <c r="M257" s="74"/>
      <c r="N257" s="75"/>
      <c r="O257" s="326"/>
    </row>
    <row r="258" spans="1:15" s="95" customFormat="1" ht="11.1" customHeight="1" outlineLevel="1" x14ac:dyDescent="0.2">
      <c r="A258" s="391" t="s">
        <v>519</v>
      </c>
      <c r="B258" s="76" t="s">
        <v>9</v>
      </c>
      <c r="C258" s="77" t="s">
        <v>55</v>
      </c>
      <c r="D258" s="392" t="s">
        <v>281</v>
      </c>
      <c r="E258" s="392" t="s">
        <v>54</v>
      </c>
      <c r="F258" s="78" t="s">
        <v>28</v>
      </c>
      <c r="G258" s="138">
        <f>SUM(G259:G264)</f>
        <v>1398789</v>
      </c>
      <c r="H258" s="138">
        <f>SUM(H259:H264)</f>
        <v>139370</v>
      </c>
      <c r="I258" s="39">
        <f t="shared" ref="I258:I264" si="107">IF(G258&gt;0,H258/G258*100,"-")</f>
        <v>9.9636185300284748</v>
      </c>
      <c r="J258" s="138">
        <f>SUM(J259:J264)</f>
        <v>810783</v>
      </c>
      <c r="K258" s="138">
        <f>SUM(K259:K264)</f>
        <v>0</v>
      </c>
      <c r="L258" s="138">
        <f>SUM(L259:L264)</f>
        <v>810783</v>
      </c>
      <c r="M258" s="38">
        <f>SUM(M259:M264)</f>
        <v>81138.539999999994</v>
      </c>
      <c r="N258" s="39">
        <f t="shared" ref="N258:N264" si="108">IF(L258&gt;0,M258/L258*100,"-")</f>
        <v>10.00742985484402</v>
      </c>
      <c r="O258" s="388" t="s">
        <v>414</v>
      </c>
    </row>
    <row r="259" spans="1:15" s="95" customFormat="1" ht="11.1" customHeight="1" outlineLevel="1" x14ac:dyDescent="0.2">
      <c r="A259" s="391"/>
      <c r="B259" s="76" t="s">
        <v>10</v>
      </c>
      <c r="C259" s="77" t="s">
        <v>314</v>
      </c>
      <c r="D259" s="392"/>
      <c r="E259" s="392"/>
      <c r="F259" s="79" t="s">
        <v>15</v>
      </c>
      <c r="G259" s="139">
        <v>0</v>
      </c>
      <c r="H259" s="139">
        <f t="shared" ref="H259:H264" si="109">ROUNDUP(0+M259,0)</f>
        <v>0</v>
      </c>
      <c r="I259" s="81" t="str">
        <f t="shared" si="107"/>
        <v>-</v>
      </c>
      <c r="J259" s="139">
        <v>0</v>
      </c>
      <c r="K259" s="139">
        <f t="shared" ref="K259:K264" si="110">L259-J259</f>
        <v>0</v>
      </c>
      <c r="L259" s="139">
        <v>0</v>
      </c>
      <c r="M259" s="80">
        <v>0</v>
      </c>
      <c r="N259" s="81" t="str">
        <f t="shared" si="108"/>
        <v>-</v>
      </c>
      <c r="O259" s="388"/>
    </row>
    <row r="260" spans="1:15" s="95" customFormat="1" ht="11.1" customHeight="1" outlineLevel="1" x14ac:dyDescent="0.2">
      <c r="A260" s="391"/>
      <c r="B260" s="76" t="s">
        <v>11</v>
      </c>
      <c r="C260" s="82" t="s">
        <v>73</v>
      </c>
      <c r="D260" s="392"/>
      <c r="E260" s="392"/>
      <c r="F260" s="79" t="s">
        <v>7</v>
      </c>
      <c r="G260" s="139">
        <v>1188971</v>
      </c>
      <c r="H260" s="180">
        <f>ROUNDUP(49497+M260,0)</f>
        <v>118465</v>
      </c>
      <c r="I260" s="81">
        <f t="shared" si="107"/>
        <v>9.9636576501865903</v>
      </c>
      <c r="J260" s="139">
        <v>689165</v>
      </c>
      <c r="K260" s="139">
        <f t="shared" si="110"/>
        <v>0</v>
      </c>
      <c r="L260" s="139">
        <v>689165</v>
      </c>
      <c r="M260" s="80">
        <v>68967.759999999995</v>
      </c>
      <c r="N260" s="81">
        <f t="shared" si="108"/>
        <v>10.00743798654894</v>
      </c>
      <c r="O260" s="388"/>
    </row>
    <row r="261" spans="1:15" s="95" customFormat="1" ht="11.1" customHeight="1" outlineLevel="1" x14ac:dyDescent="0.2">
      <c r="A261" s="118"/>
      <c r="B261" s="76"/>
      <c r="C261" s="82" t="s">
        <v>74</v>
      </c>
      <c r="D261" s="109"/>
      <c r="E261" s="109"/>
      <c r="F261" s="79" t="s">
        <v>8</v>
      </c>
      <c r="G261" s="139">
        <v>0</v>
      </c>
      <c r="H261" s="180">
        <f t="shared" si="109"/>
        <v>0</v>
      </c>
      <c r="I261" s="81" t="str">
        <f t="shared" si="107"/>
        <v>-</v>
      </c>
      <c r="J261" s="139">
        <v>0</v>
      </c>
      <c r="K261" s="139">
        <f t="shared" si="110"/>
        <v>0</v>
      </c>
      <c r="L261" s="139">
        <v>0</v>
      </c>
      <c r="M261" s="80">
        <v>0</v>
      </c>
      <c r="N261" s="81" t="str">
        <f t="shared" si="108"/>
        <v>-</v>
      </c>
      <c r="O261" s="388"/>
    </row>
    <row r="262" spans="1:15" s="95" customFormat="1" ht="11.1" customHeight="1" outlineLevel="1" x14ac:dyDescent="0.2">
      <c r="A262" s="118"/>
      <c r="B262" s="76" t="s">
        <v>12</v>
      </c>
      <c r="C262" s="82" t="s">
        <v>280</v>
      </c>
      <c r="D262" s="109"/>
      <c r="E262" s="109"/>
      <c r="F262" s="79" t="s">
        <v>22</v>
      </c>
      <c r="G262" s="139">
        <v>209818</v>
      </c>
      <c r="H262" s="180">
        <f>ROUNDUP(8734+M262,0)</f>
        <v>20905</v>
      </c>
      <c r="I262" s="81">
        <f t="shared" si="107"/>
        <v>9.9633968486974425</v>
      </c>
      <c r="J262" s="139">
        <v>121618</v>
      </c>
      <c r="K262" s="139">
        <f t="shared" si="110"/>
        <v>0</v>
      </c>
      <c r="L262" s="139">
        <v>121618</v>
      </c>
      <c r="M262" s="80">
        <v>12170.78</v>
      </c>
      <c r="N262" s="81">
        <f t="shared" si="108"/>
        <v>10.00738377542798</v>
      </c>
      <c r="O262" s="388"/>
    </row>
    <row r="263" spans="1:15" s="95" customFormat="1" ht="11.1" customHeight="1" outlineLevel="1" x14ac:dyDescent="0.2">
      <c r="A263" s="118"/>
      <c r="B263" s="76" t="s">
        <v>23</v>
      </c>
      <c r="C263" s="82" t="s">
        <v>303</v>
      </c>
      <c r="D263" s="109"/>
      <c r="E263" s="109"/>
      <c r="F263" s="79" t="s">
        <v>45</v>
      </c>
      <c r="G263" s="139">
        <v>0</v>
      </c>
      <c r="H263" s="139">
        <f t="shared" si="109"/>
        <v>0</v>
      </c>
      <c r="I263" s="81" t="str">
        <f t="shared" si="107"/>
        <v>-</v>
      </c>
      <c r="J263" s="139">
        <v>0</v>
      </c>
      <c r="K263" s="139">
        <f t="shared" si="110"/>
        <v>0</v>
      </c>
      <c r="L263" s="139">
        <v>0</v>
      </c>
      <c r="M263" s="80">
        <v>0</v>
      </c>
      <c r="N263" s="81" t="str">
        <f t="shared" si="108"/>
        <v>-</v>
      </c>
      <c r="O263" s="388"/>
    </row>
    <row r="264" spans="1:15" s="95" customFormat="1" ht="11.1" customHeight="1" outlineLevel="1" x14ac:dyDescent="0.2">
      <c r="A264" s="118"/>
      <c r="B264" s="76"/>
      <c r="C264" s="82" t="s">
        <v>400</v>
      </c>
      <c r="D264" s="109"/>
      <c r="E264" s="109"/>
      <c r="F264" s="79" t="s">
        <v>365</v>
      </c>
      <c r="G264" s="139">
        <v>0</v>
      </c>
      <c r="H264" s="139">
        <f t="shared" si="109"/>
        <v>0</v>
      </c>
      <c r="I264" s="81" t="str">
        <f t="shared" si="107"/>
        <v>-</v>
      </c>
      <c r="J264" s="139">
        <v>0</v>
      </c>
      <c r="K264" s="139">
        <f t="shared" si="110"/>
        <v>0</v>
      </c>
      <c r="L264" s="139">
        <v>0</v>
      </c>
      <c r="M264" s="80">
        <v>0</v>
      </c>
      <c r="N264" s="81" t="str">
        <f t="shared" si="108"/>
        <v>-</v>
      </c>
      <c r="O264" s="388"/>
    </row>
    <row r="265" spans="1:15" s="95" customFormat="1" ht="3" customHeight="1" outlineLevel="1" x14ac:dyDescent="0.2">
      <c r="A265" s="119"/>
      <c r="B265" s="85"/>
      <c r="C265" s="86"/>
      <c r="D265" s="84"/>
      <c r="E265" s="84"/>
      <c r="F265" s="85"/>
      <c r="G265" s="141"/>
      <c r="H265" s="141"/>
      <c r="I265" s="88"/>
      <c r="J265" s="141"/>
      <c r="K265" s="141"/>
      <c r="L265" s="142"/>
      <c r="M265" s="87"/>
      <c r="N265" s="88"/>
      <c r="O265" s="327"/>
    </row>
    <row r="266" spans="1:15" s="95" customFormat="1" ht="3" customHeight="1" outlineLevel="1" x14ac:dyDescent="0.2">
      <c r="A266" s="153"/>
      <c r="B266" s="72"/>
      <c r="C266" s="73"/>
      <c r="D266" s="71"/>
      <c r="E266" s="71"/>
      <c r="F266" s="72"/>
      <c r="G266" s="136"/>
      <c r="H266" s="136"/>
      <c r="I266" s="75"/>
      <c r="J266" s="136"/>
      <c r="K266" s="136"/>
      <c r="L266" s="137"/>
      <c r="M266" s="74"/>
      <c r="N266" s="75"/>
      <c r="O266" s="326"/>
    </row>
    <row r="267" spans="1:15" s="95" customFormat="1" ht="11.1" customHeight="1" outlineLevel="1" x14ac:dyDescent="0.2">
      <c r="A267" s="391" t="s">
        <v>520</v>
      </c>
      <c r="B267" s="76" t="s">
        <v>9</v>
      </c>
      <c r="C267" s="77" t="s">
        <v>55</v>
      </c>
      <c r="D267" s="392" t="s">
        <v>313</v>
      </c>
      <c r="E267" s="392" t="s">
        <v>54</v>
      </c>
      <c r="F267" s="78" t="s">
        <v>28</v>
      </c>
      <c r="G267" s="138">
        <f>SUM(G268:G273)</f>
        <v>1072884</v>
      </c>
      <c r="H267" s="138">
        <f>SUM(H268:H273)</f>
        <v>769538</v>
      </c>
      <c r="I267" s="39">
        <f t="shared" ref="I267:I273" si="111">IF(G267&gt;0,H267/G267*100,"-")</f>
        <v>71.726113913526532</v>
      </c>
      <c r="J267" s="138">
        <f>SUM(J268:J273)</f>
        <v>382084</v>
      </c>
      <c r="K267" s="138">
        <f>SUM(K268:K273)</f>
        <v>0</v>
      </c>
      <c r="L267" s="138">
        <f>SUM(L268:L273)</f>
        <v>382084</v>
      </c>
      <c r="M267" s="38">
        <f>SUM(M268:M273)</f>
        <v>162304.9</v>
      </c>
      <c r="N267" s="39">
        <f t="shared" ref="N267:N273" si="112">IF(L267&gt;0,M267/L267*100,"-")</f>
        <v>42.478852817705004</v>
      </c>
      <c r="O267" s="388" t="s">
        <v>413</v>
      </c>
    </row>
    <row r="268" spans="1:15" s="95" customFormat="1" ht="11.1" customHeight="1" outlineLevel="1" x14ac:dyDescent="0.2">
      <c r="A268" s="391"/>
      <c r="B268" s="76" t="s">
        <v>10</v>
      </c>
      <c r="C268" s="77" t="s">
        <v>314</v>
      </c>
      <c r="D268" s="392"/>
      <c r="E268" s="392"/>
      <c r="F268" s="79" t="s">
        <v>15</v>
      </c>
      <c r="G268" s="139">
        <v>0</v>
      </c>
      <c r="H268" s="139">
        <f>ROUNDUP(0+M268,0)</f>
        <v>0</v>
      </c>
      <c r="I268" s="81" t="str">
        <f t="shared" si="111"/>
        <v>-</v>
      </c>
      <c r="J268" s="139">
        <v>0</v>
      </c>
      <c r="K268" s="139">
        <f t="shared" ref="K268:K269" si="113">L268-J268</f>
        <v>0</v>
      </c>
      <c r="L268" s="139">
        <v>0</v>
      </c>
      <c r="M268" s="80">
        <v>0</v>
      </c>
      <c r="N268" s="81" t="str">
        <f t="shared" si="112"/>
        <v>-</v>
      </c>
      <c r="O268" s="388"/>
    </row>
    <row r="269" spans="1:15" s="95" customFormat="1" ht="11.1" customHeight="1" outlineLevel="1" x14ac:dyDescent="0.2">
      <c r="A269" s="391"/>
      <c r="B269" s="76" t="s">
        <v>11</v>
      </c>
      <c r="C269" s="82" t="s">
        <v>73</v>
      </c>
      <c r="D269" s="392"/>
      <c r="E269" s="392"/>
      <c r="F269" s="79" t="s">
        <v>7</v>
      </c>
      <c r="G269" s="139">
        <v>1072884</v>
      </c>
      <c r="H269" s="139">
        <f>ROUNDUP(607233+M269,0)</f>
        <v>769538</v>
      </c>
      <c r="I269" s="81">
        <f t="shared" si="111"/>
        <v>71.726113913526532</v>
      </c>
      <c r="J269" s="139">
        <v>382084</v>
      </c>
      <c r="K269" s="139">
        <f t="shared" si="113"/>
        <v>0</v>
      </c>
      <c r="L269" s="139">
        <v>382084</v>
      </c>
      <c r="M269" s="80">
        <v>162304.9</v>
      </c>
      <c r="N269" s="81">
        <f t="shared" si="112"/>
        <v>42.478852817705004</v>
      </c>
      <c r="O269" s="388"/>
    </row>
    <row r="270" spans="1:15" s="95" customFormat="1" ht="11.1" customHeight="1" outlineLevel="1" x14ac:dyDescent="0.2">
      <c r="A270" s="118"/>
      <c r="B270" s="76"/>
      <c r="C270" s="82" t="s">
        <v>74</v>
      </c>
      <c r="D270" s="109"/>
      <c r="E270" s="109"/>
      <c r="F270" s="79" t="s">
        <v>8</v>
      </c>
      <c r="G270" s="139">
        <v>0</v>
      </c>
      <c r="H270" s="139">
        <f>ROUNDUP(0+M270,0)</f>
        <v>0</v>
      </c>
      <c r="I270" s="81" t="str">
        <f t="shared" si="111"/>
        <v>-</v>
      </c>
      <c r="J270" s="139">
        <v>0</v>
      </c>
      <c r="K270" s="139">
        <f t="shared" ref="K270" si="114">L270-J270</f>
        <v>0</v>
      </c>
      <c r="L270" s="139">
        <v>0</v>
      </c>
      <c r="M270" s="80">
        <v>0</v>
      </c>
      <c r="N270" s="81" t="str">
        <f t="shared" si="112"/>
        <v>-</v>
      </c>
      <c r="O270" s="388"/>
    </row>
    <row r="271" spans="1:15" s="95" customFormat="1" ht="11.1" customHeight="1" outlineLevel="1" x14ac:dyDescent="0.2">
      <c r="A271" s="118"/>
      <c r="B271" s="76" t="s">
        <v>12</v>
      </c>
      <c r="C271" s="82" t="s">
        <v>194</v>
      </c>
      <c r="D271" s="109"/>
      <c r="E271" s="109"/>
      <c r="F271" s="79" t="s">
        <v>22</v>
      </c>
      <c r="G271" s="139">
        <v>0</v>
      </c>
      <c r="H271" s="139">
        <f>ROUNDUP(0+M271,0)</f>
        <v>0</v>
      </c>
      <c r="I271" s="81" t="str">
        <f t="shared" si="111"/>
        <v>-</v>
      </c>
      <c r="J271" s="139">
        <v>0</v>
      </c>
      <c r="K271" s="139">
        <f t="shared" ref="K271:K273" si="115">L271-J271</f>
        <v>0</v>
      </c>
      <c r="L271" s="139">
        <v>0</v>
      </c>
      <c r="M271" s="80">
        <v>0</v>
      </c>
      <c r="N271" s="81" t="str">
        <f t="shared" si="112"/>
        <v>-</v>
      </c>
      <c r="O271" s="388"/>
    </row>
    <row r="272" spans="1:15" s="95" customFormat="1" ht="11.1" customHeight="1" outlineLevel="1" x14ac:dyDescent="0.2">
      <c r="A272" s="118"/>
      <c r="B272" s="76" t="s">
        <v>23</v>
      </c>
      <c r="C272" s="82" t="s">
        <v>304</v>
      </c>
      <c r="D272" s="109"/>
      <c r="E272" s="109"/>
      <c r="F272" s="79" t="s">
        <v>45</v>
      </c>
      <c r="G272" s="139">
        <v>0</v>
      </c>
      <c r="H272" s="139">
        <f>ROUNDUP(0+M272,0)</f>
        <v>0</v>
      </c>
      <c r="I272" s="81" t="str">
        <f t="shared" si="111"/>
        <v>-</v>
      </c>
      <c r="J272" s="139">
        <v>0</v>
      </c>
      <c r="K272" s="139">
        <f t="shared" si="115"/>
        <v>0</v>
      </c>
      <c r="L272" s="139">
        <v>0</v>
      </c>
      <c r="M272" s="80">
        <v>0</v>
      </c>
      <c r="N272" s="81" t="str">
        <f t="shared" si="112"/>
        <v>-</v>
      </c>
      <c r="O272" s="388"/>
    </row>
    <row r="273" spans="1:15" s="95" customFormat="1" ht="11.1" customHeight="1" outlineLevel="1" x14ac:dyDescent="0.2">
      <c r="A273" s="118"/>
      <c r="B273" s="76"/>
      <c r="C273" s="82" t="s">
        <v>401</v>
      </c>
      <c r="D273" s="109"/>
      <c r="E273" s="109"/>
      <c r="F273" s="79" t="s">
        <v>365</v>
      </c>
      <c r="G273" s="139">
        <v>0</v>
      </c>
      <c r="H273" s="139">
        <f>ROUNDUP(0+M273,0)</f>
        <v>0</v>
      </c>
      <c r="I273" s="81" t="str">
        <f t="shared" si="111"/>
        <v>-</v>
      </c>
      <c r="J273" s="139">
        <v>0</v>
      </c>
      <c r="K273" s="139">
        <f t="shared" si="115"/>
        <v>0</v>
      </c>
      <c r="L273" s="139">
        <v>0</v>
      </c>
      <c r="M273" s="80">
        <v>0</v>
      </c>
      <c r="N273" s="81" t="str">
        <f t="shared" si="112"/>
        <v>-</v>
      </c>
      <c r="O273" s="388"/>
    </row>
    <row r="274" spans="1:15" s="95" customFormat="1" ht="11.1" customHeight="1" outlineLevel="1" x14ac:dyDescent="0.2">
      <c r="A274" s="118"/>
      <c r="B274" s="76"/>
      <c r="C274" s="82" t="s">
        <v>402</v>
      </c>
      <c r="D274" s="109"/>
      <c r="E274" s="109"/>
      <c r="F274" s="106"/>
      <c r="G274" s="140"/>
      <c r="H274" s="140"/>
      <c r="I274" s="81"/>
      <c r="J274" s="140"/>
      <c r="K274" s="140"/>
      <c r="L274" s="139"/>
      <c r="M274" s="89"/>
      <c r="N274" s="81"/>
      <c r="O274" s="388"/>
    </row>
    <row r="275" spans="1:15" s="95" customFormat="1" ht="11.1" customHeight="1" outlineLevel="1" x14ac:dyDescent="0.2">
      <c r="A275" s="118"/>
      <c r="B275" s="76"/>
      <c r="C275" s="82" t="s">
        <v>403</v>
      </c>
      <c r="D275" s="109"/>
      <c r="E275" s="109"/>
      <c r="F275" s="106"/>
      <c r="G275" s="140"/>
      <c r="H275" s="140"/>
      <c r="I275" s="81"/>
      <c r="J275" s="140"/>
      <c r="K275" s="140"/>
      <c r="L275" s="139"/>
      <c r="M275" s="89"/>
      <c r="N275" s="81"/>
      <c r="O275" s="338"/>
    </row>
    <row r="276" spans="1:15" s="95" customFormat="1" ht="3" customHeight="1" outlineLevel="1" x14ac:dyDescent="0.2">
      <c r="A276" s="119"/>
      <c r="B276" s="85"/>
      <c r="C276" s="86"/>
      <c r="D276" s="84"/>
      <c r="E276" s="84"/>
      <c r="F276" s="85"/>
      <c r="G276" s="141"/>
      <c r="H276" s="141"/>
      <c r="I276" s="88"/>
      <c r="J276" s="141"/>
      <c r="K276" s="141"/>
      <c r="L276" s="142"/>
      <c r="M276" s="87"/>
      <c r="N276" s="88"/>
      <c r="O276" s="327"/>
    </row>
    <row r="277" spans="1:15" s="95" customFormat="1" ht="3" customHeight="1" outlineLevel="1" x14ac:dyDescent="0.2">
      <c r="A277" s="153"/>
      <c r="B277" s="72"/>
      <c r="C277" s="73"/>
      <c r="D277" s="71"/>
      <c r="E277" s="71"/>
      <c r="F277" s="72"/>
      <c r="G277" s="136"/>
      <c r="H277" s="136"/>
      <c r="I277" s="75"/>
      <c r="J277" s="136"/>
      <c r="K277" s="136"/>
      <c r="L277" s="137"/>
      <c r="M277" s="74"/>
      <c r="N277" s="75"/>
      <c r="O277" s="326"/>
    </row>
    <row r="278" spans="1:15" s="95" customFormat="1" ht="11.1" customHeight="1" outlineLevel="1" x14ac:dyDescent="0.2">
      <c r="A278" s="391" t="s">
        <v>521</v>
      </c>
      <c r="B278" s="76" t="s">
        <v>9</v>
      </c>
      <c r="C278" s="77" t="s">
        <v>55</v>
      </c>
      <c r="D278" s="392" t="s">
        <v>279</v>
      </c>
      <c r="E278" s="392" t="s">
        <v>54</v>
      </c>
      <c r="F278" s="78" t="s">
        <v>28</v>
      </c>
      <c r="G278" s="138">
        <f>SUM(G279:G284)</f>
        <v>1819789</v>
      </c>
      <c r="H278" s="138">
        <f>SUM(H279:H284)</f>
        <v>415244</v>
      </c>
      <c r="I278" s="39">
        <f t="shared" ref="I278:I284" si="116">IF(G278&gt;0,H278/G278*100,"-")</f>
        <v>22.818249808082143</v>
      </c>
      <c r="J278" s="138">
        <f>SUM(J279:J284)</f>
        <v>1331515</v>
      </c>
      <c r="K278" s="138">
        <f>SUM(K279:K284)</f>
        <v>6200</v>
      </c>
      <c r="L278" s="138">
        <f>SUM(L279:L284)</f>
        <v>1337715</v>
      </c>
      <c r="M278" s="38">
        <f>SUM(M279:M284)</f>
        <v>309762.15999999997</v>
      </c>
      <c r="N278" s="39">
        <f t="shared" ref="N278:N284" si="117">IF(L278&gt;0,M278/L278*100,"-")</f>
        <v>23.156065380144497</v>
      </c>
      <c r="O278" s="388" t="s">
        <v>411</v>
      </c>
    </row>
    <row r="279" spans="1:15" s="95" customFormat="1" ht="11.1" customHeight="1" outlineLevel="1" x14ac:dyDescent="0.2">
      <c r="A279" s="391"/>
      <c r="B279" s="76" t="s">
        <v>10</v>
      </c>
      <c r="C279" s="77" t="s">
        <v>314</v>
      </c>
      <c r="D279" s="392"/>
      <c r="E279" s="392"/>
      <c r="F279" s="79" t="s">
        <v>15</v>
      </c>
      <c r="G279" s="139">
        <v>0</v>
      </c>
      <c r="H279" s="139">
        <f t="shared" ref="H279:H284" si="118">ROUNDUP(0+M279,0)</f>
        <v>0</v>
      </c>
      <c r="I279" s="81" t="str">
        <f t="shared" si="116"/>
        <v>-</v>
      </c>
      <c r="J279" s="139">
        <v>0</v>
      </c>
      <c r="K279" s="139">
        <f t="shared" ref="K279" si="119">L279-J279</f>
        <v>0</v>
      </c>
      <c r="L279" s="139">
        <v>0</v>
      </c>
      <c r="M279" s="80">
        <v>0</v>
      </c>
      <c r="N279" s="81" t="str">
        <f t="shared" si="117"/>
        <v>-</v>
      </c>
      <c r="O279" s="388"/>
    </row>
    <row r="280" spans="1:15" s="95" customFormat="1" ht="11.1" customHeight="1" outlineLevel="1" x14ac:dyDescent="0.2">
      <c r="A280" s="391"/>
      <c r="B280" s="76" t="s">
        <v>11</v>
      </c>
      <c r="C280" s="82" t="s">
        <v>73</v>
      </c>
      <c r="D280" s="392"/>
      <c r="E280" s="392"/>
      <c r="F280" s="79" t="s">
        <v>7</v>
      </c>
      <c r="G280" s="139">
        <v>1546824</v>
      </c>
      <c r="H280" s="180">
        <f>ROUNDUP(89659+M280,0)</f>
        <v>352957</v>
      </c>
      <c r="I280" s="81">
        <f t="shared" si="116"/>
        <v>22.818174530521894</v>
      </c>
      <c r="J280" s="139">
        <v>1131789</v>
      </c>
      <c r="K280" s="139">
        <f t="shared" ref="K280:K284" si="120">L280-J280</f>
        <v>5270</v>
      </c>
      <c r="L280" s="139">
        <v>1137059</v>
      </c>
      <c r="M280" s="80">
        <v>263297.68</v>
      </c>
      <c r="N280" s="81">
        <f t="shared" si="117"/>
        <v>23.156026204444977</v>
      </c>
      <c r="O280" s="388"/>
    </row>
    <row r="281" spans="1:15" s="95" customFormat="1" ht="11.1" customHeight="1" outlineLevel="1" x14ac:dyDescent="0.2">
      <c r="A281" s="118"/>
      <c r="B281" s="76"/>
      <c r="C281" s="82" t="s">
        <v>74</v>
      </c>
      <c r="D281" s="109"/>
      <c r="E281" s="109"/>
      <c r="F281" s="79" t="s">
        <v>8</v>
      </c>
      <c r="G281" s="139">
        <v>0</v>
      </c>
      <c r="H281" s="139">
        <f t="shared" si="118"/>
        <v>0</v>
      </c>
      <c r="I281" s="81" t="str">
        <f t="shared" si="116"/>
        <v>-</v>
      </c>
      <c r="J281" s="139">
        <v>0</v>
      </c>
      <c r="K281" s="139">
        <f t="shared" si="120"/>
        <v>0</v>
      </c>
      <c r="L281" s="139">
        <v>0</v>
      </c>
      <c r="M281" s="80">
        <v>0</v>
      </c>
      <c r="N281" s="81" t="str">
        <f t="shared" si="117"/>
        <v>-</v>
      </c>
      <c r="O281" s="388"/>
    </row>
    <row r="282" spans="1:15" s="95" customFormat="1" ht="11.1" customHeight="1" outlineLevel="1" x14ac:dyDescent="0.2">
      <c r="A282" s="118"/>
      <c r="B282" s="76" t="s">
        <v>12</v>
      </c>
      <c r="C282" s="82" t="s">
        <v>315</v>
      </c>
      <c r="D282" s="109"/>
      <c r="E282" s="109"/>
      <c r="F282" s="79" t="s">
        <v>22</v>
      </c>
      <c r="G282" s="139">
        <v>272965</v>
      </c>
      <c r="H282" s="139">
        <f>ROUNDUP(15822+M282,0)</f>
        <v>62287</v>
      </c>
      <c r="I282" s="81">
        <f t="shared" si="116"/>
        <v>22.818676387082593</v>
      </c>
      <c r="J282" s="139">
        <v>199726</v>
      </c>
      <c r="K282" s="139">
        <f t="shared" si="120"/>
        <v>930</v>
      </c>
      <c r="L282" s="139">
        <v>200656</v>
      </c>
      <c r="M282" s="80">
        <v>46464.480000000003</v>
      </c>
      <c r="N282" s="81">
        <f t="shared" si="117"/>
        <v>23.156287377402123</v>
      </c>
      <c r="O282" s="388"/>
    </row>
    <row r="283" spans="1:15" s="95" customFormat="1" ht="11.1" customHeight="1" outlineLevel="1" x14ac:dyDescent="0.2">
      <c r="A283" s="118"/>
      <c r="B283" s="76" t="s">
        <v>23</v>
      </c>
      <c r="C283" s="82" t="s">
        <v>404</v>
      </c>
      <c r="D283" s="109"/>
      <c r="E283" s="109"/>
      <c r="F283" s="79" t="s">
        <v>45</v>
      </c>
      <c r="G283" s="139">
        <v>0</v>
      </c>
      <c r="H283" s="139">
        <f t="shared" si="118"/>
        <v>0</v>
      </c>
      <c r="I283" s="81" t="str">
        <f t="shared" si="116"/>
        <v>-</v>
      </c>
      <c r="J283" s="139">
        <v>0</v>
      </c>
      <c r="K283" s="139">
        <f t="shared" si="120"/>
        <v>0</v>
      </c>
      <c r="L283" s="139">
        <v>0</v>
      </c>
      <c r="M283" s="80">
        <v>0</v>
      </c>
      <c r="N283" s="81" t="str">
        <f t="shared" si="117"/>
        <v>-</v>
      </c>
      <c r="O283" s="388"/>
    </row>
    <row r="284" spans="1:15" s="95" customFormat="1" ht="11.1" customHeight="1" outlineLevel="1" x14ac:dyDescent="0.2">
      <c r="A284" s="118"/>
      <c r="B284" s="76"/>
      <c r="C284" s="82" t="s">
        <v>405</v>
      </c>
      <c r="D284" s="109"/>
      <c r="E284" s="109"/>
      <c r="F284" s="79" t="s">
        <v>365</v>
      </c>
      <c r="G284" s="139">
        <v>0</v>
      </c>
      <c r="H284" s="139">
        <f t="shared" si="118"/>
        <v>0</v>
      </c>
      <c r="I284" s="81" t="str">
        <f t="shared" si="116"/>
        <v>-</v>
      </c>
      <c r="J284" s="139">
        <v>0</v>
      </c>
      <c r="K284" s="139">
        <f t="shared" si="120"/>
        <v>0</v>
      </c>
      <c r="L284" s="139">
        <v>0</v>
      </c>
      <c r="M284" s="80">
        <v>0</v>
      </c>
      <c r="N284" s="81" t="str">
        <f t="shared" si="117"/>
        <v>-</v>
      </c>
      <c r="O284" s="388"/>
    </row>
    <row r="285" spans="1:15" s="95" customFormat="1" ht="11.1" customHeight="1" outlineLevel="1" x14ac:dyDescent="0.2">
      <c r="A285" s="118"/>
      <c r="B285" s="76"/>
      <c r="C285" s="82" t="s">
        <v>406</v>
      </c>
      <c r="D285" s="109"/>
      <c r="E285" s="109"/>
      <c r="F285" s="106"/>
      <c r="G285" s="140"/>
      <c r="H285" s="140"/>
      <c r="I285" s="81"/>
      <c r="J285" s="140"/>
      <c r="K285" s="140"/>
      <c r="L285" s="139"/>
      <c r="M285" s="107"/>
      <c r="N285" s="81"/>
      <c r="O285" s="338"/>
    </row>
    <row r="286" spans="1:15" s="95" customFormat="1" ht="3" customHeight="1" outlineLevel="1" x14ac:dyDescent="0.2">
      <c r="A286" s="119"/>
      <c r="B286" s="85"/>
      <c r="C286" s="86"/>
      <c r="D286" s="84"/>
      <c r="E286" s="84"/>
      <c r="F286" s="85"/>
      <c r="G286" s="141"/>
      <c r="H286" s="141"/>
      <c r="I286" s="88"/>
      <c r="J286" s="141"/>
      <c r="K286" s="141"/>
      <c r="L286" s="142"/>
      <c r="M286" s="87"/>
      <c r="N286" s="88"/>
      <c r="O286" s="327"/>
    </row>
    <row r="287" spans="1:15" s="95" customFormat="1" ht="3" customHeight="1" outlineLevel="1" x14ac:dyDescent="0.2">
      <c r="A287" s="153"/>
      <c r="B287" s="72"/>
      <c r="C287" s="73"/>
      <c r="D287" s="71"/>
      <c r="E287" s="71"/>
      <c r="F287" s="72"/>
      <c r="G287" s="136"/>
      <c r="H287" s="136"/>
      <c r="I287" s="75"/>
      <c r="J287" s="136"/>
      <c r="K287" s="136"/>
      <c r="L287" s="137"/>
      <c r="M287" s="74"/>
      <c r="N287" s="75"/>
      <c r="O287" s="326"/>
    </row>
    <row r="288" spans="1:15" s="95" customFormat="1" ht="11.1" customHeight="1" outlineLevel="1" x14ac:dyDescent="0.2">
      <c r="A288" s="391" t="s">
        <v>522</v>
      </c>
      <c r="B288" s="76" t="s">
        <v>9</v>
      </c>
      <c r="C288" s="77" t="s">
        <v>55</v>
      </c>
      <c r="D288" s="392" t="s">
        <v>279</v>
      </c>
      <c r="E288" s="392" t="s">
        <v>54</v>
      </c>
      <c r="F288" s="78" t="s">
        <v>28</v>
      </c>
      <c r="G288" s="138">
        <f>SUM(G289:G294)</f>
        <v>276014</v>
      </c>
      <c r="H288" s="138">
        <f>SUM(H289:H294)</f>
        <v>83157</v>
      </c>
      <c r="I288" s="39">
        <f t="shared" ref="I288:I294" si="121">IF(G288&gt;0,H288/G288*100,"-")</f>
        <v>30.127819603353451</v>
      </c>
      <c r="J288" s="138">
        <f>SUM(J289:J294)</f>
        <v>148103</v>
      </c>
      <c r="K288" s="138">
        <f>SUM(K289:K294)</f>
        <v>5901</v>
      </c>
      <c r="L288" s="138">
        <f>SUM(L289:L294)</f>
        <v>154004</v>
      </c>
      <c r="M288" s="38">
        <f>SUM(M289:M294)</f>
        <v>33815.53</v>
      </c>
      <c r="N288" s="39">
        <f t="shared" ref="N288:N294" si="122">IF(L288&gt;0,M288/L288*100,"-")</f>
        <v>21.957566037245783</v>
      </c>
      <c r="O288" s="388" t="s">
        <v>412</v>
      </c>
    </row>
    <row r="289" spans="1:15" s="95" customFormat="1" ht="11.1" customHeight="1" outlineLevel="1" x14ac:dyDescent="0.2">
      <c r="A289" s="391"/>
      <c r="B289" s="76" t="s">
        <v>10</v>
      </c>
      <c r="C289" s="77" t="s">
        <v>314</v>
      </c>
      <c r="D289" s="392"/>
      <c r="E289" s="392"/>
      <c r="F289" s="79" t="s">
        <v>15</v>
      </c>
      <c r="G289" s="139">
        <v>0</v>
      </c>
      <c r="H289" s="139">
        <f t="shared" ref="H289:H294" si="123">ROUNDUP(0+M289,0)</f>
        <v>0</v>
      </c>
      <c r="I289" s="81" t="str">
        <f t="shared" si="121"/>
        <v>-</v>
      </c>
      <c r="J289" s="139">
        <v>0</v>
      </c>
      <c r="K289" s="139">
        <f t="shared" ref="K289" si="124">L289-J289</f>
        <v>0</v>
      </c>
      <c r="L289" s="139">
        <v>0</v>
      </c>
      <c r="M289" s="80">
        <v>0</v>
      </c>
      <c r="N289" s="81" t="str">
        <f t="shared" si="122"/>
        <v>-</v>
      </c>
      <c r="O289" s="388"/>
    </row>
    <row r="290" spans="1:15" s="95" customFormat="1" ht="11.1" customHeight="1" outlineLevel="1" x14ac:dyDescent="0.2">
      <c r="A290" s="391"/>
      <c r="B290" s="76" t="s">
        <v>11</v>
      </c>
      <c r="C290" s="82" t="s">
        <v>73</v>
      </c>
      <c r="D290" s="392"/>
      <c r="E290" s="392"/>
      <c r="F290" s="79" t="s">
        <v>7</v>
      </c>
      <c r="G290" s="139">
        <v>276014</v>
      </c>
      <c r="H290" s="180">
        <f>ROUNDUP(49341+M290,0)</f>
        <v>83157</v>
      </c>
      <c r="I290" s="81">
        <f t="shared" si="121"/>
        <v>30.127819603353451</v>
      </c>
      <c r="J290" s="139">
        <v>148103</v>
      </c>
      <c r="K290" s="139">
        <f t="shared" ref="K290:K294" si="125">L290-J290</f>
        <v>5901</v>
      </c>
      <c r="L290" s="139">
        <v>154004</v>
      </c>
      <c r="M290" s="80">
        <v>33815.53</v>
      </c>
      <c r="N290" s="81">
        <f t="shared" si="122"/>
        <v>21.957566037245783</v>
      </c>
      <c r="O290" s="388"/>
    </row>
    <row r="291" spans="1:15" s="95" customFormat="1" ht="11.1" customHeight="1" outlineLevel="1" x14ac:dyDescent="0.2">
      <c r="A291" s="118"/>
      <c r="B291" s="76"/>
      <c r="C291" s="82" t="s">
        <v>74</v>
      </c>
      <c r="D291" s="109"/>
      <c r="E291" s="109"/>
      <c r="F291" s="79" t="s">
        <v>8</v>
      </c>
      <c r="G291" s="139">
        <v>0</v>
      </c>
      <c r="H291" s="139">
        <f t="shared" si="123"/>
        <v>0</v>
      </c>
      <c r="I291" s="81" t="str">
        <f t="shared" si="121"/>
        <v>-</v>
      </c>
      <c r="J291" s="139">
        <v>0</v>
      </c>
      <c r="K291" s="139">
        <f t="shared" si="125"/>
        <v>0</v>
      </c>
      <c r="L291" s="139">
        <v>0</v>
      </c>
      <c r="M291" s="80">
        <v>0</v>
      </c>
      <c r="N291" s="81" t="str">
        <f t="shared" si="122"/>
        <v>-</v>
      </c>
      <c r="O291" s="388"/>
    </row>
    <row r="292" spans="1:15" s="95" customFormat="1" ht="11.1" customHeight="1" outlineLevel="1" x14ac:dyDescent="0.2">
      <c r="A292" s="118"/>
      <c r="B292" s="76" t="s">
        <v>12</v>
      </c>
      <c r="C292" s="82" t="s">
        <v>316</v>
      </c>
      <c r="D292" s="109"/>
      <c r="E292" s="109"/>
      <c r="F292" s="79" t="s">
        <v>22</v>
      </c>
      <c r="G292" s="139">
        <v>0</v>
      </c>
      <c r="H292" s="139">
        <f t="shared" si="123"/>
        <v>0</v>
      </c>
      <c r="I292" s="81" t="str">
        <f t="shared" si="121"/>
        <v>-</v>
      </c>
      <c r="J292" s="139">
        <v>0</v>
      </c>
      <c r="K292" s="139">
        <f t="shared" si="125"/>
        <v>0</v>
      </c>
      <c r="L292" s="139">
        <v>0</v>
      </c>
      <c r="M292" s="80">
        <v>0</v>
      </c>
      <c r="N292" s="81" t="str">
        <f t="shared" si="122"/>
        <v>-</v>
      </c>
      <c r="O292" s="388"/>
    </row>
    <row r="293" spans="1:15" s="95" customFormat="1" ht="11.1" customHeight="1" outlineLevel="1" x14ac:dyDescent="0.2">
      <c r="A293" s="118"/>
      <c r="B293" s="76" t="s">
        <v>23</v>
      </c>
      <c r="C293" s="82" t="s">
        <v>407</v>
      </c>
      <c r="D293" s="109"/>
      <c r="E293" s="109"/>
      <c r="F293" s="79" t="s">
        <v>45</v>
      </c>
      <c r="G293" s="139">
        <v>0</v>
      </c>
      <c r="H293" s="139">
        <f t="shared" si="123"/>
        <v>0</v>
      </c>
      <c r="I293" s="81" t="str">
        <f t="shared" si="121"/>
        <v>-</v>
      </c>
      <c r="J293" s="139">
        <v>0</v>
      </c>
      <c r="K293" s="139">
        <f t="shared" si="125"/>
        <v>0</v>
      </c>
      <c r="L293" s="139">
        <v>0</v>
      </c>
      <c r="M293" s="80">
        <v>0</v>
      </c>
      <c r="N293" s="81" t="str">
        <f t="shared" si="122"/>
        <v>-</v>
      </c>
      <c r="O293" s="388"/>
    </row>
    <row r="294" spans="1:15" s="95" customFormat="1" ht="11.1" customHeight="1" outlineLevel="1" x14ac:dyDescent="0.2">
      <c r="A294" s="118"/>
      <c r="B294" s="76"/>
      <c r="C294" s="82" t="s">
        <v>408</v>
      </c>
      <c r="D294" s="109"/>
      <c r="E294" s="109"/>
      <c r="F294" s="79" t="s">
        <v>365</v>
      </c>
      <c r="G294" s="139">
        <v>0</v>
      </c>
      <c r="H294" s="139">
        <f t="shared" si="123"/>
        <v>0</v>
      </c>
      <c r="I294" s="81" t="str">
        <f t="shared" si="121"/>
        <v>-</v>
      </c>
      <c r="J294" s="139">
        <v>0</v>
      </c>
      <c r="K294" s="139">
        <f t="shared" si="125"/>
        <v>0</v>
      </c>
      <c r="L294" s="139">
        <v>0</v>
      </c>
      <c r="M294" s="80">
        <v>0</v>
      </c>
      <c r="N294" s="81" t="str">
        <f t="shared" si="122"/>
        <v>-</v>
      </c>
      <c r="O294" s="388"/>
    </row>
    <row r="295" spans="1:15" s="95" customFormat="1" ht="3" customHeight="1" outlineLevel="1" x14ac:dyDescent="0.2">
      <c r="A295" s="119"/>
      <c r="B295" s="85"/>
      <c r="C295" s="86"/>
      <c r="D295" s="84"/>
      <c r="E295" s="84"/>
      <c r="F295" s="85"/>
      <c r="G295" s="141"/>
      <c r="H295" s="141"/>
      <c r="I295" s="88"/>
      <c r="J295" s="141"/>
      <c r="K295" s="141"/>
      <c r="L295" s="142"/>
      <c r="M295" s="87"/>
      <c r="N295" s="88"/>
      <c r="O295" s="327"/>
    </row>
    <row r="296" spans="1:15" s="95" customFormat="1" ht="3" customHeight="1" outlineLevel="1" x14ac:dyDescent="0.2">
      <c r="A296" s="153"/>
      <c r="B296" s="72"/>
      <c r="C296" s="73"/>
      <c r="D296" s="71"/>
      <c r="E296" s="71"/>
      <c r="F296" s="72"/>
      <c r="G296" s="136"/>
      <c r="H296" s="136"/>
      <c r="I296" s="75"/>
      <c r="J296" s="136"/>
      <c r="K296" s="136"/>
      <c r="L296" s="137"/>
      <c r="M296" s="74"/>
      <c r="N296" s="75"/>
      <c r="O296" s="326"/>
    </row>
    <row r="297" spans="1:15" s="95" customFormat="1" ht="11.1" customHeight="1" outlineLevel="1" x14ac:dyDescent="0.2">
      <c r="A297" s="391" t="s">
        <v>523</v>
      </c>
      <c r="B297" s="76" t="s">
        <v>9</v>
      </c>
      <c r="C297" s="77" t="s">
        <v>55</v>
      </c>
      <c r="D297" s="392" t="s">
        <v>279</v>
      </c>
      <c r="E297" s="392" t="s">
        <v>54</v>
      </c>
      <c r="F297" s="78" t="s">
        <v>28</v>
      </c>
      <c r="G297" s="138">
        <f>SUM(G298:G303)</f>
        <v>919360</v>
      </c>
      <c r="H297" s="138">
        <f>SUM(H298:H303)</f>
        <v>861390</v>
      </c>
      <c r="I297" s="39">
        <f t="shared" ref="I297:I303" si="126">IF(G297&gt;0,H297/G297*100,"-")</f>
        <v>93.694526627218934</v>
      </c>
      <c r="J297" s="138">
        <f>SUM(J298:J303)</f>
        <v>820606</v>
      </c>
      <c r="K297" s="138">
        <f>SUM(K298:K303)</f>
        <v>69949</v>
      </c>
      <c r="L297" s="138">
        <f>SUM(L298:L303)</f>
        <v>890555</v>
      </c>
      <c r="M297" s="38">
        <f>SUM(M298:M303)</f>
        <v>837813.65</v>
      </c>
      <c r="N297" s="39">
        <f t="shared" ref="N297:N303" si="127">IF(L297&gt;0,M297/L297*100,"-")</f>
        <v>94.077698738427159</v>
      </c>
      <c r="O297" s="388" t="s">
        <v>413</v>
      </c>
    </row>
    <row r="298" spans="1:15" s="95" customFormat="1" ht="11.1" customHeight="1" outlineLevel="1" x14ac:dyDescent="0.2">
      <c r="A298" s="391"/>
      <c r="B298" s="76" t="s">
        <v>10</v>
      </c>
      <c r="C298" s="77" t="s">
        <v>314</v>
      </c>
      <c r="D298" s="392"/>
      <c r="E298" s="392"/>
      <c r="F298" s="79" t="s">
        <v>15</v>
      </c>
      <c r="G298" s="139">
        <v>0</v>
      </c>
      <c r="H298" s="139">
        <f t="shared" ref="H298:H303" si="128">ROUNDUP(0+M298,0)</f>
        <v>0</v>
      </c>
      <c r="I298" s="81" t="str">
        <f t="shared" si="126"/>
        <v>-</v>
      </c>
      <c r="J298" s="139">
        <v>0</v>
      </c>
      <c r="K298" s="139">
        <f t="shared" ref="K298" si="129">L298-J298</f>
        <v>0</v>
      </c>
      <c r="L298" s="139">
        <v>0</v>
      </c>
      <c r="M298" s="80">
        <v>0</v>
      </c>
      <c r="N298" s="81" t="str">
        <f t="shared" si="127"/>
        <v>-</v>
      </c>
      <c r="O298" s="388"/>
    </row>
    <row r="299" spans="1:15" s="95" customFormat="1" ht="11.1" customHeight="1" outlineLevel="1" x14ac:dyDescent="0.2">
      <c r="A299" s="391"/>
      <c r="B299" s="76" t="s">
        <v>11</v>
      </c>
      <c r="C299" s="82" t="s">
        <v>317</v>
      </c>
      <c r="D299" s="392"/>
      <c r="E299" s="392"/>
      <c r="F299" s="79" t="s">
        <v>7</v>
      </c>
      <c r="G299" s="139">
        <v>781457</v>
      </c>
      <c r="H299" s="139">
        <f>ROUNDUP(20040+M299,0)</f>
        <v>732182</v>
      </c>
      <c r="I299" s="81">
        <f t="shared" si="126"/>
        <v>93.694470713039863</v>
      </c>
      <c r="J299" s="139">
        <v>697515</v>
      </c>
      <c r="K299" s="139">
        <f t="shared" ref="K299:K303" si="130">L299-J299</f>
        <v>59457</v>
      </c>
      <c r="L299" s="139">
        <v>756972</v>
      </c>
      <c r="M299" s="80">
        <v>712141.75</v>
      </c>
      <c r="N299" s="81">
        <f t="shared" si="127"/>
        <v>94.077687153553896</v>
      </c>
      <c r="O299" s="388"/>
    </row>
    <row r="300" spans="1:15" s="95" customFormat="1" ht="11.1" customHeight="1" outlineLevel="1" x14ac:dyDescent="0.2">
      <c r="A300" s="118"/>
      <c r="B300" s="76" t="s">
        <v>12</v>
      </c>
      <c r="C300" s="82" t="s">
        <v>318</v>
      </c>
      <c r="D300" s="109"/>
      <c r="E300" s="109"/>
      <c r="F300" s="79" t="s">
        <v>8</v>
      </c>
      <c r="G300" s="139">
        <v>0</v>
      </c>
      <c r="H300" s="139">
        <f t="shared" si="128"/>
        <v>0</v>
      </c>
      <c r="I300" s="81" t="str">
        <f t="shared" si="126"/>
        <v>-</v>
      </c>
      <c r="J300" s="139">
        <v>0</v>
      </c>
      <c r="K300" s="139">
        <f t="shared" si="130"/>
        <v>0</v>
      </c>
      <c r="L300" s="139">
        <v>0</v>
      </c>
      <c r="M300" s="80">
        <v>0</v>
      </c>
      <c r="N300" s="81" t="str">
        <f t="shared" si="127"/>
        <v>-</v>
      </c>
      <c r="O300" s="388"/>
    </row>
    <row r="301" spans="1:15" s="95" customFormat="1" ht="11.1" customHeight="1" outlineLevel="1" x14ac:dyDescent="0.2">
      <c r="A301" s="118"/>
      <c r="B301" s="76" t="s">
        <v>23</v>
      </c>
      <c r="C301" s="82" t="s">
        <v>409</v>
      </c>
      <c r="D301" s="109"/>
      <c r="E301" s="109"/>
      <c r="F301" s="79" t="s">
        <v>22</v>
      </c>
      <c r="G301" s="139">
        <v>137903</v>
      </c>
      <c r="H301" s="139">
        <f>ROUNDUP(3536+M301,0)</f>
        <v>129208</v>
      </c>
      <c r="I301" s="81">
        <f t="shared" si="126"/>
        <v>93.694843476936683</v>
      </c>
      <c r="J301" s="139">
        <v>123091</v>
      </c>
      <c r="K301" s="139">
        <f t="shared" si="130"/>
        <v>10492</v>
      </c>
      <c r="L301" s="139">
        <v>133583</v>
      </c>
      <c r="M301" s="80">
        <v>125671.9</v>
      </c>
      <c r="N301" s="81">
        <f t="shared" si="127"/>
        <v>94.077764386186857</v>
      </c>
      <c r="O301" s="388"/>
    </row>
    <row r="302" spans="1:15" s="95" customFormat="1" ht="11.1" customHeight="1" outlineLevel="1" x14ac:dyDescent="0.2">
      <c r="A302" s="118"/>
      <c r="B302" s="76"/>
      <c r="C302" s="82"/>
      <c r="D302" s="109"/>
      <c r="E302" s="109"/>
      <c r="F302" s="79" t="s">
        <v>45</v>
      </c>
      <c r="G302" s="139">
        <v>0</v>
      </c>
      <c r="H302" s="139">
        <f t="shared" si="128"/>
        <v>0</v>
      </c>
      <c r="I302" s="81" t="str">
        <f t="shared" si="126"/>
        <v>-</v>
      </c>
      <c r="J302" s="139">
        <v>0</v>
      </c>
      <c r="K302" s="139">
        <f t="shared" si="130"/>
        <v>0</v>
      </c>
      <c r="L302" s="139">
        <v>0</v>
      </c>
      <c r="M302" s="80">
        <v>0</v>
      </c>
      <c r="N302" s="81" t="str">
        <f t="shared" si="127"/>
        <v>-</v>
      </c>
      <c r="O302" s="388"/>
    </row>
    <row r="303" spans="1:15" s="95" customFormat="1" ht="11.1" customHeight="1" outlineLevel="1" x14ac:dyDescent="0.2">
      <c r="A303" s="118"/>
      <c r="B303" s="76"/>
      <c r="C303" s="82"/>
      <c r="D303" s="109"/>
      <c r="E303" s="109"/>
      <c r="F303" s="79" t="s">
        <v>365</v>
      </c>
      <c r="G303" s="139">
        <v>0</v>
      </c>
      <c r="H303" s="139">
        <f t="shared" si="128"/>
        <v>0</v>
      </c>
      <c r="I303" s="81" t="str">
        <f t="shared" si="126"/>
        <v>-</v>
      </c>
      <c r="J303" s="139">
        <v>0</v>
      </c>
      <c r="K303" s="139">
        <f t="shared" si="130"/>
        <v>0</v>
      </c>
      <c r="L303" s="139">
        <v>0</v>
      </c>
      <c r="M303" s="80">
        <v>0</v>
      </c>
      <c r="N303" s="81" t="str">
        <f t="shared" si="127"/>
        <v>-</v>
      </c>
      <c r="O303" s="388"/>
    </row>
    <row r="304" spans="1:15" s="95" customFormat="1" ht="3" customHeight="1" outlineLevel="1" x14ac:dyDescent="0.2">
      <c r="A304" s="119"/>
      <c r="B304" s="85"/>
      <c r="C304" s="86"/>
      <c r="D304" s="84"/>
      <c r="E304" s="84"/>
      <c r="F304" s="85"/>
      <c r="G304" s="141"/>
      <c r="H304" s="141"/>
      <c r="I304" s="88"/>
      <c r="J304" s="141"/>
      <c r="K304" s="141"/>
      <c r="L304" s="142"/>
      <c r="M304" s="87"/>
      <c r="N304" s="88"/>
      <c r="O304" s="327"/>
    </row>
    <row r="305" spans="1:16" ht="3.95" customHeight="1" outlineLevel="1" x14ac:dyDescent="0.2">
      <c r="A305" s="59"/>
      <c r="B305" s="60"/>
      <c r="C305" s="61"/>
      <c r="D305" s="62"/>
      <c r="E305" s="62"/>
      <c r="F305" s="59"/>
      <c r="G305" s="132"/>
      <c r="H305" s="132"/>
      <c r="I305" s="59"/>
      <c r="J305" s="132"/>
      <c r="K305" s="132"/>
      <c r="L305" s="132"/>
      <c r="M305" s="63"/>
      <c r="N305" s="64"/>
      <c r="O305" s="323"/>
    </row>
    <row r="306" spans="1:16" ht="11.45" customHeight="1" outlineLevel="1" x14ac:dyDescent="0.2">
      <c r="A306" s="28" t="s">
        <v>61</v>
      </c>
      <c r="B306" s="411" t="s">
        <v>62</v>
      </c>
      <c r="C306" s="394"/>
      <c r="D306" s="29"/>
      <c r="E306" s="29"/>
      <c r="F306" s="30"/>
      <c r="G306" s="133">
        <f>SUM(G307:G312)</f>
        <v>8521269</v>
      </c>
      <c r="H306" s="133">
        <f>SUM(H307:H312)</f>
        <v>6306323</v>
      </c>
      <c r="I306" s="32">
        <f>IF(G306&gt;0,H306/G306*100,"-")</f>
        <v>74.006852735197072</v>
      </c>
      <c r="J306" s="133">
        <f>SUM(J307:J312)</f>
        <v>2143183</v>
      </c>
      <c r="K306" s="133">
        <f>SUM(K307:K312)</f>
        <v>1318306</v>
      </c>
      <c r="L306" s="133">
        <f>SUM(L307:L312)</f>
        <v>3461489</v>
      </c>
      <c r="M306" s="31">
        <f>SUM(M307:M312)</f>
        <v>2102947.0599999996</v>
      </c>
      <c r="N306" s="32">
        <f t="shared" ref="N306:N312" si="131">IF(L306&gt;0,M306/L306*100,"-")</f>
        <v>60.752672043736077</v>
      </c>
      <c r="O306" s="324"/>
    </row>
    <row r="307" spans="1:16" ht="11.45" customHeight="1" outlineLevel="1" x14ac:dyDescent="0.2">
      <c r="A307" s="30"/>
      <c r="B307" s="33"/>
      <c r="C307" s="34"/>
      <c r="D307" s="29"/>
      <c r="E307" s="29"/>
      <c r="F307" s="35" t="s">
        <v>15</v>
      </c>
      <c r="G307" s="134">
        <f t="shared" ref="G307:H312" si="132">G316+G329+G340+G349+G358+G367+G376+G385+G394+G403+G412+G421+G430+G439+G448+G457+G466</f>
        <v>0</v>
      </c>
      <c r="H307" s="134">
        <f t="shared" si="132"/>
        <v>0</v>
      </c>
      <c r="I307" s="37" t="str">
        <f t="shared" ref="I307:I312" si="133">IF(G307&gt;0,H307/G307*100,"-")</f>
        <v>-</v>
      </c>
      <c r="J307" s="134">
        <f t="shared" ref="J307:M312" si="134">J316+J329+J340+J349+J358+J367+J376+J385+J394+J403+J412+J421+J430+J439+J448+J457+J466</f>
        <v>0</v>
      </c>
      <c r="K307" s="134">
        <f t="shared" si="134"/>
        <v>0</v>
      </c>
      <c r="L307" s="134">
        <f t="shared" si="134"/>
        <v>0</v>
      </c>
      <c r="M307" s="36">
        <f t="shared" si="134"/>
        <v>0</v>
      </c>
      <c r="N307" s="37" t="str">
        <f t="shared" si="131"/>
        <v>-</v>
      </c>
      <c r="O307" s="324"/>
    </row>
    <row r="308" spans="1:16" ht="11.45" customHeight="1" outlineLevel="1" x14ac:dyDescent="0.2">
      <c r="A308" s="30"/>
      <c r="B308" s="33"/>
      <c r="C308" s="34"/>
      <c r="D308" s="29"/>
      <c r="E308" s="29"/>
      <c r="F308" s="35" t="s">
        <v>7</v>
      </c>
      <c r="G308" s="134">
        <f t="shared" si="132"/>
        <v>7665341</v>
      </c>
      <c r="H308" s="134">
        <f t="shared" si="132"/>
        <v>5662280</v>
      </c>
      <c r="I308" s="37">
        <f t="shared" si="133"/>
        <v>73.868598931215189</v>
      </c>
      <c r="J308" s="134">
        <f t="shared" si="134"/>
        <v>1925603</v>
      </c>
      <c r="K308" s="134">
        <f t="shared" si="134"/>
        <v>1300037</v>
      </c>
      <c r="L308" s="134">
        <f t="shared" si="134"/>
        <v>3225640</v>
      </c>
      <c r="M308" s="36">
        <f t="shared" si="134"/>
        <v>1956583.2199999997</v>
      </c>
      <c r="N308" s="37">
        <f t="shared" si="131"/>
        <v>60.657209732022167</v>
      </c>
      <c r="O308" s="324"/>
    </row>
    <row r="309" spans="1:16" ht="11.45" customHeight="1" outlineLevel="1" x14ac:dyDescent="0.2">
      <c r="A309" s="30"/>
      <c r="B309" s="33"/>
      <c r="C309" s="34"/>
      <c r="D309" s="29"/>
      <c r="E309" s="29"/>
      <c r="F309" s="35" t="s">
        <v>8</v>
      </c>
      <c r="G309" s="134">
        <f t="shared" si="132"/>
        <v>0</v>
      </c>
      <c r="H309" s="134">
        <f t="shared" si="132"/>
        <v>0</v>
      </c>
      <c r="I309" s="37" t="str">
        <f t="shared" si="133"/>
        <v>-</v>
      </c>
      <c r="J309" s="134">
        <f t="shared" si="134"/>
        <v>0</v>
      </c>
      <c r="K309" s="134">
        <f t="shared" si="134"/>
        <v>0</v>
      </c>
      <c r="L309" s="134">
        <f t="shared" si="134"/>
        <v>0</v>
      </c>
      <c r="M309" s="36">
        <f t="shared" si="134"/>
        <v>0</v>
      </c>
      <c r="N309" s="37" t="str">
        <f t="shared" si="131"/>
        <v>-</v>
      </c>
      <c r="O309" s="324"/>
    </row>
    <row r="310" spans="1:16" ht="11.45" customHeight="1" outlineLevel="1" x14ac:dyDescent="0.2">
      <c r="A310" s="30"/>
      <c r="B310" s="33"/>
      <c r="C310" s="34"/>
      <c r="D310" s="29"/>
      <c r="E310" s="29"/>
      <c r="F310" s="35" t="s">
        <v>22</v>
      </c>
      <c r="G310" s="134">
        <f t="shared" si="132"/>
        <v>855928</v>
      </c>
      <c r="H310" s="134">
        <f t="shared" si="132"/>
        <v>644043</v>
      </c>
      <c r="I310" s="37">
        <f t="shared" si="133"/>
        <v>75.244997242758743</v>
      </c>
      <c r="J310" s="134">
        <f t="shared" si="134"/>
        <v>217580</v>
      </c>
      <c r="K310" s="134">
        <f t="shared" si="134"/>
        <v>18269</v>
      </c>
      <c r="L310" s="134">
        <f t="shared" si="134"/>
        <v>235849</v>
      </c>
      <c r="M310" s="36">
        <f t="shared" si="134"/>
        <v>146363.84</v>
      </c>
      <c r="N310" s="37">
        <f t="shared" si="131"/>
        <v>62.058283053987928</v>
      </c>
      <c r="O310" s="324"/>
    </row>
    <row r="311" spans="1:16" ht="11.45" customHeight="1" outlineLevel="1" x14ac:dyDescent="0.2">
      <c r="A311" s="30"/>
      <c r="B311" s="33"/>
      <c r="C311" s="34"/>
      <c r="D311" s="29"/>
      <c r="E311" s="29"/>
      <c r="F311" s="35" t="s">
        <v>45</v>
      </c>
      <c r="G311" s="134">
        <f t="shared" si="132"/>
        <v>0</v>
      </c>
      <c r="H311" s="134">
        <f t="shared" si="132"/>
        <v>0</v>
      </c>
      <c r="I311" s="37" t="str">
        <f t="shared" si="133"/>
        <v>-</v>
      </c>
      <c r="J311" s="134">
        <f t="shared" si="134"/>
        <v>0</v>
      </c>
      <c r="K311" s="134">
        <f t="shared" si="134"/>
        <v>0</v>
      </c>
      <c r="L311" s="134">
        <f t="shared" si="134"/>
        <v>0</v>
      </c>
      <c r="M311" s="36">
        <f t="shared" si="134"/>
        <v>0</v>
      </c>
      <c r="N311" s="37" t="str">
        <f t="shared" si="131"/>
        <v>-</v>
      </c>
      <c r="O311" s="324"/>
    </row>
    <row r="312" spans="1:16" ht="11.45" customHeight="1" outlineLevel="1" x14ac:dyDescent="0.2">
      <c r="A312" s="30"/>
      <c r="B312" s="33"/>
      <c r="C312" s="34"/>
      <c r="D312" s="29"/>
      <c r="E312" s="29"/>
      <c r="F312" s="35" t="s">
        <v>365</v>
      </c>
      <c r="G312" s="134">
        <f t="shared" si="132"/>
        <v>0</v>
      </c>
      <c r="H312" s="134">
        <f t="shared" si="132"/>
        <v>0</v>
      </c>
      <c r="I312" s="37" t="str">
        <f t="shared" si="133"/>
        <v>-</v>
      </c>
      <c r="J312" s="134">
        <f t="shared" si="134"/>
        <v>0</v>
      </c>
      <c r="K312" s="134">
        <f t="shared" si="134"/>
        <v>0</v>
      </c>
      <c r="L312" s="134">
        <f t="shared" si="134"/>
        <v>0</v>
      </c>
      <c r="M312" s="36">
        <f t="shared" si="134"/>
        <v>0</v>
      </c>
      <c r="N312" s="37" t="str">
        <f t="shared" si="131"/>
        <v>-</v>
      </c>
      <c r="O312" s="324"/>
    </row>
    <row r="313" spans="1:16" ht="3.95" customHeight="1" outlineLevel="1" x14ac:dyDescent="0.2">
      <c r="A313" s="65"/>
      <c r="B313" s="66"/>
      <c r="C313" s="67"/>
      <c r="D313" s="68"/>
      <c r="E313" s="68"/>
      <c r="F313" s="65"/>
      <c r="G313" s="135"/>
      <c r="H313" s="135"/>
      <c r="I313" s="70"/>
      <c r="J313" s="135"/>
      <c r="K313" s="135"/>
      <c r="L313" s="135"/>
      <c r="M313" s="69"/>
      <c r="N313" s="70"/>
      <c r="O313" s="325"/>
    </row>
    <row r="314" spans="1:16" s="15" customFormat="1" ht="3.95" customHeight="1" outlineLevel="1" x14ac:dyDescent="0.2">
      <c r="A314" s="187"/>
      <c r="B314" s="72"/>
      <c r="C314" s="232"/>
      <c r="D314" s="181"/>
      <c r="E314" s="181"/>
      <c r="F314" s="226"/>
      <c r="G314" s="224"/>
      <c r="H314" s="224"/>
      <c r="I314" s="227"/>
      <c r="J314" s="224"/>
      <c r="K314" s="224"/>
      <c r="L314" s="136"/>
      <c r="M314" s="231"/>
      <c r="N314" s="75"/>
      <c r="O314" s="328"/>
      <c r="P314" s="170"/>
    </row>
    <row r="315" spans="1:16" s="15" customFormat="1" ht="11.1" customHeight="1" outlineLevel="1" x14ac:dyDescent="0.2">
      <c r="A315" s="409" t="s">
        <v>524</v>
      </c>
      <c r="B315" s="76" t="s">
        <v>9</v>
      </c>
      <c r="C315" s="174" t="s">
        <v>55</v>
      </c>
      <c r="D315" s="392" t="s">
        <v>182</v>
      </c>
      <c r="E315" s="392" t="s">
        <v>54</v>
      </c>
      <c r="F315" s="228" t="s">
        <v>157</v>
      </c>
      <c r="G315" s="172">
        <f>SUM(G316:G321)</f>
        <v>2158730</v>
      </c>
      <c r="H315" s="172">
        <f>SUM(H316:H321)</f>
        <v>2157383</v>
      </c>
      <c r="I315" s="39">
        <f t="shared" ref="I315:I321" si="135">IF(G315&gt;0,H315/G315*100,"-")</f>
        <v>99.937602201294283</v>
      </c>
      <c r="J315" s="172">
        <f>SUM(J316:J321)</f>
        <v>334961</v>
      </c>
      <c r="K315" s="172">
        <f>SUM(K316:K321)</f>
        <v>24612</v>
      </c>
      <c r="L315" s="230">
        <f>SUM(L316:L321)</f>
        <v>359573</v>
      </c>
      <c r="M315" s="173">
        <f>SUM(M316:M321)</f>
        <v>358224.86</v>
      </c>
      <c r="N315" s="39">
        <f t="shared" ref="N315:N321" si="136">IF(L315&gt;0,M315/L315*100,"-")</f>
        <v>99.625071960352969</v>
      </c>
      <c r="O315" s="406" t="s">
        <v>506</v>
      </c>
      <c r="P315" s="170"/>
    </row>
    <row r="316" spans="1:16" s="15" customFormat="1" ht="11.1" customHeight="1" outlineLevel="1" x14ac:dyDescent="0.2">
      <c r="A316" s="409"/>
      <c r="B316" s="76" t="s">
        <v>10</v>
      </c>
      <c r="C316" s="174" t="s">
        <v>75</v>
      </c>
      <c r="D316" s="392"/>
      <c r="E316" s="392"/>
      <c r="F316" s="79" t="s">
        <v>15</v>
      </c>
      <c r="G316" s="166">
        <v>0</v>
      </c>
      <c r="H316" s="139">
        <f>ROUNDUP(0+M316,0)</f>
        <v>0</v>
      </c>
      <c r="I316" s="81" t="str">
        <f t="shared" si="135"/>
        <v>-</v>
      </c>
      <c r="J316" s="139">
        <v>0</v>
      </c>
      <c r="K316" s="139">
        <f t="shared" ref="K316" si="137">L316-J316</f>
        <v>0</v>
      </c>
      <c r="L316" s="139">
        <v>0</v>
      </c>
      <c r="M316" s="80">
        <v>0</v>
      </c>
      <c r="N316" s="81" t="str">
        <f t="shared" si="136"/>
        <v>-</v>
      </c>
      <c r="O316" s="407"/>
      <c r="P316" s="170"/>
    </row>
    <row r="317" spans="1:16" s="15" customFormat="1" ht="11.1" customHeight="1" outlineLevel="1" x14ac:dyDescent="0.2">
      <c r="A317" s="409"/>
      <c r="B317" s="76" t="s">
        <v>11</v>
      </c>
      <c r="C317" s="169" t="s">
        <v>319</v>
      </c>
      <c r="D317" s="392"/>
      <c r="E317" s="392"/>
      <c r="F317" s="79" t="s">
        <v>7</v>
      </c>
      <c r="G317" s="378">
        <v>1834920</v>
      </c>
      <c r="H317" s="378">
        <f>ROUNDUP(1529284+M317,0)</f>
        <v>1833775</v>
      </c>
      <c r="I317" s="81">
        <f t="shared" si="135"/>
        <v>99.937599459376983</v>
      </c>
      <c r="J317" s="139">
        <v>284717</v>
      </c>
      <c r="K317" s="139">
        <f t="shared" ref="K317:K321" si="138">L317-J317</f>
        <v>20919</v>
      </c>
      <c r="L317" s="139">
        <v>305636</v>
      </c>
      <c r="M317" s="80">
        <v>304490.46999999997</v>
      </c>
      <c r="N317" s="81">
        <f t="shared" si="136"/>
        <v>99.625197947885709</v>
      </c>
      <c r="O317" s="407"/>
      <c r="P317" s="170"/>
    </row>
    <row r="318" spans="1:16" s="15" customFormat="1" ht="11.1" customHeight="1" outlineLevel="1" x14ac:dyDescent="0.2">
      <c r="A318" s="207"/>
      <c r="B318" s="76"/>
      <c r="C318" s="169" t="s">
        <v>166</v>
      </c>
      <c r="D318" s="109"/>
      <c r="E318" s="184"/>
      <c r="F318" s="79" t="s">
        <v>8</v>
      </c>
      <c r="G318" s="378">
        <v>0</v>
      </c>
      <c r="H318" s="180">
        <f>ROUNDUP(0+M318,0)</f>
        <v>0</v>
      </c>
      <c r="I318" s="81" t="str">
        <f t="shared" si="135"/>
        <v>-</v>
      </c>
      <c r="J318" s="139">
        <v>0</v>
      </c>
      <c r="K318" s="139">
        <f t="shared" si="138"/>
        <v>0</v>
      </c>
      <c r="L318" s="139">
        <v>0</v>
      </c>
      <c r="M318" s="80">
        <v>0</v>
      </c>
      <c r="N318" s="81" t="str">
        <f t="shared" si="136"/>
        <v>-</v>
      </c>
      <c r="O318" s="407"/>
      <c r="P318" s="170"/>
    </row>
    <row r="319" spans="1:16" s="15" customFormat="1" ht="11.1" customHeight="1" outlineLevel="1" x14ac:dyDescent="0.2">
      <c r="A319" s="207"/>
      <c r="B319" s="76" t="s">
        <v>12</v>
      </c>
      <c r="C319" s="169" t="s">
        <v>196</v>
      </c>
      <c r="D319" s="109"/>
      <c r="E319" s="184"/>
      <c r="F319" s="79" t="s">
        <v>22</v>
      </c>
      <c r="G319" s="378">
        <v>323810</v>
      </c>
      <c r="H319" s="378">
        <f>ROUNDUP(269873+M319,0)</f>
        <v>323608</v>
      </c>
      <c r="I319" s="81">
        <f t="shared" si="135"/>
        <v>99.937617738797442</v>
      </c>
      <c r="J319" s="139">
        <v>50244</v>
      </c>
      <c r="K319" s="139">
        <f t="shared" si="138"/>
        <v>3693</v>
      </c>
      <c r="L319" s="139">
        <v>53937</v>
      </c>
      <c r="M319" s="80">
        <v>53734.39</v>
      </c>
      <c r="N319" s="81">
        <f t="shared" si="136"/>
        <v>99.624358047351535</v>
      </c>
      <c r="O319" s="407"/>
      <c r="P319" s="170"/>
    </row>
    <row r="320" spans="1:16" s="15" customFormat="1" ht="11.1" customHeight="1" outlineLevel="1" x14ac:dyDescent="0.2">
      <c r="A320" s="207"/>
      <c r="B320" s="76"/>
      <c r="C320" s="169" t="s">
        <v>168</v>
      </c>
      <c r="D320" s="109"/>
      <c r="E320" s="184"/>
      <c r="F320" s="79" t="s">
        <v>45</v>
      </c>
      <c r="G320" s="378">
        <v>0</v>
      </c>
      <c r="H320" s="180">
        <f>ROUNDUP(0+M320,0)</f>
        <v>0</v>
      </c>
      <c r="I320" s="167" t="str">
        <f t="shared" si="135"/>
        <v>-</v>
      </c>
      <c r="J320" s="139">
        <v>0</v>
      </c>
      <c r="K320" s="139">
        <f t="shared" si="138"/>
        <v>0</v>
      </c>
      <c r="L320" s="139">
        <v>0</v>
      </c>
      <c r="M320" s="80">
        <v>0</v>
      </c>
      <c r="N320" s="81" t="str">
        <f t="shared" si="136"/>
        <v>-</v>
      </c>
      <c r="O320" s="407"/>
      <c r="P320" s="170"/>
    </row>
    <row r="321" spans="1:16" s="15" customFormat="1" ht="11.1" customHeight="1" outlineLevel="1" x14ac:dyDescent="0.2">
      <c r="A321" s="207"/>
      <c r="B321" s="76" t="s">
        <v>23</v>
      </c>
      <c r="C321" s="82" t="s">
        <v>185</v>
      </c>
      <c r="D321" s="109"/>
      <c r="E321" s="184"/>
      <c r="F321" s="79" t="s">
        <v>365</v>
      </c>
      <c r="G321" s="378">
        <v>0</v>
      </c>
      <c r="H321" s="180">
        <f>ROUNDUP(0+M321,0)</f>
        <v>0</v>
      </c>
      <c r="I321" s="167" t="str">
        <f t="shared" si="135"/>
        <v>-</v>
      </c>
      <c r="J321" s="139">
        <v>0</v>
      </c>
      <c r="K321" s="139">
        <f t="shared" si="138"/>
        <v>0</v>
      </c>
      <c r="L321" s="139">
        <v>0</v>
      </c>
      <c r="M321" s="80">
        <v>0</v>
      </c>
      <c r="N321" s="81" t="str">
        <f t="shared" si="136"/>
        <v>-</v>
      </c>
      <c r="O321" s="407"/>
      <c r="P321" s="170"/>
    </row>
    <row r="322" spans="1:16" s="15" customFormat="1" ht="11.1" customHeight="1" outlineLevel="1" x14ac:dyDescent="0.2">
      <c r="A322" s="219"/>
      <c r="B322" s="76"/>
      <c r="C322" s="82" t="s">
        <v>186</v>
      </c>
      <c r="D322" s="284"/>
      <c r="E322" s="283"/>
      <c r="F322" s="106"/>
      <c r="G322" s="378"/>
      <c r="H322" s="378"/>
      <c r="I322" s="167"/>
      <c r="J322" s="166"/>
      <c r="K322" s="166"/>
      <c r="L322" s="139"/>
      <c r="M322" s="89"/>
      <c r="N322" s="81"/>
      <c r="O322" s="329"/>
      <c r="P322" s="170"/>
    </row>
    <row r="323" spans="1:16" s="15" customFormat="1" ht="11.1" customHeight="1" outlineLevel="1" x14ac:dyDescent="0.2">
      <c r="A323" s="219"/>
      <c r="B323" s="76"/>
      <c r="C323" s="82" t="s">
        <v>187</v>
      </c>
      <c r="D323" s="284"/>
      <c r="E323" s="283"/>
      <c r="F323" s="106"/>
      <c r="G323" s="378"/>
      <c r="H323" s="378"/>
      <c r="I323" s="167"/>
      <c r="J323" s="166"/>
      <c r="K323" s="166"/>
      <c r="L323" s="139"/>
      <c r="M323" s="89"/>
      <c r="N323" s="81"/>
      <c r="O323" s="329"/>
      <c r="P323" s="170"/>
    </row>
    <row r="324" spans="1:16" s="15" customFormat="1" ht="11.1" customHeight="1" outlineLevel="1" x14ac:dyDescent="0.2">
      <c r="A324" s="219"/>
      <c r="B324" s="76"/>
      <c r="C324" s="82" t="s">
        <v>188</v>
      </c>
      <c r="D324" s="284"/>
      <c r="E324" s="283"/>
      <c r="F324" s="106"/>
      <c r="G324" s="378"/>
      <c r="H324" s="378"/>
      <c r="I324" s="167"/>
      <c r="J324" s="166"/>
      <c r="K324" s="166"/>
      <c r="L324" s="139"/>
      <c r="M324" s="89"/>
      <c r="N324" s="81"/>
      <c r="O324" s="329"/>
      <c r="P324" s="170"/>
    </row>
    <row r="325" spans="1:16" s="15" customFormat="1" ht="11.1" customHeight="1" outlineLevel="1" x14ac:dyDescent="0.2">
      <c r="A325" s="219"/>
      <c r="B325" s="76"/>
      <c r="C325" s="82" t="s">
        <v>189</v>
      </c>
      <c r="D325" s="284"/>
      <c r="E325" s="283"/>
      <c r="F325" s="106"/>
      <c r="G325" s="378"/>
      <c r="H325" s="378"/>
      <c r="I325" s="167"/>
      <c r="J325" s="166"/>
      <c r="K325" s="166"/>
      <c r="L325" s="139"/>
      <c r="M325" s="89"/>
      <c r="N325" s="81"/>
      <c r="O325" s="329"/>
      <c r="P325" s="170"/>
    </row>
    <row r="326" spans="1:16" s="15" customFormat="1" ht="3.95" customHeight="1" outlineLevel="1" x14ac:dyDescent="0.2">
      <c r="A326" s="221"/>
      <c r="B326" s="85"/>
      <c r="C326" s="175"/>
      <c r="D326" s="182"/>
      <c r="E326" s="183"/>
      <c r="F326" s="206"/>
      <c r="G326" s="379"/>
      <c r="H326" s="379"/>
      <c r="I326" s="176"/>
      <c r="J326" s="168"/>
      <c r="K326" s="168"/>
      <c r="L326" s="142"/>
      <c r="M326" s="177"/>
      <c r="N326" s="88"/>
      <c r="O326" s="330"/>
      <c r="P326" s="170"/>
    </row>
    <row r="327" spans="1:16" s="15" customFormat="1" ht="3.95" customHeight="1" outlineLevel="1" x14ac:dyDescent="0.2">
      <c r="A327" s="222"/>
      <c r="B327" s="72"/>
      <c r="C327" s="232"/>
      <c r="D327" s="181"/>
      <c r="E327" s="223"/>
      <c r="F327" s="226"/>
      <c r="G327" s="380"/>
      <c r="H327" s="380"/>
      <c r="I327" s="227"/>
      <c r="J327" s="224"/>
      <c r="K327" s="224"/>
      <c r="L327" s="137"/>
      <c r="M327" s="231"/>
      <c r="N327" s="75"/>
      <c r="O327" s="328"/>
      <c r="P327" s="170"/>
    </row>
    <row r="328" spans="1:16" s="15" customFormat="1" ht="11.1" customHeight="1" outlineLevel="1" x14ac:dyDescent="0.2">
      <c r="A328" s="409" t="s">
        <v>525</v>
      </c>
      <c r="B328" s="76" t="s">
        <v>9</v>
      </c>
      <c r="C328" s="149" t="s">
        <v>55</v>
      </c>
      <c r="D328" s="392" t="s">
        <v>182</v>
      </c>
      <c r="E328" s="392" t="s">
        <v>54</v>
      </c>
      <c r="F328" s="228" t="s">
        <v>157</v>
      </c>
      <c r="G328" s="381">
        <f>SUM(G329:G334)</f>
        <v>999980</v>
      </c>
      <c r="H328" s="381">
        <f>SUM(H329:H334)</f>
        <v>849757</v>
      </c>
      <c r="I328" s="39">
        <f t="shared" ref="I328:I334" si="139">IF(G328&gt;0,H328/G328*100,"-")</f>
        <v>84.977399547990956</v>
      </c>
      <c r="J328" s="172">
        <f>SUM(J329:J334)</f>
        <v>327588</v>
      </c>
      <c r="K328" s="172">
        <f>SUM(K329:K334)</f>
        <v>6102</v>
      </c>
      <c r="L328" s="230">
        <f>SUM(L329:L334)</f>
        <v>333690</v>
      </c>
      <c r="M328" s="173">
        <f>SUM(M329:M334)</f>
        <v>183466.05</v>
      </c>
      <c r="N328" s="39">
        <f t="shared" ref="N328:N334" si="140">IF(L328&gt;0,M328/L328*100,"-")</f>
        <v>54.980985345680125</v>
      </c>
      <c r="O328" s="406" t="s">
        <v>507</v>
      </c>
      <c r="P328" s="170"/>
    </row>
    <row r="329" spans="1:16" s="15" customFormat="1" ht="11.1" customHeight="1" outlineLevel="1" x14ac:dyDescent="0.2">
      <c r="A329" s="409"/>
      <c r="B329" s="76" t="s">
        <v>10</v>
      </c>
      <c r="C329" s="82" t="s">
        <v>75</v>
      </c>
      <c r="D329" s="392"/>
      <c r="E329" s="392"/>
      <c r="F329" s="79" t="s">
        <v>15</v>
      </c>
      <c r="G329" s="378">
        <v>0</v>
      </c>
      <c r="H329" s="180">
        <f>ROUNDUP(0+M329,0)</f>
        <v>0</v>
      </c>
      <c r="I329" s="81" t="str">
        <f t="shared" si="139"/>
        <v>-</v>
      </c>
      <c r="J329" s="139">
        <v>0</v>
      </c>
      <c r="K329" s="139">
        <f t="shared" ref="K329" si="141">L329-J329</f>
        <v>0</v>
      </c>
      <c r="L329" s="139">
        <v>0</v>
      </c>
      <c r="M329" s="80">
        <v>0</v>
      </c>
      <c r="N329" s="81" t="str">
        <f t="shared" si="140"/>
        <v>-</v>
      </c>
      <c r="O329" s="407"/>
      <c r="P329" s="170"/>
    </row>
    <row r="330" spans="1:16" s="15" customFormat="1" ht="11.1" customHeight="1" outlineLevel="1" x14ac:dyDescent="0.2">
      <c r="A330" s="409"/>
      <c r="B330" s="76" t="s">
        <v>11</v>
      </c>
      <c r="C330" s="82" t="s">
        <v>167</v>
      </c>
      <c r="D330" s="392"/>
      <c r="E330" s="392"/>
      <c r="F330" s="79" t="s">
        <v>7</v>
      </c>
      <c r="G330" s="378">
        <v>849982</v>
      </c>
      <c r="H330" s="378">
        <f>ROUNDUP(566346+M330,0)</f>
        <v>722293</v>
      </c>
      <c r="I330" s="81">
        <f t="shared" si="139"/>
        <v>84.977446581221713</v>
      </c>
      <c r="J330" s="139">
        <v>278450</v>
      </c>
      <c r="K330" s="139">
        <f t="shared" ref="K330:K334" si="142">L330-J330</f>
        <v>5186</v>
      </c>
      <c r="L330" s="139">
        <v>283636</v>
      </c>
      <c r="M330" s="80">
        <v>155946.19</v>
      </c>
      <c r="N330" s="81">
        <f t="shared" si="140"/>
        <v>54.981099014229507</v>
      </c>
      <c r="O330" s="407"/>
      <c r="P330" s="170"/>
    </row>
    <row r="331" spans="1:16" s="15" customFormat="1" ht="11.1" customHeight="1" outlineLevel="1" x14ac:dyDescent="0.2">
      <c r="A331" s="207"/>
      <c r="B331" s="76"/>
      <c r="C331" s="82" t="s">
        <v>166</v>
      </c>
      <c r="D331" s="109"/>
      <c r="E331" s="184"/>
      <c r="F331" s="79" t="s">
        <v>8</v>
      </c>
      <c r="G331" s="378">
        <v>0</v>
      </c>
      <c r="H331" s="180">
        <f>ROUNDUP(0+M331,0)</f>
        <v>0</v>
      </c>
      <c r="I331" s="81" t="str">
        <f t="shared" si="139"/>
        <v>-</v>
      </c>
      <c r="J331" s="139">
        <v>0</v>
      </c>
      <c r="K331" s="139">
        <f t="shared" si="142"/>
        <v>0</v>
      </c>
      <c r="L331" s="139">
        <v>0</v>
      </c>
      <c r="M331" s="80">
        <v>0</v>
      </c>
      <c r="N331" s="81" t="str">
        <f t="shared" si="140"/>
        <v>-</v>
      </c>
      <c r="O331" s="407"/>
      <c r="P331" s="170"/>
    </row>
    <row r="332" spans="1:16" s="15" customFormat="1" ht="11.1" customHeight="1" outlineLevel="1" x14ac:dyDescent="0.2">
      <c r="A332" s="207"/>
      <c r="B332" s="76" t="s">
        <v>12</v>
      </c>
      <c r="C332" s="82" t="s">
        <v>238</v>
      </c>
      <c r="D332" s="109"/>
      <c r="E332" s="184"/>
      <c r="F332" s="79" t="s">
        <v>22</v>
      </c>
      <c r="G332" s="378">
        <v>149998</v>
      </c>
      <c r="H332" s="378">
        <f>ROUNDUP(99944+M332,0)</f>
        <v>127464</v>
      </c>
      <c r="I332" s="81">
        <f t="shared" si="139"/>
        <v>84.977133028440377</v>
      </c>
      <c r="J332" s="139">
        <v>49138</v>
      </c>
      <c r="K332" s="139">
        <f t="shared" si="142"/>
        <v>916</v>
      </c>
      <c r="L332" s="139">
        <v>50054</v>
      </c>
      <c r="M332" s="80">
        <v>27519.86</v>
      </c>
      <c r="N332" s="81">
        <f t="shared" si="140"/>
        <v>54.980341231470007</v>
      </c>
      <c r="O332" s="407"/>
      <c r="P332" s="170"/>
    </row>
    <row r="333" spans="1:16" s="15" customFormat="1" ht="11.1" customHeight="1" outlineLevel="1" x14ac:dyDescent="0.2">
      <c r="A333" s="207"/>
      <c r="B333" s="76"/>
      <c r="C333" s="82" t="s">
        <v>239</v>
      </c>
      <c r="D333" s="109"/>
      <c r="E333" s="184"/>
      <c r="F333" s="79" t="s">
        <v>45</v>
      </c>
      <c r="G333" s="378">
        <v>0</v>
      </c>
      <c r="H333" s="180">
        <f>ROUNDUP(0+M333,0)</f>
        <v>0</v>
      </c>
      <c r="I333" s="167" t="str">
        <f t="shared" si="139"/>
        <v>-</v>
      </c>
      <c r="J333" s="139">
        <v>0</v>
      </c>
      <c r="K333" s="139">
        <f t="shared" si="142"/>
        <v>0</v>
      </c>
      <c r="L333" s="139">
        <v>0</v>
      </c>
      <c r="M333" s="80">
        <v>0</v>
      </c>
      <c r="N333" s="81" t="str">
        <f t="shared" si="140"/>
        <v>-</v>
      </c>
      <c r="O333" s="407"/>
      <c r="P333" s="170"/>
    </row>
    <row r="334" spans="1:16" s="15" customFormat="1" ht="11.1" customHeight="1" outlineLevel="1" x14ac:dyDescent="0.2">
      <c r="A334" s="207"/>
      <c r="B334" s="76" t="s">
        <v>23</v>
      </c>
      <c r="C334" s="82" t="s">
        <v>282</v>
      </c>
      <c r="D334" s="109"/>
      <c r="E334" s="184"/>
      <c r="F334" s="79" t="s">
        <v>365</v>
      </c>
      <c r="G334" s="378">
        <v>0</v>
      </c>
      <c r="H334" s="180">
        <f>ROUNDUP(0+M334,0)</f>
        <v>0</v>
      </c>
      <c r="I334" s="167" t="str">
        <f t="shared" si="139"/>
        <v>-</v>
      </c>
      <c r="J334" s="139">
        <v>0</v>
      </c>
      <c r="K334" s="139">
        <f t="shared" si="142"/>
        <v>0</v>
      </c>
      <c r="L334" s="139">
        <v>0</v>
      </c>
      <c r="M334" s="80">
        <v>0</v>
      </c>
      <c r="N334" s="81" t="str">
        <f t="shared" si="140"/>
        <v>-</v>
      </c>
      <c r="O334" s="407"/>
      <c r="P334" s="170"/>
    </row>
    <row r="335" spans="1:16" s="15" customFormat="1" ht="11.1" customHeight="1" outlineLevel="1" x14ac:dyDescent="0.2">
      <c r="A335" s="286"/>
      <c r="B335" s="76"/>
      <c r="C335" s="82" t="s">
        <v>283</v>
      </c>
      <c r="D335" s="109"/>
      <c r="E335" s="184"/>
      <c r="F335" s="106"/>
      <c r="G335" s="378"/>
      <c r="H335" s="378"/>
      <c r="I335" s="167"/>
      <c r="J335" s="166"/>
      <c r="K335" s="166"/>
      <c r="L335" s="139"/>
      <c r="M335" s="89"/>
      <c r="N335" s="81"/>
      <c r="O335" s="329"/>
      <c r="P335" s="170"/>
    </row>
    <row r="336" spans="1:16" s="15" customFormat="1" ht="11.1" customHeight="1" outlineLevel="1" x14ac:dyDescent="0.2">
      <c r="A336" s="286"/>
      <c r="B336" s="76"/>
      <c r="C336" s="82" t="s">
        <v>284</v>
      </c>
      <c r="D336" s="109"/>
      <c r="E336" s="184"/>
      <c r="F336" s="106"/>
      <c r="G336" s="378"/>
      <c r="H336" s="378"/>
      <c r="I336" s="167"/>
      <c r="J336" s="166"/>
      <c r="K336" s="166"/>
      <c r="L336" s="139"/>
      <c r="M336" s="89"/>
      <c r="N336" s="81"/>
      <c r="O336" s="329"/>
      <c r="P336" s="170"/>
    </row>
    <row r="337" spans="1:16" s="15" customFormat="1" ht="3.95" customHeight="1" outlineLevel="1" x14ac:dyDescent="0.2">
      <c r="A337" s="234"/>
      <c r="B337" s="85"/>
      <c r="C337" s="86"/>
      <c r="D337" s="182"/>
      <c r="E337" s="183"/>
      <c r="F337" s="206"/>
      <c r="G337" s="379"/>
      <c r="H337" s="379"/>
      <c r="I337" s="176"/>
      <c r="J337" s="168"/>
      <c r="K337" s="168"/>
      <c r="L337" s="142"/>
      <c r="M337" s="177"/>
      <c r="N337" s="88"/>
      <c r="O337" s="330"/>
      <c r="P337" s="170"/>
    </row>
    <row r="338" spans="1:16" s="15" customFormat="1" ht="3.95" customHeight="1" outlineLevel="1" x14ac:dyDescent="0.2">
      <c r="A338" s="199"/>
      <c r="B338" s="72"/>
      <c r="C338" s="73"/>
      <c r="D338" s="181"/>
      <c r="E338" s="181"/>
      <c r="F338" s="226"/>
      <c r="G338" s="380"/>
      <c r="H338" s="380"/>
      <c r="I338" s="227"/>
      <c r="J338" s="224"/>
      <c r="K338" s="224"/>
      <c r="L338" s="136"/>
      <c r="M338" s="220"/>
      <c r="N338" s="75"/>
      <c r="O338" s="331"/>
    </row>
    <row r="339" spans="1:16" s="15" customFormat="1" ht="11.1" customHeight="1" outlineLevel="1" x14ac:dyDescent="0.2">
      <c r="A339" s="391" t="s">
        <v>526</v>
      </c>
      <c r="B339" s="76" t="s">
        <v>9</v>
      </c>
      <c r="C339" s="149" t="s">
        <v>55</v>
      </c>
      <c r="D339" s="392" t="s">
        <v>281</v>
      </c>
      <c r="E339" s="392" t="s">
        <v>54</v>
      </c>
      <c r="F339" s="78" t="s">
        <v>157</v>
      </c>
      <c r="G339" s="382">
        <f>SUM(G340:G345)</f>
        <v>2419808</v>
      </c>
      <c r="H339" s="382">
        <f>SUM(H340:H345)</f>
        <v>1206242</v>
      </c>
      <c r="I339" s="39">
        <f t="shared" ref="I339:I345" si="143">IF(G339&gt;0,H339/G339*100,"-")</f>
        <v>49.848665679260499</v>
      </c>
      <c r="J339" s="165">
        <f>SUM(J340:J345)</f>
        <v>735440</v>
      </c>
      <c r="K339" s="165">
        <f>SUM(K340:K345)</f>
        <v>79825</v>
      </c>
      <c r="L339" s="165">
        <f>SUM(L340:L345)</f>
        <v>815265</v>
      </c>
      <c r="M339" s="38">
        <f>SUM(M340:M345)</f>
        <v>387627.36</v>
      </c>
      <c r="N339" s="39">
        <f t="shared" ref="N339:N342" si="144">IF(L339&gt;0,M339/L339*100,"-")</f>
        <v>47.546179463119351</v>
      </c>
      <c r="O339" s="406" t="s">
        <v>507</v>
      </c>
    </row>
    <row r="340" spans="1:16" s="15" customFormat="1" ht="11.1" customHeight="1" outlineLevel="1" x14ac:dyDescent="0.2">
      <c r="A340" s="391"/>
      <c r="B340" s="76" t="s">
        <v>10</v>
      </c>
      <c r="C340" s="149" t="s">
        <v>75</v>
      </c>
      <c r="D340" s="392"/>
      <c r="E340" s="392"/>
      <c r="F340" s="79" t="s">
        <v>15</v>
      </c>
      <c r="G340" s="378">
        <v>0</v>
      </c>
      <c r="H340" s="180">
        <f t="shared" ref="H340:H345" si="145">ROUNDUP(0+M340,0)</f>
        <v>0</v>
      </c>
      <c r="I340" s="81" t="str">
        <f t="shared" si="143"/>
        <v>-</v>
      </c>
      <c r="J340" s="139">
        <v>0</v>
      </c>
      <c r="K340" s="139">
        <f t="shared" ref="K340" si="146">L340-J340</f>
        <v>0</v>
      </c>
      <c r="L340" s="139">
        <v>0</v>
      </c>
      <c r="M340" s="80">
        <v>0</v>
      </c>
      <c r="N340" s="81" t="str">
        <f t="shared" si="144"/>
        <v>-</v>
      </c>
      <c r="O340" s="407"/>
    </row>
    <row r="341" spans="1:16" s="15" customFormat="1" ht="11.1" customHeight="1" outlineLevel="1" x14ac:dyDescent="0.2">
      <c r="A341" s="391"/>
      <c r="B341" s="76" t="s">
        <v>11</v>
      </c>
      <c r="C341" s="82" t="s">
        <v>78</v>
      </c>
      <c r="D341" s="392"/>
      <c r="E341" s="392"/>
      <c r="F341" s="79" t="s">
        <v>7</v>
      </c>
      <c r="G341" s="378">
        <v>2056837</v>
      </c>
      <c r="H341" s="378">
        <f>ROUNDUP(695821+M341,0)</f>
        <v>1025305</v>
      </c>
      <c r="I341" s="81">
        <f t="shared" si="143"/>
        <v>49.848626799303979</v>
      </c>
      <c r="J341" s="139">
        <v>625124</v>
      </c>
      <c r="K341" s="139">
        <f t="shared" ref="K341:K345" si="147">L341-J341</f>
        <v>67851</v>
      </c>
      <c r="L341" s="139">
        <v>692975</v>
      </c>
      <c r="M341" s="80">
        <v>329483.25</v>
      </c>
      <c r="N341" s="81">
        <f t="shared" si="144"/>
        <v>47.546195750207438</v>
      </c>
      <c r="O341" s="407"/>
    </row>
    <row r="342" spans="1:16" s="15" customFormat="1" ht="11.1" customHeight="1" outlineLevel="1" x14ac:dyDescent="0.2">
      <c r="A342" s="207"/>
      <c r="B342" s="76" t="s">
        <v>12</v>
      </c>
      <c r="C342" s="82" t="s">
        <v>285</v>
      </c>
      <c r="D342" s="109"/>
      <c r="E342" s="109"/>
      <c r="F342" s="79" t="s">
        <v>8</v>
      </c>
      <c r="G342" s="378">
        <v>0</v>
      </c>
      <c r="H342" s="180">
        <f t="shared" si="145"/>
        <v>0</v>
      </c>
      <c r="I342" s="81" t="str">
        <f t="shared" si="143"/>
        <v>-</v>
      </c>
      <c r="J342" s="139">
        <v>0</v>
      </c>
      <c r="K342" s="139">
        <f t="shared" si="147"/>
        <v>0</v>
      </c>
      <c r="L342" s="139">
        <v>0</v>
      </c>
      <c r="M342" s="80">
        <v>0</v>
      </c>
      <c r="N342" s="81" t="str">
        <f t="shared" si="144"/>
        <v>-</v>
      </c>
      <c r="O342" s="407"/>
    </row>
    <row r="343" spans="1:16" s="15" customFormat="1" ht="11.1" customHeight="1" outlineLevel="1" x14ac:dyDescent="0.2">
      <c r="A343" s="207"/>
      <c r="B343" s="76" t="s">
        <v>23</v>
      </c>
      <c r="C343" s="82" t="s">
        <v>286</v>
      </c>
      <c r="D343" s="109"/>
      <c r="E343" s="109"/>
      <c r="F343" s="79" t="s">
        <v>22</v>
      </c>
      <c r="G343" s="378">
        <f>362971</f>
        <v>362971</v>
      </c>
      <c r="H343" s="378">
        <f>ROUNDUP(122792+M343,0)</f>
        <v>180937</v>
      </c>
      <c r="I343" s="81">
        <f t="shared" si="143"/>
        <v>49.848885999156956</v>
      </c>
      <c r="J343" s="139">
        <v>110316</v>
      </c>
      <c r="K343" s="139">
        <f t="shared" si="147"/>
        <v>11974</v>
      </c>
      <c r="L343" s="139">
        <v>122290</v>
      </c>
      <c r="M343" s="80">
        <v>58144.11</v>
      </c>
      <c r="N343" s="81">
        <f>IF(L343&gt;0,M343/L343*100,"-")</f>
        <v>47.546087169842174</v>
      </c>
      <c r="O343" s="407"/>
    </row>
    <row r="344" spans="1:16" s="15" customFormat="1" ht="11.1" customHeight="1" outlineLevel="1" x14ac:dyDescent="0.2">
      <c r="A344" s="207"/>
      <c r="B344" s="76"/>
      <c r="C344" s="82" t="s">
        <v>287</v>
      </c>
      <c r="D344" s="109"/>
      <c r="E344" s="109"/>
      <c r="F344" s="79" t="s">
        <v>45</v>
      </c>
      <c r="G344" s="378">
        <v>0</v>
      </c>
      <c r="H344" s="180">
        <f t="shared" si="145"/>
        <v>0</v>
      </c>
      <c r="I344" s="167" t="str">
        <f t="shared" si="143"/>
        <v>-</v>
      </c>
      <c r="J344" s="139">
        <v>0</v>
      </c>
      <c r="K344" s="139">
        <f t="shared" si="147"/>
        <v>0</v>
      </c>
      <c r="L344" s="139">
        <v>0</v>
      </c>
      <c r="M344" s="80">
        <v>0</v>
      </c>
      <c r="N344" s="81" t="str">
        <f>IF(L344&gt;0,M344/L344*100,"-")</f>
        <v>-</v>
      </c>
      <c r="O344" s="407"/>
    </row>
    <row r="345" spans="1:16" s="15" customFormat="1" ht="11.1" customHeight="1" outlineLevel="1" x14ac:dyDescent="0.2">
      <c r="A345" s="207"/>
      <c r="B345" s="76"/>
      <c r="C345" s="82"/>
      <c r="D345" s="109"/>
      <c r="E345" s="109"/>
      <c r="F345" s="79" t="s">
        <v>365</v>
      </c>
      <c r="G345" s="378">
        <v>0</v>
      </c>
      <c r="H345" s="180">
        <f t="shared" si="145"/>
        <v>0</v>
      </c>
      <c r="I345" s="167" t="str">
        <f t="shared" si="143"/>
        <v>-</v>
      </c>
      <c r="J345" s="139">
        <v>0</v>
      </c>
      <c r="K345" s="139">
        <f t="shared" si="147"/>
        <v>0</v>
      </c>
      <c r="L345" s="139">
        <v>0</v>
      </c>
      <c r="M345" s="80">
        <v>0</v>
      </c>
      <c r="N345" s="81" t="str">
        <f>IF(L345&gt;0,M345/L345*100,"-")</f>
        <v>-</v>
      </c>
      <c r="O345" s="407"/>
    </row>
    <row r="346" spans="1:16" s="15" customFormat="1" ht="3.95" customHeight="1" outlineLevel="1" x14ac:dyDescent="0.2">
      <c r="A346" s="221"/>
      <c r="B346" s="85"/>
      <c r="C346" s="86"/>
      <c r="D346" s="182"/>
      <c r="E346" s="182"/>
      <c r="F346" s="206"/>
      <c r="G346" s="379"/>
      <c r="H346" s="379"/>
      <c r="I346" s="176"/>
      <c r="J346" s="168"/>
      <c r="K346" s="168"/>
      <c r="L346" s="141"/>
      <c r="M346" s="164"/>
      <c r="N346" s="88"/>
      <c r="O346" s="332"/>
    </row>
    <row r="347" spans="1:16" s="15" customFormat="1" ht="3.95" customHeight="1" outlineLevel="1" x14ac:dyDescent="0.2">
      <c r="A347" s="199"/>
      <c r="B347" s="72"/>
      <c r="C347" s="73"/>
      <c r="D347" s="181"/>
      <c r="E347" s="181"/>
      <c r="F347" s="226"/>
      <c r="G347" s="380"/>
      <c r="H347" s="380"/>
      <c r="I347" s="227"/>
      <c r="J347" s="224"/>
      <c r="K347" s="224"/>
      <c r="L347" s="136"/>
      <c r="M347" s="220"/>
      <c r="N347" s="75"/>
      <c r="O347" s="331"/>
    </row>
    <row r="348" spans="1:16" s="15" customFormat="1" ht="11.1" customHeight="1" outlineLevel="1" x14ac:dyDescent="0.2">
      <c r="A348" s="391" t="s">
        <v>527</v>
      </c>
      <c r="B348" s="76" t="s">
        <v>9</v>
      </c>
      <c r="C348" s="149" t="s">
        <v>55</v>
      </c>
      <c r="D348" s="392" t="s">
        <v>291</v>
      </c>
      <c r="E348" s="392" t="s">
        <v>54</v>
      </c>
      <c r="F348" s="78" t="s">
        <v>157</v>
      </c>
      <c r="G348" s="382">
        <f>SUM(G349:G354)</f>
        <v>594520</v>
      </c>
      <c r="H348" s="382">
        <f>SUM(H349:H354)</f>
        <v>507904</v>
      </c>
      <c r="I348" s="39">
        <f t="shared" ref="I348:I354" si="148">IF(G348&gt;0,H348/G348*100,"-")</f>
        <v>85.430935881046892</v>
      </c>
      <c r="J348" s="165">
        <f>SUM(J349:J354)</f>
        <v>225550</v>
      </c>
      <c r="K348" s="165">
        <f>SUM(K349:K354)</f>
        <v>68093</v>
      </c>
      <c r="L348" s="165">
        <f>SUM(L349:L354)</f>
        <v>293643</v>
      </c>
      <c r="M348" s="38">
        <f>SUM(M349:M354)</f>
        <v>207026.2</v>
      </c>
      <c r="N348" s="39">
        <f t="shared" ref="N348:N351" si="149">IF(L348&gt;0,M348/L348*100,"-")</f>
        <v>70.502685233429716</v>
      </c>
      <c r="O348" s="406" t="s">
        <v>507</v>
      </c>
    </row>
    <row r="349" spans="1:16" s="15" customFormat="1" ht="11.1" customHeight="1" outlineLevel="1" x14ac:dyDescent="0.2">
      <c r="A349" s="391"/>
      <c r="B349" s="76" t="s">
        <v>10</v>
      </c>
      <c r="C349" s="149" t="s">
        <v>75</v>
      </c>
      <c r="D349" s="392"/>
      <c r="E349" s="392"/>
      <c r="F349" s="79" t="s">
        <v>15</v>
      </c>
      <c r="G349" s="378">
        <v>0</v>
      </c>
      <c r="H349" s="180">
        <f t="shared" ref="H349:H354" si="150">ROUNDUP(0+M349,0)</f>
        <v>0</v>
      </c>
      <c r="I349" s="81" t="str">
        <f t="shared" si="148"/>
        <v>-</v>
      </c>
      <c r="J349" s="139">
        <v>0</v>
      </c>
      <c r="K349" s="139">
        <f t="shared" ref="K349" si="151">L349-J349</f>
        <v>0</v>
      </c>
      <c r="L349" s="139">
        <v>0</v>
      </c>
      <c r="M349" s="80">
        <v>0</v>
      </c>
      <c r="N349" s="81" t="str">
        <f t="shared" si="149"/>
        <v>-</v>
      </c>
      <c r="O349" s="407"/>
    </row>
    <row r="350" spans="1:16" s="15" customFormat="1" ht="11.1" customHeight="1" outlineLevel="1" x14ac:dyDescent="0.2">
      <c r="A350" s="391"/>
      <c r="B350" s="76" t="s">
        <v>11</v>
      </c>
      <c r="C350" s="82" t="s">
        <v>78</v>
      </c>
      <c r="D350" s="392"/>
      <c r="E350" s="392"/>
      <c r="F350" s="79" t="s">
        <v>7</v>
      </c>
      <c r="G350" s="378">
        <v>581564</v>
      </c>
      <c r="H350" s="378">
        <f>ROUNDUP(296265+M350,0)</f>
        <v>497084</v>
      </c>
      <c r="I350" s="81">
        <f t="shared" si="148"/>
        <v>85.47365380250497</v>
      </c>
      <c r="J350" s="139">
        <v>218784</v>
      </c>
      <c r="K350" s="139">
        <f t="shared" ref="K350:K354" si="152">L350-J350</f>
        <v>66515</v>
      </c>
      <c r="L350" s="139">
        <v>285299</v>
      </c>
      <c r="M350" s="80">
        <v>200818.29</v>
      </c>
      <c r="N350" s="81">
        <f t="shared" si="149"/>
        <v>70.388711492153845</v>
      </c>
      <c r="O350" s="407"/>
    </row>
    <row r="351" spans="1:16" s="15" customFormat="1" ht="11.1" customHeight="1" outlineLevel="1" x14ac:dyDescent="0.2">
      <c r="A351" s="207"/>
      <c r="B351" s="76" t="s">
        <v>12</v>
      </c>
      <c r="C351" s="82" t="s">
        <v>288</v>
      </c>
      <c r="D351" s="109"/>
      <c r="E351" s="109"/>
      <c r="F351" s="79" t="s">
        <v>8</v>
      </c>
      <c r="G351" s="166">
        <v>0</v>
      </c>
      <c r="H351" s="139">
        <f t="shared" si="150"/>
        <v>0</v>
      </c>
      <c r="I351" s="81" t="str">
        <f t="shared" si="148"/>
        <v>-</v>
      </c>
      <c r="J351" s="139">
        <v>0</v>
      </c>
      <c r="K351" s="139">
        <f t="shared" si="152"/>
        <v>0</v>
      </c>
      <c r="L351" s="139">
        <v>0</v>
      </c>
      <c r="M351" s="80">
        <v>0</v>
      </c>
      <c r="N351" s="81" t="str">
        <f t="shared" si="149"/>
        <v>-</v>
      </c>
      <c r="O351" s="407"/>
    </row>
    <row r="352" spans="1:16" s="15" customFormat="1" ht="11.1" customHeight="1" outlineLevel="1" x14ac:dyDescent="0.2">
      <c r="A352" s="207"/>
      <c r="B352" s="76" t="s">
        <v>23</v>
      </c>
      <c r="C352" s="82" t="s">
        <v>289</v>
      </c>
      <c r="D352" s="109"/>
      <c r="E352" s="109"/>
      <c r="F352" s="79" t="s">
        <v>22</v>
      </c>
      <c r="G352" s="166">
        <v>12956</v>
      </c>
      <c r="H352" s="166">
        <f>ROUNDUP(4612+M352,0)</f>
        <v>10820</v>
      </c>
      <c r="I352" s="81">
        <f t="shared" si="148"/>
        <v>83.51343007100958</v>
      </c>
      <c r="J352" s="139">
        <v>6766</v>
      </c>
      <c r="K352" s="139">
        <f t="shared" si="152"/>
        <v>1578</v>
      </c>
      <c r="L352" s="139">
        <v>8344</v>
      </c>
      <c r="M352" s="80">
        <v>6207.91</v>
      </c>
      <c r="N352" s="81">
        <f>IF(L352&gt;0,M352/L352*100,"-")</f>
        <v>74.399688398849477</v>
      </c>
      <c r="O352" s="407"/>
    </row>
    <row r="353" spans="1:16" s="15" customFormat="1" ht="11.1" customHeight="1" outlineLevel="1" x14ac:dyDescent="0.2">
      <c r="A353" s="207"/>
      <c r="B353" s="76"/>
      <c r="C353" s="82" t="s">
        <v>290</v>
      </c>
      <c r="D353" s="109"/>
      <c r="E353" s="109"/>
      <c r="F353" s="79" t="s">
        <v>45</v>
      </c>
      <c r="G353" s="166">
        <v>0</v>
      </c>
      <c r="H353" s="139">
        <f t="shared" si="150"/>
        <v>0</v>
      </c>
      <c r="I353" s="167" t="str">
        <f t="shared" si="148"/>
        <v>-</v>
      </c>
      <c r="J353" s="139">
        <v>0</v>
      </c>
      <c r="K353" s="139">
        <f t="shared" si="152"/>
        <v>0</v>
      </c>
      <c r="L353" s="139">
        <v>0</v>
      </c>
      <c r="M353" s="80">
        <v>0</v>
      </c>
      <c r="N353" s="81" t="str">
        <f>IF(L353&gt;0,M353/L353*100,"-")</f>
        <v>-</v>
      </c>
      <c r="O353" s="407"/>
    </row>
    <row r="354" spans="1:16" s="15" customFormat="1" ht="11.1" customHeight="1" outlineLevel="1" x14ac:dyDescent="0.2">
      <c r="A354" s="207"/>
      <c r="B354" s="76"/>
      <c r="C354" s="82"/>
      <c r="D354" s="109"/>
      <c r="E354" s="109"/>
      <c r="F354" s="79" t="s">
        <v>365</v>
      </c>
      <c r="G354" s="166">
        <v>0</v>
      </c>
      <c r="H354" s="139">
        <f t="shared" si="150"/>
        <v>0</v>
      </c>
      <c r="I354" s="167" t="str">
        <f t="shared" si="148"/>
        <v>-</v>
      </c>
      <c r="J354" s="139">
        <v>0</v>
      </c>
      <c r="K354" s="139">
        <f t="shared" si="152"/>
        <v>0</v>
      </c>
      <c r="L354" s="139">
        <v>0</v>
      </c>
      <c r="M354" s="80">
        <v>0</v>
      </c>
      <c r="N354" s="81" t="str">
        <f>IF(L354&gt;0,M354/L354*100,"-")</f>
        <v>-</v>
      </c>
      <c r="O354" s="407"/>
    </row>
    <row r="355" spans="1:16" s="15" customFormat="1" ht="3.95" customHeight="1" outlineLevel="1" x14ac:dyDescent="0.2">
      <c r="A355" s="221"/>
      <c r="B355" s="85"/>
      <c r="C355" s="86"/>
      <c r="D355" s="182"/>
      <c r="E355" s="182"/>
      <c r="F355" s="206"/>
      <c r="G355" s="168"/>
      <c r="H355" s="168"/>
      <c r="I355" s="176"/>
      <c r="J355" s="168"/>
      <c r="K355" s="168"/>
      <c r="L355" s="141"/>
      <c r="M355" s="164"/>
      <c r="N355" s="88"/>
      <c r="O355" s="332"/>
    </row>
    <row r="356" spans="1:16" s="15" customFormat="1" ht="3.95" customHeight="1" outlineLevel="1" x14ac:dyDescent="0.2">
      <c r="A356" s="235"/>
      <c r="B356" s="72"/>
      <c r="C356" s="73"/>
      <c r="D356" s="181"/>
      <c r="E356" s="223"/>
      <c r="F356" s="226"/>
      <c r="G356" s="224"/>
      <c r="H356" s="224"/>
      <c r="I356" s="227"/>
      <c r="J356" s="224"/>
      <c r="K356" s="224"/>
      <c r="L356" s="137"/>
      <c r="M356" s="231"/>
      <c r="N356" s="75"/>
      <c r="O356" s="328"/>
      <c r="P356" s="170"/>
    </row>
    <row r="357" spans="1:16" s="15" customFormat="1" ht="11.1" customHeight="1" outlineLevel="1" x14ac:dyDescent="0.2">
      <c r="A357" s="409" t="s">
        <v>528</v>
      </c>
      <c r="B357" s="76" t="s">
        <v>9</v>
      </c>
      <c r="C357" s="149" t="s">
        <v>443</v>
      </c>
      <c r="D357" s="392" t="s">
        <v>389</v>
      </c>
      <c r="E357" s="392" t="s">
        <v>197</v>
      </c>
      <c r="F357" s="228" t="s">
        <v>157</v>
      </c>
      <c r="G357" s="172">
        <f>SUM(G358:G363)</f>
        <v>59494</v>
      </c>
      <c r="H357" s="172">
        <f>SUM(H358:H363)</f>
        <v>18578</v>
      </c>
      <c r="I357" s="39">
        <f t="shared" ref="I357:I363" si="153">IF(G357&gt;0,H357/G357*100,"-")</f>
        <v>31.226678320502909</v>
      </c>
      <c r="J357" s="172">
        <f>SUM(J358:J363)</f>
        <v>0</v>
      </c>
      <c r="K357" s="172">
        <f>SUM(K358:K363)</f>
        <v>47595</v>
      </c>
      <c r="L357" s="230">
        <f>SUM(L358:L363)</f>
        <v>47595</v>
      </c>
      <c r="M357" s="173">
        <f>SUM(M358:M363)</f>
        <v>18577.72</v>
      </c>
      <c r="N357" s="39">
        <f t="shared" ref="N357:N363" si="154">IF(L357&gt;0,M357/L357*100,"-")</f>
        <v>39.032923626431348</v>
      </c>
      <c r="O357" s="406" t="s">
        <v>507</v>
      </c>
      <c r="P357" s="170"/>
    </row>
    <row r="358" spans="1:16" s="15" customFormat="1" ht="11.1" customHeight="1" outlineLevel="1" x14ac:dyDescent="0.2">
      <c r="A358" s="409"/>
      <c r="B358" s="76" t="s">
        <v>10</v>
      </c>
      <c r="C358" s="149" t="s">
        <v>82</v>
      </c>
      <c r="D358" s="392"/>
      <c r="E358" s="392"/>
      <c r="F358" s="79" t="s">
        <v>15</v>
      </c>
      <c r="G358" s="166">
        <v>0</v>
      </c>
      <c r="H358" s="166">
        <f t="shared" ref="H358:H363" si="155">ROUNDUP(0+M358,0)</f>
        <v>0</v>
      </c>
      <c r="I358" s="81" t="str">
        <f t="shared" si="153"/>
        <v>-</v>
      </c>
      <c r="J358" s="139">
        <v>0</v>
      </c>
      <c r="K358" s="139">
        <f t="shared" ref="K358" si="156">L358-J358</f>
        <v>0</v>
      </c>
      <c r="L358" s="139">
        <v>0</v>
      </c>
      <c r="M358" s="80">
        <v>0</v>
      </c>
      <c r="N358" s="81" t="str">
        <f t="shared" si="154"/>
        <v>-</v>
      </c>
      <c r="O358" s="407"/>
      <c r="P358" s="170"/>
    </row>
    <row r="359" spans="1:16" s="15" customFormat="1" ht="11.1" customHeight="1" outlineLevel="1" x14ac:dyDescent="0.2">
      <c r="A359" s="409"/>
      <c r="B359" s="76" t="s">
        <v>11</v>
      </c>
      <c r="C359" s="82" t="s">
        <v>83</v>
      </c>
      <c r="D359" s="392"/>
      <c r="E359" s="392"/>
      <c r="F359" s="79" t="s">
        <v>7</v>
      </c>
      <c r="G359" s="166">
        <v>59494</v>
      </c>
      <c r="H359" s="166">
        <f t="shared" si="155"/>
        <v>18578</v>
      </c>
      <c r="I359" s="81">
        <f t="shared" si="153"/>
        <v>31.226678320502909</v>
      </c>
      <c r="J359" s="139">
        <v>0</v>
      </c>
      <c r="K359" s="139">
        <f t="shared" ref="K359:K363" si="157">L359-J359</f>
        <v>47595</v>
      </c>
      <c r="L359" s="139">
        <v>47595</v>
      </c>
      <c r="M359" s="80">
        <v>18577.72</v>
      </c>
      <c r="N359" s="81">
        <f t="shared" si="154"/>
        <v>39.032923626431348</v>
      </c>
      <c r="O359" s="407"/>
      <c r="P359" s="170"/>
    </row>
    <row r="360" spans="1:16" s="15" customFormat="1" ht="11.1" customHeight="1" outlineLevel="1" x14ac:dyDescent="0.2">
      <c r="A360" s="207"/>
      <c r="B360" s="76" t="s">
        <v>12</v>
      </c>
      <c r="C360" s="82" t="s">
        <v>444</v>
      </c>
      <c r="D360" s="109"/>
      <c r="E360" s="184"/>
      <c r="F360" s="79" t="s">
        <v>8</v>
      </c>
      <c r="G360" s="166">
        <v>0</v>
      </c>
      <c r="H360" s="139">
        <f t="shared" si="155"/>
        <v>0</v>
      </c>
      <c r="I360" s="81" t="str">
        <f t="shared" si="153"/>
        <v>-</v>
      </c>
      <c r="J360" s="139">
        <v>0</v>
      </c>
      <c r="K360" s="139">
        <f t="shared" si="157"/>
        <v>0</v>
      </c>
      <c r="L360" s="139">
        <v>0</v>
      </c>
      <c r="M360" s="80">
        <v>0</v>
      </c>
      <c r="N360" s="81" t="str">
        <f t="shared" si="154"/>
        <v>-</v>
      </c>
      <c r="O360" s="407"/>
      <c r="P360" s="170"/>
    </row>
    <row r="361" spans="1:16" s="15" customFormat="1" ht="11.1" customHeight="1" outlineLevel="1" x14ac:dyDescent="0.2">
      <c r="A361" s="207"/>
      <c r="B361" s="76" t="s">
        <v>23</v>
      </c>
      <c r="C361" s="169" t="s">
        <v>445</v>
      </c>
      <c r="D361" s="109"/>
      <c r="E361" s="184"/>
      <c r="F361" s="79" t="s">
        <v>22</v>
      </c>
      <c r="G361" s="166">
        <v>0</v>
      </c>
      <c r="H361" s="166">
        <f t="shared" si="155"/>
        <v>0</v>
      </c>
      <c r="I361" s="81" t="str">
        <f t="shared" si="153"/>
        <v>-</v>
      </c>
      <c r="J361" s="139">
        <v>0</v>
      </c>
      <c r="K361" s="139">
        <f t="shared" si="157"/>
        <v>0</v>
      </c>
      <c r="L361" s="139">
        <v>0</v>
      </c>
      <c r="M361" s="80">
        <v>0</v>
      </c>
      <c r="N361" s="81" t="str">
        <f t="shared" si="154"/>
        <v>-</v>
      </c>
      <c r="O361" s="407"/>
      <c r="P361" s="170"/>
    </row>
    <row r="362" spans="1:16" s="15" customFormat="1" ht="11.1" customHeight="1" outlineLevel="1" x14ac:dyDescent="0.2">
      <c r="A362" s="207"/>
      <c r="B362" s="76"/>
      <c r="C362" s="82" t="s">
        <v>446</v>
      </c>
      <c r="D362" s="109"/>
      <c r="E362" s="184"/>
      <c r="F362" s="79" t="s">
        <v>45</v>
      </c>
      <c r="G362" s="166">
        <v>0</v>
      </c>
      <c r="H362" s="139">
        <f t="shared" si="155"/>
        <v>0</v>
      </c>
      <c r="I362" s="167" t="str">
        <f t="shared" si="153"/>
        <v>-</v>
      </c>
      <c r="J362" s="139">
        <v>0</v>
      </c>
      <c r="K362" s="139">
        <f t="shared" si="157"/>
        <v>0</v>
      </c>
      <c r="L362" s="139">
        <v>0</v>
      </c>
      <c r="M362" s="80">
        <v>0</v>
      </c>
      <c r="N362" s="81" t="str">
        <f t="shared" si="154"/>
        <v>-</v>
      </c>
      <c r="O362" s="407"/>
      <c r="P362" s="170"/>
    </row>
    <row r="363" spans="1:16" s="15" customFormat="1" ht="11.1" customHeight="1" outlineLevel="1" x14ac:dyDescent="0.2">
      <c r="A363" s="207"/>
      <c r="B363" s="76"/>
      <c r="C363" s="77"/>
      <c r="D363" s="109"/>
      <c r="E363" s="184"/>
      <c r="F363" s="79" t="s">
        <v>365</v>
      </c>
      <c r="G363" s="166">
        <v>0</v>
      </c>
      <c r="H363" s="139">
        <f t="shared" si="155"/>
        <v>0</v>
      </c>
      <c r="I363" s="167" t="str">
        <f t="shared" si="153"/>
        <v>-</v>
      </c>
      <c r="J363" s="139">
        <v>0</v>
      </c>
      <c r="K363" s="139">
        <f t="shared" si="157"/>
        <v>0</v>
      </c>
      <c r="L363" s="139">
        <v>0</v>
      </c>
      <c r="M363" s="80">
        <v>0</v>
      </c>
      <c r="N363" s="81" t="str">
        <f t="shared" si="154"/>
        <v>-</v>
      </c>
      <c r="O363" s="407"/>
      <c r="P363" s="170"/>
    </row>
    <row r="364" spans="1:16" s="15" customFormat="1" ht="3.95" customHeight="1" outlineLevel="1" x14ac:dyDescent="0.2">
      <c r="A364" s="234"/>
      <c r="B364" s="85"/>
      <c r="C364" s="178"/>
      <c r="D364" s="218"/>
      <c r="E364" s="185"/>
      <c r="F364" s="206"/>
      <c r="G364" s="168"/>
      <c r="H364" s="168"/>
      <c r="I364" s="176"/>
      <c r="J364" s="168"/>
      <c r="K364" s="168"/>
      <c r="L364" s="141"/>
      <c r="M364" s="177"/>
      <c r="N364" s="88"/>
      <c r="O364" s="330"/>
      <c r="P364" s="170"/>
    </row>
    <row r="365" spans="1:16" s="15" customFormat="1" ht="3.95" customHeight="1" outlineLevel="1" x14ac:dyDescent="0.2">
      <c r="A365" s="187"/>
      <c r="B365" s="72"/>
      <c r="C365" s="73"/>
      <c r="D365" s="181"/>
      <c r="E365" s="223"/>
      <c r="F365" s="226"/>
      <c r="G365" s="224"/>
      <c r="H365" s="224"/>
      <c r="I365" s="75"/>
      <c r="J365" s="224"/>
      <c r="K365" s="224"/>
      <c r="L365" s="136"/>
      <c r="M365" s="220"/>
      <c r="N365" s="75"/>
      <c r="O365" s="331"/>
    </row>
    <row r="366" spans="1:16" s="15" customFormat="1" ht="11.1" customHeight="1" outlineLevel="1" x14ac:dyDescent="0.2">
      <c r="A366" s="409" t="s">
        <v>529</v>
      </c>
      <c r="B366" s="76" t="s">
        <v>9</v>
      </c>
      <c r="C366" s="149" t="s">
        <v>55</v>
      </c>
      <c r="D366" s="392" t="s">
        <v>279</v>
      </c>
      <c r="E366" s="392" t="s">
        <v>54</v>
      </c>
      <c r="F366" s="78" t="s">
        <v>157</v>
      </c>
      <c r="G366" s="165">
        <f>SUM(G367:G372)</f>
        <v>286925</v>
      </c>
      <c r="H366" s="165">
        <f>SUM(H367:H372)</f>
        <v>186676</v>
      </c>
      <c r="I366" s="39">
        <f t="shared" ref="I366:I372" si="158">IF(G366&gt;0,H366/G366*100,"-")</f>
        <v>65.060904417530722</v>
      </c>
      <c r="J366" s="165">
        <f>SUM(J367:J372)</f>
        <v>170915</v>
      </c>
      <c r="K366" s="165">
        <f>SUM(K367:K372)</f>
        <v>15753</v>
      </c>
      <c r="L366" s="165">
        <f>SUM(L367:L372)</f>
        <v>186668</v>
      </c>
      <c r="M366" s="38">
        <f>SUM(M367:M372)</f>
        <v>116508.13</v>
      </c>
      <c r="N366" s="39">
        <f t="shared" ref="N366:N369" si="159">IF(L366&gt;0,M366/L366*100,"-")</f>
        <v>62.414623824115544</v>
      </c>
      <c r="O366" s="406" t="s">
        <v>507</v>
      </c>
    </row>
    <row r="367" spans="1:16" s="15" customFormat="1" ht="11.1" customHeight="1" outlineLevel="1" x14ac:dyDescent="0.2">
      <c r="A367" s="409"/>
      <c r="B367" s="76" t="s">
        <v>10</v>
      </c>
      <c r="C367" s="149" t="s">
        <v>75</v>
      </c>
      <c r="D367" s="392"/>
      <c r="E367" s="392"/>
      <c r="F367" s="79" t="s">
        <v>15</v>
      </c>
      <c r="G367" s="166">
        <v>0</v>
      </c>
      <c r="H367" s="139">
        <f t="shared" ref="H367:H372" si="160">ROUNDUP(0+M367,0)</f>
        <v>0</v>
      </c>
      <c r="I367" s="81" t="str">
        <f t="shared" si="158"/>
        <v>-</v>
      </c>
      <c r="J367" s="139">
        <v>0</v>
      </c>
      <c r="K367" s="139">
        <f t="shared" ref="K367" si="161">L367-J367</f>
        <v>0</v>
      </c>
      <c r="L367" s="139">
        <v>0</v>
      </c>
      <c r="M367" s="80">
        <v>0</v>
      </c>
      <c r="N367" s="81" t="str">
        <f t="shared" si="159"/>
        <v>-</v>
      </c>
      <c r="O367" s="407"/>
    </row>
    <row r="368" spans="1:16" s="15" customFormat="1" ht="11.1" customHeight="1" outlineLevel="1" x14ac:dyDescent="0.2">
      <c r="A368" s="409"/>
      <c r="B368" s="76" t="s">
        <v>11</v>
      </c>
      <c r="C368" s="82" t="s">
        <v>78</v>
      </c>
      <c r="D368" s="392"/>
      <c r="E368" s="392"/>
      <c r="F368" s="79" t="s">
        <v>7</v>
      </c>
      <c r="G368" s="166">
        <v>280732</v>
      </c>
      <c r="H368" s="166">
        <f>ROUNDUP(69711+M368,0)</f>
        <v>185462</v>
      </c>
      <c r="I368" s="81">
        <f t="shared" si="158"/>
        <v>66.063719134263295</v>
      </c>
      <c r="J368" s="139">
        <v>169799</v>
      </c>
      <c r="K368" s="139">
        <f t="shared" ref="K368:K372" si="162">L368-J368</f>
        <v>15645</v>
      </c>
      <c r="L368" s="139">
        <v>185444</v>
      </c>
      <c r="M368" s="80">
        <v>115750.56</v>
      </c>
      <c r="N368" s="81">
        <f t="shared" si="159"/>
        <v>62.41806690968702</v>
      </c>
      <c r="O368" s="407"/>
    </row>
    <row r="369" spans="1:16" s="15" customFormat="1" ht="11.1" customHeight="1" outlineLevel="1" x14ac:dyDescent="0.2">
      <c r="A369" s="118"/>
      <c r="B369" s="76" t="s">
        <v>12</v>
      </c>
      <c r="C369" s="82" t="s">
        <v>450</v>
      </c>
      <c r="D369" s="109"/>
      <c r="E369" s="184"/>
      <c r="F369" s="79" t="s">
        <v>8</v>
      </c>
      <c r="G369" s="166">
        <v>0</v>
      </c>
      <c r="H369" s="139">
        <f t="shared" si="160"/>
        <v>0</v>
      </c>
      <c r="I369" s="81" t="str">
        <f t="shared" si="158"/>
        <v>-</v>
      </c>
      <c r="J369" s="139">
        <v>0</v>
      </c>
      <c r="K369" s="139">
        <f t="shared" si="162"/>
        <v>0</v>
      </c>
      <c r="L369" s="139">
        <v>0</v>
      </c>
      <c r="M369" s="80">
        <v>0</v>
      </c>
      <c r="N369" s="81" t="str">
        <f t="shared" si="159"/>
        <v>-</v>
      </c>
      <c r="O369" s="407"/>
    </row>
    <row r="370" spans="1:16" s="15" customFormat="1" ht="11.1" customHeight="1" outlineLevel="1" x14ac:dyDescent="0.2">
      <c r="A370" s="118"/>
      <c r="B370" s="76"/>
      <c r="C370" s="82" t="s">
        <v>320</v>
      </c>
      <c r="D370" s="109"/>
      <c r="E370" s="184"/>
      <c r="F370" s="79" t="s">
        <v>22</v>
      </c>
      <c r="G370" s="166">
        <v>6193</v>
      </c>
      <c r="H370" s="166">
        <f>ROUNDUP(456+M370,0)</f>
        <v>1214</v>
      </c>
      <c r="I370" s="81">
        <f t="shared" si="158"/>
        <v>19.602777329242691</v>
      </c>
      <c r="J370" s="139">
        <v>1116</v>
      </c>
      <c r="K370" s="139">
        <f t="shared" si="162"/>
        <v>108</v>
      </c>
      <c r="L370" s="139">
        <v>1224</v>
      </c>
      <c r="M370" s="80">
        <v>757.57</v>
      </c>
      <c r="N370" s="81">
        <f>IF(L370&gt;0,M370/L370*100,"-")</f>
        <v>61.892973856209153</v>
      </c>
      <c r="O370" s="407"/>
    </row>
    <row r="371" spans="1:16" s="15" customFormat="1" ht="11.1" customHeight="1" outlineLevel="1" x14ac:dyDescent="0.2">
      <c r="A371" s="118"/>
      <c r="B371" s="76" t="s">
        <v>23</v>
      </c>
      <c r="C371" s="82" t="s">
        <v>321</v>
      </c>
      <c r="D371" s="109"/>
      <c r="E371" s="184"/>
      <c r="F371" s="79" t="s">
        <v>45</v>
      </c>
      <c r="G371" s="166">
        <v>0</v>
      </c>
      <c r="H371" s="139">
        <f t="shared" si="160"/>
        <v>0</v>
      </c>
      <c r="I371" s="81" t="str">
        <f t="shared" si="158"/>
        <v>-</v>
      </c>
      <c r="J371" s="139">
        <v>0</v>
      </c>
      <c r="K371" s="139">
        <f t="shared" si="162"/>
        <v>0</v>
      </c>
      <c r="L371" s="139">
        <v>0</v>
      </c>
      <c r="M371" s="80">
        <v>0</v>
      </c>
      <c r="N371" s="81" t="str">
        <f>IF(L371&gt;0,M371/L371*100,"-")</f>
        <v>-</v>
      </c>
      <c r="O371" s="407"/>
    </row>
    <row r="372" spans="1:16" s="15" customFormat="1" ht="11.1" customHeight="1" outlineLevel="1" x14ac:dyDescent="0.2">
      <c r="A372" s="118"/>
      <c r="B372" s="76"/>
      <c r="C372" s="82" t="s">
        <v>322</v>
      </c>
      <c r="D372" s="109"/>
      <c r="E372" s="184"/>
      <c r="F372" s="79" t="s">
        <v>365</v>
      </c>
      <c r="G372" s="166">
        <v>0</v>
      </c>
      <c r="H372" s="139">
        <f t="shared" si="160"/>
        <v>0</v>
      </c>
      <c r="I372" s="81" t="str">
        <f t="shared" si="158"/>
        <v>-</v>
      </c>
      <c r="J372" s="139">
        <v>0</v>
      </c>
      <c r="K372" s="139">
        <f t="shared" si="162"/>
        <v>0</v>
      </c>
      <c r="L372" s="139">
        <v>0</v>
      </c>
      <c r="M372" s="80">
        <v>0</v>
      </c>
      <c r="N372" s="81" t="str">
        <f t="shared" ref="N372" si="163">IF(L372&gt;0,M372/L372*100,"-")</f>
        <v>-</v>
      </c>
      <c r="O372" s="407"/>
    </row>
    <row r="373" spans="1:16" s="15" customFormat="1" ht="3.95" customHeight="1" outlineLevel="1" x14ac:dyDescent="0.2">
      <c r="A373" s="158"/>
      <c r="B373" s="85"/>
      <c r="C373" s="86"/>
      <c r="D373" s="182"/>
      <c r="E373" s="183"/>
      <c r="F373" s="206"/>
      <c r="G373" s="168"/>
      <c r="H373" s="168"/>
      <c r="I373" s="88"/>
      <c r="J373" s="168"/>
      <c r="K373" s="168"/>
      <c r="L373" s="141"/>
      <c r="M373" s="164"/>
      <c r="N373" s="88"/>
      <c r="O373" s="332"/>
    </row>
    <row r="374" spans="1:16" s="15" customFormat="1" ht="3.95" customHeight="1" outlineLevel="1" x14ac:dyDescent="0.2">
      <c r="A374" s="187"/>
      <c r="B374" s="72"/>
      <c r="C374" s="73"/>
      <c r="D374" s="181"/>
      <c r="E374" s="223"/>
      <c r="F374" s="226"/>
      <c r="G374" s="224"/>
      <c r="H374" s="224"/>
      <c r="I374" s="75"/>
      <c r="J374" s="224"/>
      <c r="K374" s="224"/>
      <c r="L374" s="136"/>
      <c r="M374" s="220"/>
      <c r="N374" s="75"/>
      <c r="O374" s="331"/>
    </row>
    <row r="375" spans="1:16" s="15" customFormat="1" ht="11.1" customHeight="1" outlineLevel="1" x14ac:dyDescent="0.2">
      <c r="A375" s="409" t="s">
        <v>530</v>
      </c>
      <c r="B375" s="76" t="s">
        <v>9</v>
      </c>
      <c r="C375" s="149" t="s">
        <v>443</v>
      </c>
      <c r="D375" s="392" t="s">
        <v>182</v>
      </c>
      <c r="E375" s="392" t="s">
        <v>198</v>
      </c>
      <c r="F375" s="78" t="s">
        <v>157</v>
      </c>
      <c r="G375" s="165">
        <f>SUM(G376:G381)</f>
        <v>88127</v>
      </c>
      <c r="H375" s="165">
        <f>SUM(H376:H381)</f>
        <v>87150</v>
      </c>
      <c r="I375" s="39">
        <f t="shared" ref="I375:I380" si="164">IF(G375&gt;0,H375/G375*100,"-")</f>
        <v>98.891372678066887</v>
      </c>
      <c r="J375" s="165">
        <f>SUM(J376:J381)</f>
        <v>17625</v>
      </c>
      <c r="K375" s="165">
        <f>SUM(K376:K381)</f>
        <v>28093</v>
      </c>
      <c r="L375" s="165">
        <f>SUM(L376:L381)</f>
        <v>45718</v>
      </c>
      <c r="M375" s="38">
        <f>SUM(M376:M381)</f>
        <v>44740.58</v>
      </c>
      <c r="N375" s="39">
        <f t="shared" ref="N375:N381" si="165">IF(L375&gt;0,M375/L375*100,"-")</f>
        <v>97.862067457019123</v>
      </c>
      <c r="O375" s="406" t="s">
        <v>507</v>
      </c>
    </row>
    <row r="376" spans="1:16" s="15" customFormat="1" ht="11.1" customHeight="1" outlineLevel="1" x14ac:dyDescent="0.2">
      <c r="A376" s="409"/>
      <c r="B376" s="76" t="s">
        <v>10</v>
      </c>
      <c r="C376" s="149" t="s">
        <v>82</v>
      </c>
      <c r="D376" s="392"/>
      <c r="E376" s="392"/>
      <c r="F376" s="79" t="s">
        <v>15</v>
      </c>
      <c r="G376" s="166">
        <v>0</v>
      </c>
      <c r="H376" s="139">
        <f>ROUNDUP(0+M376,0)</f>
        <v>0</v>
      </c>
      <c r="I376" s="81" t="str">
        <f t="shared" si="164"/>
        <v>-</v>
      </c>
      <c r="J376" s="139">
        <v>0</v>
      </c>
      <c r="K376" s="139">
        <f t="shared" ref="K376" si="166">L376-J376</f>
        <v>0</v>
      </c>
      <c r="L376" s="139">
        <v>0</v>
      </c>
      <c r="M376" s="80">
        <v>0</v>
      </c>
      <c r="N376" s="81" t="str">
        <f t="shared" si="165"/>
        <v>-</v>
      </c>
      <c r="O376" s="407"/>
    </row>
    <row r="377" spans="1:16" s="15" customFormat="1" ht="11.1" customHeight="1" outlineLevel="1" x14ac:dyDescent="0.2">
      <c r="A377" s="409"/>
      <c r="B377" s="76" t="s">
        <v>11</v>
      </c>
      <c r="C377" s="82" t="s">
        <v>83</v>
      </c>
      <c r="D377" s="392"/>
      <c r="E377" s="392"/>
      <c r="F377" s="79" t="s">
        <v>7</v>
      </c>
      <c r="G377" s="166">
        <v>88127</v>
      </c>
      <c r="H377" s="166">
        <f>ROUNDUP(42409+M377,0)</f>
        <v>87150</v>
      </c>
      <c r="I377" s="81">
        <f t="shared" si="164"/>
        <v>98.891372678066887</v>
      </c>
      <c r="J377" s="139">
        <v>17625</v>
      </c>
      <c r="K377" s="139">
        <f t="shared" ref="K377:K381" si="167">L377-J377</f>
        <v>28093</v>
      </c>
      <c r="L377" s="139">
        <v>45718</v>
      </c>
      <c r="M377" s="80">
        <v>44740.58</v>
      </c>
      <c r="N377" s="81">
        <f t="shared" si="165"/>
        <v>97.862067457019123</v>
      </c>
      <c r="O377" s="407"/>
    </row>
    <row r="378" spans="1:16" s="15" customFormat="1" ht="11.1" customHeight="1" outlineLevel="1" x14ac:dyDescent="0.2">
      <c r="A378" s="118"/>
      <c r="B378" s="76" t="s">
        <v>12</v>
      </c>
      <c r="C378" s="82" t="s">
        <v>447</v>
      </c>
      <c r="D378" s="109"/>
      <c r="E378" s="184"/>
      <c r="F378" s="79" t="s">
        <v>8</v>
      </c>
      <c r="G378" s="166">
        <v>0</v>
      </c>
      <c r="H378" s="139">
        <f>ROUNDUP(0+M378,0)</f>
        <v>0</v>
      </c>
      <c r="I378" s="81" t="str">
        <f t="shared" si="164"/>
        <v>-</v>
      </c>
      <c r="J378" s="139">
        <v>0</v>
      </c>
      <c r="K378" s="139">
        <f t="shared" si="167"/>
        <v>0</v>
      </c>
      <c r="L378" s="139">
        <v>0</v>
      </c>
      <c r="M378" s="80">
        <v>0</v>
      </c>
      <c r="N378" s="81" t="str">
        <f t="shared" si="165"/>
        <v>-</v>
      </c>
      <c r="O378" s="407"/>
    </row>
    <row r="379" spans="1:16" s="15" customFormat="1" ht="11.1" customHeight="1" outlineLevel="1" x14ac:dyDescent="0.2">
      <c r="A379" s="118"/>
      <c r="B379" s="76"/>
      <c r="C379" s="82" t="s">
        <v>448</v>
      </c>
      <c r="D379" s="109"/>
      <c r="E379" s="184"/>
      <c r="F379" s="79" t="s">
        <v>22</v>
      </c>
      <c r="G379" s="166">
        <v>0</v>
      </c>
      <c r="H379" s="166">
        <v>0</v>
      </c>
      <c r="I379" s="81" t="str">
        <f t="shared" si="164"/>
        <v>-</v>
      </c>
      <c r="J379" s="139">
        <v>0</v>
      </c>
      <c r="K379" s="139">
        <f t="shared" si="167"/>
        <v>0</v>
      </c>
      <c r="L379" s="139">
        <v>0</v>
      </c>
      <c r="M379" s="80">
        <v>0</v>
      </c>
      <c r="N379" s="81" t="str">
        <f>IF(L379&gt;0,M379/L379*100,"-")</f>
        <v>-</v>
      </c>
      <c r="O379" s="407"/>
    </row>
    <row r="380" spans="1:16" s="15" customFormat="1" ht="11.1" customHeight="1" outlineLevel="1" x14ac:dyDescent="0.2">
      <c r="A380" s="118"/>
      <c r="B380" s="76" t="s">
        <v>23</v>
      </c>
      <c r="C380" s="82" t="s">
        <v>199</v>
      </c>
      <c r="D380" s="109"/>
      <c r="E380" s="184"/>
      <c r="F380" s="79" t="s">
        <v>45</v>
      </c>
      <c r="G380" s="166">
        <v>0</v>
      </c>
      <c r="H380" s="139">
        <f>ROUNDUP(0+M380,0)</f>
        <v>0</v>
      </c>
      <c r="I380" s="81" t="str">
        <f t="shared" si="164"/>
        <v>-</v>
      </c>
      <c r="J380" s="139">
        <v>0</v>
      </c>
      <c r="K380" s="139">
        <f t="shared" si="167"/>
        <v>0</v>
      </c>
      <c r="L380" s="139">
        <v>0</v>
      </c>
      <c r="M380" s="80">
        <v>0</v>
      </c>
      <c r="N380" s="81" t="str">
        <f>IF(L380&gt;0,M380/L380*100,"-")</f>
        <v>-</v>
      </c>
      <c r="O380" s="407"/>
    </row>
    <row r="381" spans="1:16" s="15" customFormat="1" ht="11.1" customHeight="1" outlineLevel="1" x14ac:dyDescent="0.2">
      <c r="A381" s="118"/>
      <c r="B381" s="76"/>
      <c r="C381" s="82" t="s">
        <v>449</v>
      </c>
      <c r="D381" s="109"/>
      <c r="E381" s="184"/>
      <c r="F381" s="79" t="s">
        <v>365</v>
      </c>
      <c r="G381" s="166">
        <v>0</v>
      </c>
      <c r="H381" s="139">
        <f>ROUNDUP(0+M381,0)</f>
        <v>0</v>
      </c>
      <c r="I381" s="81" t="str">
        <f t="shared" ref="I381" si="168">IF(G381&gt;0,H381/G381*100,"-")</f>
        <v>-</v>
      </c>
      <c r="J381" s="139">
        <v>0</v>
      </c>
      <c r="K381" s="139">
        <f t="shared" si="167"/>
        <v>0</v>
      </c>
      <c r="L381" s="139">
        <v>0</v>
      </c>
      <c r="M381" s="80">
        <v>0</v>
      </c>
      <c r="N381" s="81" t="str">
        <f t="shared" si="165"/>
        <v>-</v>
      </c>
      <c r="O381" s="407"/>
    </row>
    <row r="382" spans="1:16" s="15" customFormat="1" ht="3.95" customHeight="1" outlineLevel="1" x14ac:dyDescent="0.2">
      <c r="A382" s="158"/>
      <c r="B382" s="85"/>
      <c r="C382" s="86"/>
      <c r="D382" s="182"/>
      <c r="E382" s="183"/>
      <c r="F382" s="206"/>
      <c r="G382" s="168"/>
      <c r="H382" s="168"/>
      <c r="I382" s="88"/>
      <c r="J382" s="168"/>
      <c r="K382" s="168"/>
      <c r="L382" s="141"/>
      <c r="M382" s="164"/>
      <c r="N382" s="88"/>
      <c r="O382" s="332"/>
    </row>
    <row r="383" spans="1:16" s="15" customFormat="1" ht="3.95" customHeight="1" outlineLevel="1" x14ac:dyDescent="0.2">
      <c r="A383" s="72"/>
      <c r="B383" s="72"/>
      <c r="C383" s="73"/>
      <c r="D383" s="181"/>
      <c r="E383" s="181"/>
      <c r="F383" s="226"/>
      <c r="G383" s="224"/>
      <c r="H383" s="224"/>
      <c r="I383" s="225"/>
      <c r="J383" s="224"/>
      <c r="K383" s="224"/>
      <c r="L383" s="136"/>
      <c r="M383" s="231"/>
      <c r="N383" s="75"/>
      <c r="O383" s="331"/>
      <c r="P383" s="170"/>
    </row>
    <row r="384" spans="1:16" s="15" customFormat="1" ht="11.1" customHeight="1" outlineLevel="1" x14ac:dyDescent="0.2">
      <c r="A384" s="409" t="s">
        <v>531</v>
      </c>
      <c r="B384" s="76" t="s">
        <v>9</v>
      </c>
      <c r="C384" s="149" t="s">
        <v>55</v>
      </c>
      <c r="D384" s="392" t="s">
        <v>182</v>
      </c>
      <c r="E384" s="392" t="s">
        <v>54</v>
      </c>
      <c r="F384" s="78" t="s">
        <v>157</v>
      </c>
      <c r="G384" s="172">
        <f>SUM(G385:G390)</f>
        <v>366964</v>
      </c>
      <c r="H384" s="172">
        <f>SUM(H385:H390)</f>
        <v>359586</v>
      </c>
      <c r="I384" s="39">
        <f t="shared" ref="I384:I390" si="169">IF(G384&gt;0,H384/G384*100,"-")</f>
        <v>97.98944855626165</v>
      </c>
      <c r="J384" s="172">
        <f>SUM(J385:J390)</f>
        <v>27655</v>
      </c>
      <c r="K384" s="172">
        <f>SUM(K385:K390)</f>
        <v>12026</v>
      </c>
      <c r="L384" s="172">
        <f>SUM(L385:L390)</f>
        <v>39681</v>
      </c>
      <c r="M384" s="173">
        <f>SUM(M385:M390)</f>
        <v>32302.21</v>
      </c>
      <c r="N384" s="39">
        <f t="shared" ref="N384:N390" si="170">IF(L384&gt;0,M384/L384*100,"-")</f>
        <v>81.404727703434887</v>
      </c>
      <c r="O384" s="406" t="s">
        <v>508</v>
      </c>
      <c r="P384" s="170"/>
    </row>
    <row r="385" spans="1:16" s="15" customFormat="1" ht="11.1" customHeight="1" outlineLevel="1" x14ac:dyDescent="0.2">
      <c r="A385" s="409"/>
      <c r="B385" s="76" t="s">
        <v>10</v>
      </c>
      <c r="C385" s="149" t="s">
        <v>75</v>
      </c>
      <c r="D385" s="392"/>
      <c r="E385" s="392"/>
      <c r="F385" s="79" t="s">
        <v>15</v>
      </c>
      <c r="G385" s="166">
        <v>0</v>
      </c>
      <c r="H385" s="139">
        <f>ROUNDUP(0+M385,0)</f>
        <v>0</v>
      </c>
      <c r="I385" s="81" t="str">
        <f t="shared" si="169"/>
        <v>-</v>
      </c>
      <c r="J385" s="139">
        <v>0</v>
      </c>
      <c r="K385" s="139">
        <f t="shared" ref="K385" si="171">L385-J385</f>
        <v>0</v>
      </c>
      <c r="L385" s="139">
        <v>0</v>
      </c>
      <c r="M385" s="80">
        <v>0</v>
      </c>
      <c r="N385" s="81" t="str">
        <f t="shared" si="170"/>
        <v>-</v>
      </c>
      <c r="O385" s="407"/>
      <c r="P385" s="170"/>
    </row>
    <row r="386" spans="1:16" s="15" customFormat="1" ht="11.1" customHeight="1" outlineLevel="1" x14ac:dyDescent="0.2">
      <c r="A386" s="409"/>
      <c r="B386" s="76" t="s">
        <v>11</v>
      </c>
      <c r="C386" s="82" t="s">
        <v>80</v>
      </c>
      <c r="D386" s="392"/>
      <c r="E386" s="392"/>
      <c r="F386" s="79" t="s">
        <v>7</v>
      </c>
      <c r="G386" s="166">
        <v>366964</v>
      </c>
      <c r="H386" s="378">
        <f>ROUNDUP(327283+M386,0)</f>
        <v>359586</v>
      </c>
      <c r="I386" s="81">
        <f t="shared" si="169"/>
        <v>97.98944855626165</v>
      </c>
      <c r="J386" s="139">
        <v>27655</v>
      </c>
      <c r="K386" s="139">
        <f t="shared" ref="K386:K390" si="172">L386-J386</f>
        <v>12026</v>
      </c>
      <c r="L386" s="139">
        <v>39681</v>
      </c>
      <c r="M386" s="80">
        <v>32302.21</v>
      </c>
      <c r="N386" s="81">
        <f t="shared" si="170"/>
        <v>81.404727703434887</v>
      </c>
      <c r="O386" s="407"/>
      <c r="P386" s="170"/>
    </row>
    <row r="387" spans="1:16" s="15" customFormat="1" ht="11.1" customHeight="1" outlineLevel="1" x14ac:dyDescent="0.2">
      <c r="A387" s="118"/>
      <c r="B387" s="76" t="s">
        <v>12</v>
      </c>
      <c r="C387" s="82" t="s">
        <v>195</v>
      </c>
      <c r="D387" s="109"/>
      <c r="E387" s="109"/>
      <c r="F387" s="79" t="s">
        <v>8</v>
      </c>
      <c r="G387" s="166">
        <v>0</v>
      </c>
      <c r="H387" s="139">
        <f>ROUNDUP(0+M387,0)</f>
        <v>0</v>
      </c>
      <c r="I387" s="81" t="str">
        <f t="shared" si="169"/>
        <v>-</v>
      </c>
      <c r="J387" s="139">
        <v>0</v>
      </c>
      <c r="K387" s="139">
        <f t="shared" si="172"/>
        <v>0</v>
      </c>
      <c r="L387" s="139">
        <v>0</v>
      </c>
      <c r="M387" s="80">
        <v>0</v>
      </c>
      <c r="N387" s="81" t="str">
        <f t="shared" si="170"/>
        <v>-</v>
      </c>
      <c r="O387" s="407"/>
      <c r="P387" s="170"/>
    </row>
    <row r="388" spans="1:16" s="15" customFormat="1" ht="11.1" customHeight="1" outlineLevel="1" x14ac:dyDescent="0.2">
      <c r="A388" s="118"/>
      <c r="B388" s="76" t="s">
        <v>23</v>
      </c>
      <c r="C388" s="82" t="s">
        <v>183</v>
      </c>
      <c r="D388" s="109"/>
      <c r="E388" s="109"/>
      <c r="F388" s="79" t="s">
        <v>22</v>
      </c>
      <c r="G388" s="166">
        <v>0</v>
      </c>
      <c r="H388" s="139">
        <f>ROUNDUP(0+M388,0)</f>
        <v>0</v>
      </c>
      <c r="I388" s="81" t="str">
        <f t="shared" si="169"/>
        <v>-</v>
      </c>
      <c r="J388" s="139">
        <v>0</v>
      </c>
      <c r="K388" s="139">
        <f t="shared" si="172"/>
        <v>0</v>
      </c>
      <c r="L388" s="139">
        <v>0</v>
      </c>
      <c r="M388" s="80">
        <v>0</v>
      </c>
      <c r="N388" s="81" t="str">
        <f t="shared" si="170"/>
        <v>-</v>
      </c>
      <c r="O388" s="407"/>
      <c r="P388" s="170"/>
    </row>
    <row r="389" spans="1:16" s="15" customFormat="1" ht="11.1" customHeight="1" outlineLevel="1" x14ac:dyDescent="0.2">
      <c r="A389" s="118"/>
      <c r="B389" s="76"/>
      <c r="C389" s="82" t="s">
        <v>184</v>
      </c>
      <c r="D389" s="109"/>
      <c r="E389" s="109"/>
      <c r="F389" s="79" t="s">
        <v>45</v>
      </c>
      <c r="G389" s="166">
        <v>0</v>
      </c>
      <c r="H389" s="139">
        <f>ROUNDUP(0+M389,0)</f>
        <v>0</v>
      </c>
      <c r="I389" s="167" t="str">
        <f t="shared" si="169"/>
        <v>-</v>
      </c>
      <c r="J389" s="139">
        <v>0</v>
      </c>
      <c r="K389" s="139">
        <f t="shared" si="172"/>
        <v>0</v>
      </c>
      <c r="L389" s="139">
        <v>0</v>
      </c>
      <c r="M389" s="80">
        <v>0</v>
      </c>
      <c r="N389" s="81" t="str">
        <f t="shared" si="170"/>
        <v>-</v>
      </c>
      <c r="O389" s="407"/>
      <c r="P389" s="170"/>
    </row>
    <row r="390" spans="1:16" s="15" customFormat="1" ht="11.1" customHeight="1" outlineLevel="1" x14ac:dyDescent="0.2">
      <c r="A390" s="118"/>
      <c r="B390" s="76"/>
      <c r="C390" s="82"/>
      <c r="D390" s="109"/>
      <c r="E390" s="109"/>
      <c r="F390" s="79" t="s">
        <v>365</v>
      </c>
      <c r="G390" s="166">
        <v>0</v>
      </c>
      <c r="H390" s="139">
        <f>ROUNDUP(0+M390,0)</f>
        <v>0</v>
      </c>
      <c r="I390" s="167" t="str">
        <f t="shared" si="169"/>
        <v>-</v>
      </c>
      <c r="J390" s="139">
        <v>0</v>
      </c>
      <c r="K390" s="139">
        <f t="shared" si="172"/>
        <v>0</v>
      </c>
      <c r="L390" s="139">
        <v>0</v>
      </c>
      <c r="M390" s="80">
        <v>0</v>
      </c>
      <c r="N390" s="81" t="str">
        <f t="shared" si="170"/>
        <v>-</v>
      </c>
      <c r="O390" s="407"/>
      <c r="P390" s="170"/>
    </row>
    <row r="391" spans="1:16" s="15" customFormat="1" ht="3.95" customHeight="1" outlineLevel="1" x14ac:dyDescent="0.2">
      <c r="A391" s="158"/>
      <c r="B391" s="85"/>
      <c r="C391" s="175"/>
      <c r="D391" s="182"/>
      <c r="E391" s="182"/>
      <c r="F391" s="206"/>
      <c r="G391" s="168"/>
      <c r="H391" s="168"/>
      <c r="I391" s="176"/>
      <c r="J391" s="168"/>
      <c r="K391" s="168"/>
      <c r="L391" s="141"/>
      <c r="M391" s="177"/>
      <c r="N391" s="88"/>
      <c r="O391" s="330"/>
      <c r="P391" s="170"/>
    </row>
    <row r="392" spans="1:16" s="15" customFormat="1" ht="3.95" customHeight="1" outlineLevel="1" x14ac:dyDescent="0.2">
      <c r="A392" s="72"/>
      <c r="B392" s="72"/>
      <c r="C392" s="73"/>
      <c r="D392" s="233"/>
      <c r="E392" s="233"/>
      <c r="F392" s="226"/>
      <c r="G392" s="224"/>
      <c r="H392" s="224"/>
      <c r="I392" s="227"/>
      <c r="J392" s="224"/>
      <c r="K392" s="229"/>
      <c r="L392" s="136"/>
      <c r="M392" s="231"/>
      <c r="N392" s="156"/>
      <c r="O392" s="331"/>
    </row>
    <row r="393" spans="1:16" s="15" customFormat="1" ht="11.1" customHeight="1" outlineLevel="1" x14ac:dyDescent="0.2">
      <c r="A393" s="391" t="s">
        <v>532</v>
      </c>
      <c r="B393" s="76" t="s">
        <v>9</v>
      </c>
      <c r="C393" s="149" t="s">
        <v>81</v>
      </c>
      <c r="D393" s="392" t="s">
        <v>291</v>
      </c>
      <c r="E393" s="392" t="s">
        <v>201</v>
      </c>
      <c r="F393" s="228" t="s">
        <v>157</v>
      </c>
      <c r="G393" s="138">
        <f>SUM(G394:G399)</f>
        <v>86599</v>
      </c>
      <c r="H393" s="138">
        <f>SUM(H394:H399)</f>
        <v>80985</v>
      </c>
      <c r="I393" s="39">
        <f t="shared" ref="I393:I399" si="173">IF(G393&gt;0,H393/G393*100,"-")</f>
        <v>93.517246157576878</v>
      </c>
      <c r="J393" s="138">
        <f>SUM(J394:J399)</f>
        <v>17320</v>
      </c>
      <c r="K393" s="138">
        <f>SUM(K394:K399)</f>
        <v>36311</v>
      </c>
      <c r="L393" s="138">
        <f>SUM(L394:L399)</f>
        <v>53631</v>
      </c>
      <c r="M393" s="38">
        <f>SUM(M394:M399)</f>
        <v>48016.9</v>
      </c>
      <c r="N393" s="39">
        <f t="shared" ref="N393:N399" si="174">IF(L393&gt;0,M393/L393*100,"-")</f>
        <v>89.531987097014792</v>
      </c>
      <c r="O393" s="406" t="s">
        <v>507</v>
      </c>
    </row>
    <row r="394" spans="1:16" s="15" customFormat="1" ht="11.1" customHeight="1" outlineLevel="1" x14ac:dyDescent="0.2">
      <c r="A394" s="391"/>
      <c r="B394" s="76" t="s">
        <v>10</v>
      </c>
      <c r="C394" s="149" t="s">
        <v>82</v>
      </c>
      <c r="D394" s="392"/>
      <c r="E394" s="392"/>
      <c r="F394" s="79" t="s">
        <v>15</v>
      </c>
      <c r="G394" s="166">
        <v>0</v>
      </c>
      <c r="H394" s="139">
        <f t="shared" ref="H394:H399" si="175">ROUNDUP(0+M394,0)</f>
        <v>0</v>
      </c>
      <c r="I394" s="81" t="str">
        <f t="shared" si="173"/>
        <v>-</v>
      </c>
      <c r="J394" s="139">
        <v>0</v>
      </c>
      <c r="K394" s="139">
        <f t="shared" ref="K394" si="176">L394-J394</f>
        <v>0</v>
      </c>
      <c r="L394" s="139">
        <v>0</v>
      </c>
      <c r="M394" s="80">
        <v>0</v>
      </c>
      <c r="N394" s="81" t="str">
        <f t="shared" si="174"/>
        <v>-</v>
      </c>
      <c r="O394" s="407"/>
    </row>
    <row r="395" spans="1:16" s="15" customFormat="1" ht="11.1" customHeight="1" outlineLevel="1" x14ac:dyDescent="0.2">
      <c r="A395" s="391"/>
      <c r="B395" s="76" t="s">
        <v>11</v>
      </c>
      <c r="C395" s="82" t="s">
        <v>83</v>
      </c>
      <c r="D395" s="392"/>
      <c r="E395" s="392"/>
      <c r="F395" s="79" t="s">
        <v>7</v>
      </c>
      <c r="G395" s="163">
        <v>86599</v>
      </c>
      <c r="H395" s="163">
        <f>ROUNDUP(32968+M395,0)</f>
        <v>80985</v>
      </c>
      <c r="I395" s="81">
        <f t="shared" si="173"/>
        <v>93.517246157576878</v>
      </c>
      <c r="J395" s="139">
        <v>17320</v>
      </c>
      <c r="K395" s="139">
        <f t="shared" ref="K395:K399" si="177">L395-J395</f>
        <v>36311</v>
      </c>
      <c r="L395" s="139">
        <v>53631</v>
      </c>
      <c r="M395" s="80">
        <v>48016.9</v>
      </c>
      <c r="N395" s="81">
        <f t="shared" si="174"/>
        <v>89.531987097014792</v>
      </c>
      <c r="O395" s="407"/>
    </row>
    <row r="396" spans="1:16" s="15" customFormat="1" ht="11.1" customHeight="1" outlineLevel="1" x14ac:dyDescent="0.2">
      <c r="A396" s="118"/>
      <c r="B396" s="76" t="s">
        <v>12</v>
      </c>
      <c r="C396" s="82" t="s">
        <v>292</v>
      </c>
      <c r="D396" s="109"/>
      <c r="E396" s="109"/>
      <c r="F396" s="79" t="s">
        <v>8</v>
      </c>
      <c r="G396" s="166">
        <v>0</v>
      </c>
      <c r="H396" s="139">
        <f t="shared" si="175"/>
        <v>0</v>
      </c>
      <c r="I396" s="81" t="str">
        <f t="shared" si="173"/>
        <v>-</v>
      </c>
      <c r="J396" s="139">
        <v>0</v>
      </c>
      <c r="K396" s="139">
        <f t="shared" si="177"/>
        <v>0</v>
      </c>
      <c r="L396" s="139">
        <v>0</v>
      </c>
      <c r="M396" s="80">
        <v>0</v>
      </c>
      <c r="N396" s="81" t="str">
        <f t="shared" si="174"/>
        <v>-</v>
      </c>
      <c r="O396" s="407"/>
    </row>
    <row r="397" spans="1:16" s="15" customFormat="1" ht="11.1" customHeight="1" outlineLevel="1" x14ac:dyDescent="0.2">
      <c r="A397" s="118"/>
      <c r="B397" s="76" t="s">
        <v>23</v>
      </c>
      <c r="C397" s="82" t="s">
        <v>293</v>
      </c>
      <c r="D397" s="109"/>
      <c r="E397" s="109"/>
      <c r="F397" s="79" t="s">
        <v>22</v>
      </c>
      <c r="G397" s="166">
        <v>0</v>
      </c>
      <c r="H397" s="139">
        <f t="shared" si="175"/>
        <v>0</v>
      </c>
      <c r="I397" s="81" t="str">
        <f t="shared" si="173"/>
        <v>-</v>
      </c>
      <c r="J397" s="139">
        <v>0</v>
      </c>
      <c r="K397" s="139">
        <f t="shared" si="177"/>
        <v>0</v>
      </c>
      <c r="L397" s="139">
        <v>0</v>
      </c>
      <c r="M397" s="80">
        <v>0</v>
      </c>
      <c r="N397" s="81" t="str">
        <f t="shared" si="174"/>
        <v>-</v>
      </c>
      <c r="O397" s="407"/>
    </row>
    <row r="398" spans="1:16" s="15" customFormat="1" ht="11.1" customHeight="1" outlineLevel="1" x14ac:dyDescent="0.2">
      <c r="A398" s="118"/>
      <c r="B398" s="76"/>
      <c r="C398" s="82" t="s">
        <v>294</v>
      </c>
      <c r="D398" s="109"/>
      <c r="E398" s="109"/>
      <c r="F398" s="79" t="s">
        <v>45</v>
      </c>
      <c r="G398" s="166">
        <v>0</v>
      </c>
      <c r="H398" s="139">
        <f t="shared" si="175"/>
        <v>0</v>
      </c>
      <c r="I398" s="167" t="str">
        <f t="shared" si="173"/>
        <v>-</v>
      </c>
      <c r="J398" s="139">
        <v>0</v>
      </c>
      <c r="K398" s="139">
        <f t="shared" si="177"/>
        <v>0</v>
      </c>
      <c r="L398" s="139">
        <v>0</v>
      </c>
      <c r="M398" s="80">
        <v>0</v>
      </c>
      <c r="N398" s="81" t="str">
        <f t="shared" si="174"/>
        <v>-</v>
      </c>
      <c r="O398" s="407"/>
    </row>
    <row r="399" spans="1:16" s="15" customFormat="1" ht="11.1" customHeight="1" outlineLevel="1" x14ac:dyDescent="0.2">
      <c r="A399" s="118"/>
      <c r="B399" s="76"/>
      <c r="C399" s="82"/>
      <c r="D399" s="109"/>
      <c r="E399" s="109"/>
      <c r="F399" s="79" t="s">
        <v>365</v>
      </c>
      <c r="G399" s="166">
        <v>0</v>
      </c>
      <c r="H399" s="139">
        <f t="shared" si="175"/>
        <v>0</v>
      </c>
      <c r="I399" s="167" t="str">
        <f t="shared" si="173"/>
        <v>-</v>
      </c>
      <c r="J399" s="139">
        <v>0</v>
      </c>
      <c r="K399" s="139">
        <f t="shared" si="177"/>
        <v>0</v>
      </c>
      <c r="L399" s="139">
        <v>0</v>
      </c>
      <c r="M399" s="80">
        <v>0</v>
      </c>
      <c r="N399" s="81" t="str">
        <f t="shared" si="174"/>
        <v>-</v>
      </c>
      <c r="O399" s="407"/>
    </row>
    <row r="400" spans="1:16" s="15" customFormat="1" ht="3.95" customHeight="1" outlineLevel="1" x14ac:dyDescent="0.2">
      <c r="A400" s="158"/>
      <c r="B400" s="85"/>
      <c r="C400" s="86"/>
      <c r="D400" s="182"/>
      <c r="E400" s="182"/>
      <c r="F400" s="206"/>
      <c r="G400" s="168"/>
      <c r="H400" s="168"/>
      <c r="I400" s="171"/>
      <c r="J400" s="168"/>
      <c r="K400" s="168"/>
      <c r="L400" s="141"/>
      <c r="M400" s="164"/>
      <c r="N400" s="88"/>
      <c r="O400" s="332"/>
    </row>
    <row r="401" spans="1:15" s="15" customFormat="1" ht="3.95" customHeight="1" outlineLevel="1" x14ac:dyDescent="0.2">
      <c r="A401" s="235"/>
      <c r="B401" s="72"/>
      <c r="C401" s="73"/>
      <c r="D401" s="233"/>
      <c r="E401" s="233"/>
      <c r="F401" s="226"/>
      <c r="G401" s="224"/>
      <c r="H401" s="224"/>
      <c r="I401" s="75"/>
      <c r="J401" s="224"/>
      <c r="K401" s="224"/>
      <c r="L401" s="136"/>
      <c r="M401" s="220"/>
      <c r="N401" s="75"/>
      <c r="O401" s="328"/>
    </row>
    <row r="402" spans="1:15" s="15" customFormat="1" ht="11.1" customHeight="1" outlineLevel="1" x14ac:dyDescent="0.2">
      <c r="A402" s="409" t="s">
        <v>533</v>
      </c>
      <c r="B402" s="76" t="s">
        <v>9</v>
      </c>
      <c r="C402" s="149" t="s">
        <v>81</v>
      </c>
      <c r="D402" s="392" t="s">
        <v>182</v>
      </c>
      <c r="E402" s="392" t="s">
        <v>201</v>
      </c>
      <c r="F402" s="78" t="s">
        <v>157</v>
      </c>
      <c r="G402" s="165">
        <f>SUM(G403:G408)</f>
        <v>85264</v>
      </c>
      <c r="H402" s="165">
        <f>SUM(H403:H408)</f>
        <v>74127</v>
      </c>
      <c r="I402" s="39">
        <f t="shared" ref="I402:I408" si="178">IF(G402&gt;0,H402/G402*100,"-")</f>
        <v>86.938215425032837</v>
      </c>
      <c r="J402" s="165">
        <f>SUM(J403:J408)</f>
        <v>17053</v>
      </c>
      <c r="K402" s="165">
        <f>SUM(K403:K408)</f>
        <v>19240</v>
      </c>
      <c r="L402" s="165">
        <f>SUM(L403:L408)</f>
        <v>36293</v>
      </c>
      <c r="M402" s="38">
        <f>SUM(M403:M408)</f>
        <v>25155.57</v>
      </c>
      <c r="N402" s="39">
        <f t="shared" ref="N402:N408" si="179">IF(L402&gt;0,M402/L402*100,"-")</f>
        <v>69.312456947620745</v>
      </c>
      <c r="O402" s="406" t="s">
        <v>507</v>
      </c>
    </row>
    <row r="403" spans="1:15" s="15" customFormat="1" ht="11.1" customHeight="1" outlineLevel="1" x14ac:dyDescent="0.2">
      <c r="A403" s="409"/>
      <c r="B403" s="76" t="s">
        <v>10</v>
      </c>
      <c r="C403" s="149" t="s">
        <v>82</v>
      </c>
      <c r="D403" s="392"/>
      <c r="E403" s="392"/>
      <c r="F403" s="79" t="s">
        <v>15</v>
      </c>
      <c r="G403" s="166">
        <v>0</v>
      </c>
      <c r="H403" s="139">
        <f>ROUNDUP(0+M403,0)</f>
        <v>0</v>
      </c>
      <c r="I403" s="81" t="str">
        <f t="shared" si="178"/>
        <v>-</v>
      </c>
      <c r="J403" s="139">
        <v>0</v>
      </c>
      <c r="K403" s="139">
        <f t="shared" ref="K403" si="180">L403-J403</f>
        <v>0</v>
      </c>
      <c r="L403" s="139">
        <v>0</v>
      </c>
      <c r="M403" s="80">
        <v>0</v>
      </c>
      <c r="N403" s="81" t="str">
        <f t="shared" si="179"/>
        <v>-</v>
      </c>
      <c r="O403" s="407"/>
    </row>
    <row r="404" spans="1:15" s="15" customFormat="1" ht="11.1" customHeight="1" outlineLevel="1" x14ac:dyDescent="0.2">
      <c r="A404" s="409"/>
      <c r="B404" s="76" t="s">
        <v>11</v>
      </c>
      <c r="C404" s="82" t="s">
        <v>83</v>
      </c>
      <c r="D404" s="392"/>
      <c r="E404" s="392"/>
      <c r="F404" s="79" t="s">
        <v>7</v>
      </c>
      <c r="G404" s="166">
        <v>85264</v>
      </c>
      <c r="H404" s="166">
        <f>ROUNDUP(48971+M404,0)</f>
        <v>74127</v>
      </c>
      <c r="I404" s="81">
        <f t="shared" si="178"/>
        <v>86.938215425032837</v>
      </c>
      <c r="J404" s="139">
        <v>17053</v>
      </c>
      <c r="K404" s="139">
        <f t="shared" ref="K404:K408" si="181">L404-J404</f>
        <v>19240</v>
      </c>
      <c r="L404" s="139">
        <v>36293</v>
      </c>
      <c r="M404" s="80">
        <v>25155.57</v>
      </c>
      <c r="N404" s="81">
        <f t="shared" si="179"/>
        <v>69.312456947620745</v>
      </c>
      <c r="O404" s="407"/>
    </row>
    <row r="405" spans="1:15" s="15" customFormat="1" ht="11.1" customHeight="1" outlineLevel="1" x14ac:dyDescent="0.2">
      <c r="A405" s="207"/>
      <c r="B405" s="76" t="s">
        <v>12</v>
      </c>
      <c r="C405" s="82" t="s">
        <v>202</v>
      </c>
      <c r="D405" s="109"/>
      <c r="E405" s="109"/>
      <c r="F405" s="79" t="s">
        <v>8</v>
      </c>
      <c r="G405" s="166">
        <v>0</v>
      </c>
      <c r="H405" s="139">
        <f>ROUNDUP(0+M405,0)</f>
        <v>0</v>
      </c>
      <c r="I405" s="81" t="str">
        <f t="shared" si="178"/>
        <v>-</v>
      </c>
      <c r="J405" s="139">
        <v>0</v>
      </c>
      <c r="K405" s="139">
        <f t="shared" si="181"/>
        <v>0</v>
      </c>
      <c r="L405" s="139">
        <v>0</v>
      </c>
      <c r="M405" s="80">
        <v>0</v>
      </c>
      <c r="N405" s="81" t="str">
        <f t="shared" si="179"/>
        <v>-</v>
      </c>
      <c r="O405" s="407"/>
    </row>
    <row r="406" spans="1:15" s="15" customFormat="1" ht="11.1" customHeight="1" outlineLevel="1" x14ac:dyDescent="0.2">
      <c r="A406" s="207"/>
      <c r="B406" s="76" t="s">
        <v>23</v>
      </c>
      <c r="C406" s="82" t="s">
        <v>199</v>
      </c>
      <c r="D406" s="109"/>
      <c r="E406" s="109"/>
      <c r="F406" s="79" t="s">
        <v>22</v>
      </c>
      <c r="G406" s="166">
        <v>0</v>
      </c>
      <c r="H406" s="139">
        <f>ROUNDUP(0+M406,0)</f>
        <v>0</v>
      </c>
      <c r="I406" s="81" t="str">
        <f t="shared" si="178"/>
        <v>-</v>
      </c>
      <c r="J406" s="139">
        <v>0</v>
      </c>
      <c r="K406" s="139">
        <f t="shared" si="181"/>
        <v>0</v>
      </c>
      <c r="L406" s="139">
        <v>0</v>
      </c>
      <c r="M406" s="80">
        <v>0</v>
      </c>
      <c r="N406" s="81" t="str">
        <f t="shared" si="179"/>
        <v>-</v>
      </c>
      <c r="O406" s="407"/>
    </row>
    <row r="407" spans="1:15" s="15" customFormat="1" ht="11.1" customHeight="1" outlineLevel="1" x14ac:dyDescent="0.2">
      <c r="A407" s="207"/>
      <c r="B407" s="76"/>
      <c r="C407" s="82" t="s">
        <v>200</v>
      </c>
      <c r="D407" s="109"/>
      <c r="E407" s="109"/>
      <c r="F407" s="79" t="s">
        <v>45</v>
      </c>
      <c r="G407" s="166">
        <v>0</v>
      </c>
      <c r="H407" s="139">
        <f>ROUNDUP(0+M407,0)</f>
        <v>0</v>
      </c>
      <c r="I407" s="167" t="str">
        <f t="shared" si="178"/>
        <v>-</v>
      </c>
      <c r="J407" s="139">
        <v>0</v>
      </c>
      <c r="K407" s="139">
        <f t="shared" si="181"/>
        <v>0</v>
      </c>
      <c r="L407" s="139">
        <v>0</v>
      </c>
      <c r="M407" s="80">
        <v>0</v>
      </c>
      <c r="N407" s="81" t="str">
        <f t="shared" si="179"/>
        <v>-</v>
      </c>
      <c r="O407" s="407"/>
    </row>
    <row r="408" spans="1:15" s="15" customFormat="1" ht="11.1" customHeight="1" outlineLevel="1" x14ac:dyDescent="0.2">
      <c r="A408" s="207"/>
      <c r="B408" s="76"/>
      <c r="C408" s="82"/>
      <c r="D408" s="109"/>
      <c r="E408" s="109"/>
      <c r="F408" s="79" t="s">
        <v>365</v>
      </c>
      <c r="G408" s="166">
        <v>0</v>
      </c>
      <c r="H408" s="139">
        <f>ROUNDUP(0+M408,0)</f>
        <v>0</v>
      </c>
      <c r="I408" s="167" t="str">
        <f t="shared" si="178"/>
        <v>-</v>
      </c>
      <c r="J408" s="139">
        <v>0</v>
      </c>
      <c r="K408" s="139">
        <f t="shared" si="181"/>
        <v>0</v>
      </c>
      <c r="L408" s="139">
        <v>0</v>
      </c>
      <c r="M408" s="80">
        <v>0</v>
      </c>
      <c r="N408" s="81" t="str">
        <f t="shared" si="179"/>
        <v>-</v>
      </c>
      <c r="O408" s="407"/>
    </row>
    <row r="409" spans="1:15" s="15" customFormat="1" ht="3.95" customHeight="1" outlineLevel="1" x14ac:dyDescent="0.2">
      <c r="A409" s="234"/>
      <c r="B409" s="85"/>
      <c r="C409" s="86"/>
      <c r="D409" s="218"/>
      <c r="E409" s="218"/>
      <c r="F409" s="206"/>
      <c r="G409" s="168"/>
      <c r="H409" s="168"/>
      <c r="I409" s="88"/>
      <c r="J409" s="168"/>
      <c r="K409" s="168"/>
      <c r="L409" s="141"/>
      <c r="M409" s="164"/>
      <c r="N409" s="88"/>
      <c r="O409" s="330"/>
    </row>
    <row r="410" spans="1:15" s="15" customFormat="1" ht="3.95" customHeight="1" outlineLevel="1" x14ac:dyDescent="0.2">
      <c r="A410" s="235"/>
      <c r="B410" s="72"/>
      <c r="C410" s="73"/>
      <c r="D410" s="181"/>
      <c r="E410" s="181"/>
      <c r="F410" s="226"/>
      <c r="G410" s="224"/>
      <c r="H410" s="224"/>
      <c r="I410" s="75"/>
      <c r="J410" s="224"/>
      <c r="K410" s="224"/>
      <c r="L410" s="136"/>
      <c r="M410" s="220"/>
      <c r="N410" s="75"/>
      <c r="O410" s="328"/>
    </row>
    <row r="411" spans="1:15" s="15" customFormat="1" ht="11.1" customHeight="1" outlineLevel="1" x14ac:dyDescent="0.2">
      <c r="A411" s="409" t="s">
        <v>534</v>
      </c>
      <c r="B411" s="76" t="s">
        <v>9</v>
      </c>
      <c r="C411" s="149" t="s">
        <v>81</v>
      </c>
      <c r="D411" s="392" t="s">
        <v>182</v>
      </c>
      <c r="E411" s="392" t="s">
        <v>198</v>
      </c>
      <c r="F411" s="78" t="s">
        <v>157</v>
      </c>
      <c r="G411" s="165">
        <f>SUM(G412:G417)</f>
        <v>80260</v>
      </c>
      <c r="H411" s="165">
        <f>SUM(H412:H417)</f>
        <v>80259</v>
      </c>
      <c r="I411" s="39">
        <f t="shared" ref="I411:I417" si="182">IF(G411&gt;0,H411/G411*100,"-")</f>
        <v>99.998754049339638</v>
      </c>
      <c r="J411" s="165">
        <f>SUM(J412:J417)</f>
        <v>16052</v>
      </c>
      <c r="K411" s="165">
        <f>SUM(K412:K417)</f>
        <v>17305</v>
      </c>
      <c r="L411" s="165">
        <f>SUM(L412:L417)</f>
        <v>33357</v>
      </c>
      <c r="M411" s="38">
        <f>SUM(M412:M417)</f>
        <v>33355.46</v>
      </c>
      <c r="N411" s="39">
        <f t="shared" ref="N411:N417" si="183">IF(L411&gt;0,M411/L411*100,"-")</f>
        <v>99.995383277872705</v>
      </c>
      <c r="O411" s="406" t="s">
        <v>507</v>
      </c>
    </row>
    <row r="412" spans="1:15" s="15" customFormat="1" ht="11.1" customHeight="1" outlineLevel="1" x14ac:dyDescent="0.2">
      <c r="A412" s="409"/>
      <c r="B412" s="76" t="s">
        <v>10</v>
      </c>
      <c r="C412" s="149" t="s">
        <v>82</v>
      </c>
      <c r="D412" s="392"/>
      <c r="E412" s="392"/>
      <c r="F412" s="79" t="s">
        <v>15</v>
      </c>
      <c r="G412" s="166">
        <v>0</v>
      </c>
      <c r="H412" s="139">
        <f>ROUNDUP(0+M412,0)</f>
        <v>0</v>
      </c>
      <c r="I412" s="81" t="str">
        <f t="shared" si="182"/>
        <v>-</v>
      </c>
      <c r="J412" s="139">
        <v>0</v>
      </c>
      <c r="K412" s="139">
        <f t="shared" ref="K412" si="184">L412-J412</f>
        <v>0</v>
      </c>
      <c r="L412" s="139">
        <v>0</v>
      </c>
      <c r="M412" s="80">
        <v>0</v>
      </c>
      <c r="N412" s="81" t="str">
        <f t="shared" si="183"/>
        <v>-</v>
      </c>
      <c r="O412" s="407"/>
    </row>
    <row r="413" spans="1:15" s="15" customFormat="1" ht="11.1" customHeight="1" outlineLevel="1" x14ac:dyDescent="0.2">
      <c r="A413" s="409"/>
      <c r="B413" s="76" t="s">
        <v>11</v>
      </c>
      <c r="C413" s="82" t="s">
        <v>83</v>
      </c>
      <c r="D413" s="392"/>
      <c r="E413" s="392"/>
      <c r="F413" s="79" t="s">
        <v>7</v>
      </c>
      <c r="G413" s="166">
        <v>80260</v>
      </c>
      <c r="H413" s="166">
        <f>ROUNDUP(46903+M413,0)</f>
        <v>80259</v>
      </c>
      <c r="I413" s="81">
        <f t="shared" si="182"/>
        <v>99.998754049339638</v>
      </c>
      <c r="J413" s="139">
        <v>16052</v>
      </c>
      <c r="K413" s="139">
        <f t="shared" ref="K413:K417" si="185">L413-J413</f>
        <v>17305</v>
      </c>
      <c r="L413" s="139">
        <v>33357</v>
      </c>
      <c r="M413" s="80">
        <v>33355.46</v>
      </c>
      <c r="N413" s="81">
        <f t="shared" si="183"/>
        <v>99.995383277872705</v>
      </c>
      <c r="O413" s="407"/>
    </row>
    <row r="414" spans="1:15" s="15" customFormat="1" ht="11.1" customHeight="1" outlineLevel="1" x14ac:dyDescent="0.2">
      <c r="A414" s="207"/>
      <c r="B414" s="76" t="s">
        <v>12</v>
      </c>
      <c r="C414" s="82" t="s">
        <v>203</v>
      </c>
      <c r="D414" s="109"/>
      <c r="E414" s="109"/>
      <c r="F414" s="79" t="s">
        <v>8</v>
      </c>
      <c r="G414" s="166">
        <v>0</v>
      </c>
      <c r="H414" s="139">
        <f>ROUNDUP(0+M414,0)</f>
        <v>0</v>
      </c>
      <c r="I414" s="81" t="str">
        <f t="shared" si="182"/>
        <v>-</v>
      </c>
      <c r="J414" s="139">
        <v>0</v>
      </c>
      <c r="K414" s="139">
        <f t="shared" si="185"/>
        <v>0</v>
      </c>
      <c r="L414" s="139">
        <v>0</v>
      </c>
      <c r="M414" s="80">
        <v>0</v>
      </c>
      <c r="N414" s="81" t="str">
        <f t="shared" si="183"/>
        <v>-</v>
      </c>
      <c r="O414" s="407"/>
    </row>
    <row r="415" spans="1:15" s="15" customFormat="1" ht="11.1" customHeight="1" outlineLevel="1" x14ac:dyDescent="0.2">
      <c r="A415" s="207"/>
      <c r="B415" s="76" t="s">
        <v>23</v>
      </c>
      <c r="C415" s="82" t="s">
        <v>199</v>
      </c>
      <c r="D415" s="109"/>
      <c r="E415" s="109"/>
      <c r="F415" s="79" t="s">
        <v>22</v>
      </c>
      <c r="G415" s="166">
        <v>0</v>
      </c>
      <c r="H415" s="139">
        <f>ROUNDUP(0+M415,0)</f>
        <v>0</v>
      </c>
      <c r="I415" s="81" t="str">
        <f t="shared" si="182"/>
        <v>-</v>
      </c>
      <c r="J415" s="139">
        <v>0</v>
      </c>
      <c r="K415" s="139">
        <f t="shared" si="185"/>
        <v>0</v>
      </c>
      <c r="L415" s="139">
        <v>0</v>
      </c>
      <c r="M415" s="80">
        <v>0</v>
      </c>
      <c r="N415" s="81" t="str">
        <f t="shared" si="183"/>
        <v>-</v>
      </c>
      <c r="O415" s="407"/>
    </row>
    <row r="416" spans="1:15" s="15" customFormat="1" ht="11.1" customHeight="1" outlineLevel="1" x14ac:dyDescent="0.2">
      <c r="A416" s="207"/>
      <c r="B416" s="76"/>
      <c r="C416" s="82" t="s">
        <v>200</v>
      </c>
      <c r="D416" s="109"/>
      <c r="E416" s="109"/>
      <c r="F416" s="79" t="s">
        <v>45</v>
      </c>
      <c r="G416" s="166">
        <v>0</v>
      </c>
      <c r="H416" s="139">
        <f>ROUNDUP(0+M416,0)</f>
        <v>0</v>
      </c>
      <c r="I416" s="167" t="str">
        <f t="shared" si="182"/>
        <v>-</v>
      </c>
      <c r="J416" s="139">
        <v>0</v>
      </c>
      <c r="K416" s="139">
        <f t="shared" si="185"/>
        <v>0</v>
      </c>
      <c r="L416" s="139">
        <v>0</v>
      </c>
      <c r="M416" s="80">
        <v>0</v>
      </c>
      <c r="N416" s="81" t="str">
        <f t="shared" si="183"/>
        <v>-</v>
      </c>
      <c r="O416" s="407"/>
    </row>
    <row r="417" spans="1:15" s="15" customFormat="1" ht="11.1" customHeight="1" outlineLevel="1" x14ac:dyDescent="0.2">
      <c r="A417" s="207"/>
      <c r="B417" s="76"/>
      <c r="C417" s="82"/>
      <c r="D417" s="109"/>
      <c r="E417" s="109"/>
      <c r="F417" s="79" t="s">
        <v>365</v>
      </c>
      <c r="G417" s="166">
        <v>0</v>
      </c>
      <c r="H417" s="139">
        <f>ROUNDUP(0+M417,0)</f>
        <v>0</v>
      </c>
      <c r="I417" s="167" t="str">
        <f t="shared" si="182"/>
        <v>-</v>
      </c>
      <c r="J417" s="139">
        <v>0</v>
      </c>
      <c r="K417" s="139">
        <f t="shared" si="185"/>
        <v>0</v>
      </c>
      <c r="L417" s="139">
        <v>0</v>
      </c>
      <c r="M417" s="80">
        <v>0</v>
      </c>
      <c r="N417" s="81" t="str">
        <f t="shared" si="183"/>
        <v>-</v>
      </c>
      <c r="O417" s="407"/>
    </row>
    <row r="418" spans="1:15" s="15" customFormat="1" ht="3.95" customHeight="1" outlineLevel="1" x14ac:dyDescent="0.2">
      <c r="A418" s="234"/>
      <c r="B418" s="85"/>
      <c r="C418" s="86"/>
      <c r="D418" s="218"/>
      <c r="E418" s="218"/>
      <c r="F418" s="206"/>
      <c r="G418" s="168"/>
      <c r="H418" s="168"/>
      <c r="I418" s="88"/>
      <c r="J418" s="168"/>
      <c r="K418" s="168"/>
      <c r="L418" s="141"/>
      <c r="M418" s="164"/>
      <c r="N418" s="88"/>
      <c r="O418" s="330"/>
    </row>
    <row r="419" spans="1:15" s="15" customFormat="1" ht="3.95" customHeight="1" outlineLevel="1" x14ac:dyDescent="0.2">
      <c r="A419" s="187"/>
      <c r="B419" s="72"/>
      <c r="C419" s="73"/>
      <c r="D419" s="181"/>
      <c r="E419" s="181"/>
      <c r="F419" s="226"/>
      <c r="G419" s="224"/>
      <c r="H419" s="224"/>
      <c r="I419" s="225"/>
      <c r="J419" s="224"/>
      <c r="K419" s="224"/>
      <c r="L419" s="136"/>
      <c r="M419" s="220"/>
      <c r="N419" s="75"/>
      <c r="O419" s="328"/>
    </row>
    <row r="420" spans="1:15" s="15" customFormat="1" ht="11.1" customHeight="1" outlineLevel="1" x14ac:dyDescent="0.2">
      <c r="A420" s="409" t="s">
        <v>535</v>
      </c>
      <c r="B420" s="76" t="s">
        <v>9</v>
      </c>
      <c r="C420" s="149" t="s">
        <v>81</v>
      </c>
      <c r="D420" s="392" t="s">
        <v>279</v>
      </c>
      <c r="E420" s="392" t="s">
        <v>190</v>
      </c>
      <c r="F420" s="78" t="s">
        <v>157</v>
      </c>
      <c r="G420" s="165">
        <f>SUM(G421:G426)</f>
        <v>80857</v>
      </c>
      <c r="H420" s="165">
        <f>SUM(H421:H426)</f>
        <v>31189</v>
      </c>
      <c r="I420" s="39">
        <f t="shared" ref="I420:I426" si="186">IF(G420&gt;0,H420/G420*100,"-")</f>
        <v>38.573036348120752</v>
      </c>
      <c r="J420" s="165">
        <f>SUM(J421:J426)</f>
        <v>0</v>
      </c>
      <c r="K420" s="165">
        <f>SUM(K421:K426)</f>
        <v>62133</v>
      </c>
      <c r="L420" s="165">
        <f>SUM(L421:L426)</f>
        <v>62133</v>
      </c>
      <c r="M420" s="38">
        <f>SUM(M421:M426)</f>
        <v>28951.19</v>
      </c>
      <c r="N420" s="39">
        <f t="shared" ref="N420:N426" si="187">IF(L420&gt;0,M420/L420*100,"-")</f>
        <v>46.595512851463795</v>
      </c>
      <c r="O420" s="406" t="s">
        <v>507</v>
      </c>
    </row>
    <row r="421" spans="1:15" s="15" customFormat="1" ht="11.1" customHeight="1" outlineLevel="1" x14ac:dyDescent="0.2">
      <c r="A421" s="409"/>
      <c r="B421" s="76" t="s">
        <v>10</v>
      </c>
      <c r="C421" s="149" t="s">
        <v>82</v>
      </c>
      <c r="D421" s="392"/>
      <c r="E421" s="392"/>
      <c r="F421" s="79" t="s">
        <v>15</v>
      </c>
      <c r="G421" s="166">
        <v>0</v>
      </c>
      <c r="H421" s="139">
        <f t="shared" ref="H421:H426" si="188">ROUNDUP(0+M421,0)</f>
        <v>0</v>
      </c>
      <c r="I421" s="81" t="str">
        <f t="shared" si="186"/>
        <v>-</v>
      </c>
      <c r="J421" s="139">
        <v>0</v>
      </c>
      <c r="K421" s="139">
        <f t="shared" ref="K421" si="189">L421-J421</f>
        <v>0</v>
      </c>
      <c r="L421" s="139">
        <v>0</v>
      </c>
      <c r="M421" s="80">
        <v>0</v>
      </c>
      <c r="N421" s="81" t="str">
        <f t="shared" si="187"/>
        <v>-</v>
      </c>
      <c r="O421" s="407"/>
    </row>
    <row r="422" spans="1:15" s="15" customFormat="1" ht="11.1" customHeight="1" outlineLevel="1" x14ac:dyDescent="0.2">
      <c r="A422" s="409"/>
      <c r="B422" s="76" t="s">
        <v>11</v>
      </c>
      <c r="C422" s="82" t="s">
        <v>83</v>
      </c>
      <c r="D422" s="392"/>
      <c r="E422" s="392"/>
      <c r="F422" s="79" t="s">
        <v>7</v>
      </c>
      <c r="G422" s="166">
        <v>80857</v>
      </c>
      <c r="H422" s="166">
        <f>ROUNDUP(2237+M422,0)</f>
        <v>31189</v>
      </c>
      <c r="I422" s="81">
        <f t="shared" si="186"/>
        <v>38.573036348120752</v>
      </c>
      <c r="J422" s="139">
        <v>0</v>
      </c>
      <c r="K422" s="139">
        <f t="shared" ref="K422:K426" si="190">L422-J422</f>
        <v>62133</v>
      </c>
      <c r="L422" s="139">
        <v>62133</v>
      </c>
      <c r="M422" s="80">
        <v>28951.19</v>
      </c>
      <c r="N422" s="81">
        <f t="shared" si="187"/>
        <v>46.595512851463795</v>
      </c>
      <c r="O422" s="407"/>
    </row>
    <row r="423" spans="1:15" s="15" customFormat="1" ht="11.1" customHeight="1" outlineLevel="1" x14ac:dyDescent="0.2">
      <c r="A423" s="207"/>
      <c r="B423" s="76" t="s">
        <v>12</v>
      </c>
      <c r="C423" s="82" t="s">
        <v>323</v>
      </c>
      <c r="D423" s="109"/>
      <c r="E423" s="109"/>
      <c r="F423" s="79" t="s">
        <v>8</v>
      </c>
      <c r="G423" s="166">
        <v>0</v>
      </c>
      <c r="H423" s="139">
        <f t="shared" si="188"/>
        <v>0</v>
      </c>
      <c r="I423" s="81" t="str">
        <f t="shared" si="186"/>
        <v>-</v>
      </c>
      <c r="J423" s="139">
        <v>0</v>
      </c>
      <c r="K423" s="139">
        <f t="shared" si="190"/>
        <v>0</v>
      </c>
      <c r="L423" s="139">
        <v>0</v>
      </c>
      <c r="M423" s="80">
        <v>0</v>
      </c>
      <c r="N423" s="81" t="str">
        <f t="shared" si="187"/>
        <v>-</v>
      </c>
      <c r="O423" s="407"/>
    </row>
    <row r="424" spans="1:15" s="15" customFormat="1" ht="11.1" customHeight="1" outlineLevel="1" x14ac:dyDescent="0.2">
      <c r="A424" s="207"/>
      <c r="B424" s="76" t="s">
        <v>23</v>
      </c>
      <c r="C424" s="82" t="s">
        <v>324</v>
      </c>
      <c r="D424" s="109"/>
      <c r="E424" s="109"/>
      <c r="F424" s="79" t="s">
        <v>22</v>
      </c>
      <c r="G424" s="166">
        <v>0</v>
      </c>
      <c r="H424" s="139">
        <f t="shared" si="188"/>
        <v>0</v>
      </c>
      <c r="I424" s="81" t="str">
        <f t="shared" si="186"/>
        <v>-</v>
      </c>
      <c r="J424" s="139">
        <v>0</v>
      </c>
      <c r="K424" s="139">
        <f t="shared" si="190"/>
        <v>0</v>
      </c>
      <c r="L424" s="139">
        <v>0</v>
      </c>
      <c r="M424" s="80">
        <v>0</v>
      </c>
      <c r="N424" s="81" t="str">
        <f t="shared" si="187"/>
        <v>-</v>
      </c>
      <c r="O424" s="407"/>
    </row>
    <row r="425" spans="1:15" s="15" customFormat="1" ht="11.1" customHeight="1" outlineLevel="1" x14ac:dyDescent="0.2">
      <c r="A425" s="207"/>
      <c r="B425" s="76"/>
      <c r="C425" s="82" t="s">
        <v>325</v>
      </c>
      <c r="D425" s="109"/>
      <c r="E425" s="109"/>
      <c r="F425" s="79" t="s">
        <v>45</v>
      </c>
      <c r="G425" s="166">
        <v>0</v>
      </c>
      <c r="H425" s="139">
        <f t="shared" si="188"/>
        <v>0</v>
      </c>
      <c r="I425" s="167" t="str">
        <f t="shared" si="186"/>
        <v>-</v>
      </c>
      <c r="J425" s="139">
        <v>0</v>
      </c>
      <c r="K425" s="139">
        <f t="shared" si="190"/>
        <v>0</v>
      </c>
      <c r="L425" s="139">
        <v>0</v>
      </c>
      <c r="M425" s="80">
        <v>0</v>
      </c>
      <c r="N425" s="81" t="str">
        <f t="shared" si="187"/>
        <v>-</v>
      </c>
      <c r="O425" s="407"/>
    </row>
    <row r="426" spans="1:15" s="15" customFormat="1" ht="11.1" customHeight="1" outlineLevel="1" x14ac:dyDescent="0.2">
      <c r="A426" s="207"/>
      <c r="B426" s="76"/>
      <c r="C426" s="82"/>
      <c r="D426" s="109"/>
      <c r="E426" s="109"/>
      <c r="F426" s="79" t="s">
        <v>365</v>
      </c>
      <c r="G426" s="166">
        <v>0</v>
      </c>
      <c r="H426" s="139">
        <f t="shared" si="188"/>
        <v>0</v>
      </c>
      <c r="I426" s="167" t="str">
        <f t="shared" si="186"/>
        <v>-</v>
      </c>
      <c r="J426" s="139">
        <v>0</v>
      </c>
      <c r="K426" s="139">
        <f t="shared" si="190"/>
        <v>0</v>
      </c>
      <c r="L426" s="139">
        <v>0</v>
      </c>
      <c r="M426" s="80">
        <v>0</v>
      </c>
      <c r="N426" s="81" t="str">
        <f t="shared" si="187"/>
        <v>-</v>
      </c>
      <c r="O426" s="407"/>
    </row>
    <row r="427" spans="1:15" s="15" customFormat="1" ht="3.95" customHeight="1" outlineLevel="1" x14ac:dyDescent="0.2">
      <c r="A427" s="221"/>
      <c r="B427" s="85"/>
      <c r="C427" s="86"/>
      <c r="D427" s="182"/>
      <c r="E427" s="182"/>
      <c r="F427" s="206"/>
      <c r="G427" s="168"/>
      <c r="H427" s="168"/>
      <c r="I427" s="88"/>
      <c r="J427" s="168"/>
      <c r="K427" s="168"/>
      <c r="L427" s="141"/>
      <c r="M427" s="164"/>
      <c r="N427" s="88"/>
      <c r="O427" s="330"/>
    </row>
    <row r="428" spans="1:15" s="15" customFormat="1" ht="3.95" customHeight="1" outlineLevel="1" x14ac:dyDescent="0.2">
      <c r="A428" s="235"/>
      <c r="B428" s="72"/>
      <c r="C428" s="73"/>
      <c r="D428" s="233"/>
      <c r="E428" s="233"/>
      <c r="F428" s="226"/>
      <c r="G428" s="224"/>
      <c r="H428" s="224"/>
      <c r="I428" s="75"/>
      <c r="J428" s="224"/>
      <c r="K428" s="224"/>
      <c r="L428" s="136"/>
      <c r="M428" s="220"/>
      <c r="N428" s="75"/>
      <c r="O428" s="331"/>
    </row>
    <row r="429" spans="1:15" s="15" customFormat="1" ht="11.1" customHeight="1" outlineLevel="1" x14ac:dyDescent="0.2">
      <c r="A429" s="409" t="s">
        <v>536</v>
      </c>
      <c r="B429" s="76" t="s">
        <v>9</v>
      </c>
      <c r="C429" s="149" t="s">
        <v>81</v>
      </c>
      <c r="D429" s="392" t="s">
        <v>279</v>
      </c>
      <c r="E429" s="392" t="s">
        <v>197</v>
      </c>
      <c r="F429" s="78" t="s">
        <v>157</v>
      </c>
      <c r="G429" s="165">
        <f>SUM(G430:G435)</f>
        <v>60054</v>
      </c>
      <c r="H429" s="165">
        <f>SUM(H430:H435)</f>
        <v>19570</v>
      </c>
      <c r="I429" s="39">
        <f t="shared" ref="I429:I435" si="191">IF(G429&gt;0,H429/G429*100,"-")</f>
        <v>32.587338062410495</v>
      </c>
      <c r="J429" s="165">
        <f>SUM(J430:J435)</f>
        <v>0</v>
      </c>
      <c r="K429" s="165">
        <f>SUM(K430:K435)</f>
        <v>35146</v>
      </c>
      <c r="L429" s="165">
        <f>SUM(L430:L435)</f>
        <v>35146</v>
      </c>
      <c r="M429" s="38">
        <f>SUM(M430:M435)</f>
        <v>6671.59</v>
      </c>
      <c r="N429" s="39">
        <f t="shared" ref="N429:N435" si="192">IF(L429&gt;0,M429/L429*100,"-")</f>
        <v>18.982501564900701</v>
      </c>
      <c r="O429" s="406" t="s">
        <v>507</v>
      </c>
    </row>
    <row r="430" spans="1:15" s="15" customFormat="1" ht="11.1" customHeight="1" outlineLevel="1" x14ac:dyDescent="0.2">
      <c r="A430" s="409"/>
      <c r="B430" s="76" t="s">
        <v>10</v>
      </c>
      <c r="C430" s="149" t="s">
        <v>82</v>
      </c>
      <c r="D430" s="392"/>
      <c r="E430" s="392"/>
      <c r="F430" s="79" t="s">
        <v>15</v>
      </c>
      <c r="G430" s="166">
        <v>0</v>
      </c>
      <c r="H430" s="139">
        <f t="shared" ref="H430:H435" si="193">ROUNDUP(0+M430,0)</f>
        <v>0</v>
      </c>
      <c r="I430" s="81" t="str">
        <f t="shared" si="191"/>
        <v>-</v>
      </c>
      <c r="J430" s="139">
        <v>0</v>
      </c>
      <c r="K430" s="139">
        <f t="shared" ref="K430" si="194">L430-J430</f>
        <v>0</v>
      </c>
      <c r="L430" s="139">
        <v>0</v>
      </c>
      <c r="M430" s="80">
        <v>0</v>
      </c>
      <c r="N430" s="81" t="str">
        <f t="shared" si="192"/>
        <v>-</v>
      </c>
      <c r="O430" s="407"/>
    </row>
    <row r="431" spans="1:15" s="15" customFormat="1" ht="11.1" customHeight="1" outlineLevel="1" x14ac:dyDescent="0.2">
      <c r="A431" s="409"/>
      <c r="B431" s="76" t="s">
        <v>11</v>
      </c>
      <c r="C431" s="82" t="s">
        <v>83</v>
      </c>
      <c r="D431" s="392"/>
      <c r="E431" s="392"/>
      <c r="F431" s="79" t="s">
        <v>7</v>
      </c>
      <c r="G431" s="166">
        <v>60054</v>
      </c>
      <c r="H431" s="166">
        <f>ROUNDUP(12898+M431,0)</f>
        <v>19570</v>
      </c>
      <c r="I431" s="81">
        <f t="shared" si="191"/>
        <v>32.587338062410495</v>
      </c>
      <c r="J431" s="139">
        <v>0</v>
      </c>
      <c r="K431" s="139">
        <f t="shared" ref="K431:K435" si="195">L431-J431</f>
        <v>35146</v>
      </c>
      <c r="L431" s="139">
        <v>35146</v>
      </c>
      <c r="M431" s="80">
        <v>6671.59</v>
      </c>
      <c r="N431" s="81">
        <f t="shared" si="192"/>
        <v>18.982501564900701</v>
      </c>
      <c r="O431" s="407"/>
    </row>
    <row r="432" spans="1:15" s="15" customFormat="1" ht="11.1" customHeight="1" outlineLevel="1" x14ac:dyDescent="0.2">
      <c r="A432" s="207"/>
      <c r="B432" s="76" t="s">
        <v>12</v>
      </c>
      <c r="C432" s="82" t="s">
        <v>326</v>
      </c>
      <c r="D432" s="109"/>
      <c r="E432" s="109"/>
      <c r="F432" s="79" t="s">
        <v>8</v>
      </c>
      <c r="G432" s="166">
        <v>0</v>
      </c>
      <c r="H432" s="139">
        <f t="shared" si="193"/>
        <v>0</v>
      </c>
      <c r="I432" s="81" t="str">
        <f t="shared" si="191"/>
        <v>-</v>
      </c>
      <c r="J432" s="139">
        <v>0</v>
      </c>
      <c r="K432" s="139">
        <f t="shared" si="195"/>
        <v>0</v>
      </c>
      <c r="L432" s="139">
        <v>0</v>
      </c>
      <c r="M432" s="80">
        <v>0</v>
      </c>
      <c r="N432" s="81" t="str">
        <f t="shared" si="192"/>
        <v>-</v>
      </c>
      <c r="O432" s="407"/>
    </row>
    <row r="433" spans="1:15" s="15" customFormat="1" ht="11.1" customHeight="1" outlineLevel="1" x14ac:dyDescent="0.2">
      <c r="A433" s="207"/>
      <c r="B433" s="76" t="s">
        <v>23</v>
      </c>
      <c r="C433" s="82" t="s">
        <v>327</v>
      </c>
      <c r="D433" s="109"/>
      <c r="E433" s="109"/>
      <c r="F433" s="79" t="s">
        <v>22</v>
      </c>
      <c r="G433" s="166">
        <v>0</v>
      </c>
      <c r="H433" s="139">
        <f t="shared" si="193"/>
        <v>0</v>
      </c>
      <c r="I433" s="81" t="str">
        <f t="shared" si="191"/>
        <v>-</v>
      </c>
      <c r="J433" s="139">
        <v>0</v>
      </c>
      <c r="K433" s="139">
        <f t="shared" si="195"/>
        <v>0</v>
      </c>
      <c r="L433" s="139">
        <v>0</v>
      </c>
      <c r="M433" s="80">
        <v>0</v>
      </c>
      <c r="N433" s="81" t="str">
        <f t="shared" si="192"/>
        <v>-</v>
      </c>
      <c r="O433" s="407"/>
    </row>
    <row r="434" spans="1:15" s="15" customFormat="1" ht="11.1" customHeight="1" outlineLevel="1" x14ac:dyDescent="0.2">
      <c r="A434" s="207"/>
      <c r="B434" s="76"/>
      <c r="C434" s="82" t="s">
        <v>328</v>
      </c>
      <c r="D434" s="109"/>
      <c r="E434" s="109"/>
      <c r="F434" s="79" t="s">
        <v>45</v>
      </c>
      <c r="G434" s="166">
        <v>0</v>
      </c>
      <c r="H434" s="139">
        <f t="shared" si="193"/>
        <v>0</v>
      </c>
      <c r="I434" s="167" t="str">
        <f t="shared" si="191"/>
        <v>-</v>
      </c>
      <c r="J434" s="139">
        <v>0</v>
      </c>
      <c r="K434" s="139">
        <f t="shared" si="195"/>
        <v>0</v>
      </c>
      <c r="L434" s="139">
        <v>0</v>
      </c>
      <c r="M434" s="80">
        <v>0</v>
      </c>
      <c r="N434" s="81" t="str">
        <f t="shared" si="192"/>
        <v>-</v>
      </c>
      <c r="O434" s="407"/>
    </row>
    <row r="435" spans="1:15" s="15" customFormat="1" ht="11.1" customHeight="1" outlineLevel="1" x14ac:dyDescent="0.2">
      <c r="A435" s="207"/>
      <c r="B435" s="76"/>
      <c r="C435" s="82"/>
      <c r="D435" s="109"/>
      <c r="E435" s="109"/>
      <c r="F435" s="79" t="s">
        <v>365</v>
      </c>
      <c r="G435" s="166">
        <v>0</v>
      </c>
      <c r="H435" s="139">
        <f t="shared" si="193"/>
        <v>0</v>
      </c>
      <c r="I435" s="167" t="str">
        <f t="shared" si="191"/>
        <v>-</v>
      </c>
      <c r="J435" s="139">
        <v>0</v>
      </c>
      <c r="K435" s="139">
        <f t="shared" si="195"/>
        <v>0</v>
      </c>
      <c r="L435" s="139">
        <v>0</v>
      </c>
      <c r="M435" s="80">
        <v>0</v>
      </c>
      <c r="N435" s="81" t="str">
        <f t="shared" si="192"/>
        <v>-</v>
      </c>
      <c r="O435" s="407"/>
    </row>
    <row r="436" spans="1:15" s="15" customFormat="1" ht="3.95" customHeight="1" outlineLevel="1" x14ac:dyDescent="0.2">
      <c r="A436" s="234"/>
      <c r="B436" s="85"/>
      <c r="C436" s="86"/>
      <c r="D436" s="182"/>
      <c r="E436" s="182"/>
      <c r="F436" s="206"/>
      <c r="G436" s="168"/>
      <c r="H436" s="168"/>
      <c r="I436" s="88"/>
      <c r="J436" s="168"/>
      <c r="K436" s="168"/>
      <c r="L436" s="141"/>
      <c r="M436" s="164"/>
      <c r="N436" s="88"/>
      <c r="O436" s="330"/>
    </row>
    <row r="437" spans="1:15" s="15" customFormat="1" ht="3.95" customHeight="1" outlineLevel="1" x14ac:dyDescent="0.2">
      <c r="A437" s="235"/>
      <c r="B437" s="72"/>
      <c r="C437" s="73"/>
      <c r="D437" s="233"/>
      <c r="E437" s="233"/>
      <c r="F437" s="226"/>
      <c r="G437" s="224"/>
      <c r="H437" s="224"/>
      <c r="I437" s="75"/>
      <c r="J437" s="224"/>
      <c r="K437" s="224"/>
      <c r="L437" s="136"/>
      <c r="M437" s="220"/>
      <c r="N437" s="75"/>
      <c r="O437" s="331"/>
    </row>
    <row r="438" spans="1:15" s="15" customFormat="1" ht="11.1" customHeight="1" outlineLevel="1" x14ac:dyDescent="0.2">
      <c r="A438" s="409" t="s">
        <v>537</v>
      </c>
      <c r="B438" s="76" t="s">
        <v>9</v>
      </c>
      <c r="C438" s="149" t="s">
        <v>81</v>
      </c>
      <c r="D438" s="392" t="s">
        <v>182</v>
      </c>
      <c r="E438" s="392" t="s">
        <v>197</v>
      </c>
      <c r="F438" s="78" t="s">
        <v>157</v>
      </c>
      <c r="G438" s="165">
        <f>SUM(G439:G444)</f>
        <v>60431</v>
      </c>
      <c r="H438" s="165">
        <f>SUM(H439:H444)</f>
        <v>56289</v>
      </c>
      <c r="I438" s="39">
        <f t="shared" ref="I438:I444" si="196">IF(G438&gt;0,H438/G438*100,"-")</f>
        <v>93.145901937747183</v>
      </c>
      <c r="J438" s="165">
        <f>SUM(J439:J444)</f>
        <v>12086</v>
      </c>
      <c r="K438" s="165">
        <f>SUM(K439:K444)</f>
        <v>20796</v>
      </c>
      <c r="L438" s="165">
        <f>SUM(L439:L444)</f>
        <v>32882</v>
      </c>
      <c r="M438" s="38">
        <f>SUM(M439:M444)</f>
        <v>28739.43</v>
      </c>
      <c r="N438" s="39">
        <f t="shared" ref="N438:N444" si="197">IF(L438&gt;0,M438/L438*100,"-")</f>
        <v>87.401709141779691</v>
      </c>
      <c r="O438" s="406" t="s">
        <v>507</v>
      </c>
    </row>
    <row r="439" spans="1:15" s="15" customFormat="1" ht="11.1" customHeight="1" outlineLevel="1" x14ac:dyDescent="0.2">
      <c r="A439" s="409"/>
      <c r="B439" s="76" t="s">
        <v>10</v>
      </c>
      <c r="C439" s="149" t="s">
        <v>82</v>
      </c>
      <c r="D439" s="392"/>
      <c r="E439" s="392"/>
      <c r="F439" s="79" t="s">
        <v>15</v>
      </c>
      <c r="G439" s="166">
        <v>0</v>
      </c>
      <c r="H439" s="139">
        <f>ROUNDUP(0+M439,0)</f>
        <v>0</v>
      </c>
      <c r="I439" s="81" t="str">
        <f t="shared" ref="I439" si="198">IF(G439&gt;0,H439/G439*100,"-")</f>
        <v>-</v>
      </c>
      <c r="J439" s="139">
        <v>0</v>
      </c>
      <c r="K439" s="139">
        <f t="shared" ref="K439" si="199">L439-J439</f>
        <v>0</v>
      </c>
      <c r="L439" s="139">
        <v>0</v>
      </c>
      <c r="M439" s="80">
        <v>0</v>
      </c>
      <c r="N439" s="81" t="str">
        <f t="shared" si="197"/>
        <v>-</v>
      </c>
      <c r="O439" s="407"/>
    </row>
    <row r="440" spans="1:15" s="15" customFormat="1" ht="11.1" customHeight="1" outlineLevel="1" x14ac:dyDescent="0.2">
      <c r="A440" s="409"/>
      <c r="B440" s="76" t="s">
        <v>11</v>
      </c>
      <c r="C440" s="82" t="s">
        <v>83</v>
      </c>
      <c r="D440" s="392"/>
      <c r="E440" s="392"/>
      <c r="F440" s="79" t="s">
        <v>7</v>
      </c>
      <c r="G440" s="166">
        <v>60431</v>
      </c>
      <c r="H440" s="166">
        <f>ROUNDUP(27549+M440,0)</f>
        <v>56289</v>
      </c>
      <c r="I440" s="81">
        <f t="shared" si="196"/>
        <v>93.145901937747183</v>
      </c>
      <c r="J440" s="139">
        <v>12086</v>
      </c>
      <c r="K440" s="139">
        <f t="shared" ref="K440:K444" si="200">L440-J440</f>
        <v>20796</v>
      </c>
      <c r="L440" s="139">
        <v>32882</v>
      </c>
      <c r="M440" s="80">
        <v>28739.43</v>
      </c>
      <c r="N440" s="81">
        <f t="shared" si="197"/>
        <v>87.401709141779691</v>
      </c>
      <c r="O440" s="407"/>
    </row>
    <row r="441" spans="1:15" s="15" customFormat="1" ht="11.1" customHeight="1" outlineLevel="1" x14ac:dyDescent="0.2">
      <c r="A441" s="207"/>
      <c r="B441" s="76" t="s">
        <v>12</v>
      </c>
      <c r="C441" s="82" t="s">
        <v>204</v>
      </c>
      <c r="D441" s="109"/>
      <c r="E441" s="109"/>
      <c r="F441" s="79" t="s">
        <v>8</v>
      </c>
      <c r="G441" s="166">
        <v>0</v>
      </c>
      <c r="H441" s="139">
        <f>ROUNDUP(0+M441,0)</f>
        <v>0</v>
      </c>
      <c r="I441" s="81" t="str">
        <f t="shared" si="196"/>
        <v>-</v>
      </c>
      <c r="J441" s="139">
        <v>0</v>
      </c>
      <c r="K441" s="139">
        <f t="shared" si="200"/>
        <v>0</v>
      </c>
      <c r="L441" s="139">
        <v>0</v>
      </c>
      <c r="M441" s="80">
        <v>0</v>
      </c>
      <c r="N441" s="81" t="str">
        <f t="shared" si="197"/>
        <v>-</v>
      </c>
      <c r="O441" s="407"/>
    </row>
    <row r="442" spans="1:15" s="15" customFormat="1" ht="11.1" customHeight="1" outlineLevel="1" x14ac:dyDescent="0.2">
      <c r="A442" s="207"/>
      <c r="B442" s="76" t="s">
        <v>23</v>
      </c>
      <c r="C442" s="82" t="s">
        <v>295</v>
      </c>
      <c r="D442" s="109"/>
      <c r="E442" s="109"/>
      <c r="F442" s="79" t="s">
        <v>22</v>
      </c>
      <c r="G442" s="166">
        <v>0</v>
      </c>
      <c r="H442" s="139">
        <f>ROUNDUP(0+M442,0)</f>
        <v>0</v>
      </c>
      <c r="I442" s="81" t="str">
        <f t="shared" si="196"/>
        <v>-</v>
      </c>
      <c r="J442" s="139">
        <v>0</v>
      </c>
      <c r="K442" s="139">
        <f t="shared" si="200"/>
        <v>0</v>
      </c>
      <c r="L442" s="139">
        <v>0</v>
      </c>
      <c r="M442" s="80">
        <v>0</v>
      </c>
      <c r="N442" s="81" t="str">
        <f t="shared" si="197"/>
        <v>-</v>
      </c>
      <c r="O442" s="407"/>
    </row>
    <row r="443" spans="1:15" s="15" customFormat="1" ht="11.1" customHeight="1" outlineLevel="1" x14ac:dyDescent="0.2">
      <c r="A443" s="207"/>
      <c r="B443" s="76"/>
      <c r="C443" s="82" t="s">
        <v>296</v>
      </c>
      <c r="D443" s="109"/>
      <c r="E443" s="109"/>
      <c r="F443" s="79" t="s">
        <v>45</v>
      </c>
      <c r="G443" s="166">
        <v>0</v>
      </c>
      <c r="H443" s="139">
        <f>ROUNDUP(0+M443,0)</f>
        <v>0</v>
      </c>
      <c r="I443" s="167" t="str">
        <f t="shared" si="196"/>
        <v>-</v>
      </c>
      <c r="J443" s="139">
        <v>0</v>
      </c>
      <c r="K443" s="139">
        <f t="shared" si="200"/>
        <v>0</v>
      </c>
      <c r="L443" s="139">
        <v>0</v>
      </c>
      <c r="M443" s="80">
        <v>0</v>
      </c>
      <c r="N443" s="81" t="str">
        <f t="shared" si="197"/>
        <v>-</v>
      </c>
      <c r="O443" s="407"/>
    </row>
    <row r="444" spans="1:15" s="15" customFormat="1" ht="11.1" customHeight="1" outlineLevel="1" x14ac:dyDescent="0.2">
      <c r="A444" s="207"/>
      <c r="B444" s="76"/>
      <c r="C444" s="82"/>
      <c r="D444" s="109"/>
      <c r="E444" s="109"/>
      <c r="F444" s="79" t="s">
        <v>365</v>
      </c>
      <c r="G444" s="166">
        <v>0</v>
      </c>
      <c r="H444" s="139">
        <f>ROUNDUP(0+M444,0)</f>
        <v>0</v>
      </c>
      <c r="I444" s="167" t="str">
        <f t="shared" si="196"/>
        <v>-</v>
      </c>
      <c r="J444" s="139">
        <v>0</v>
      </c>
      <c r="K444" s="139">
        <f t="shared" si="200"/>
        <v>0</v>
      </c>
      <c r="L444" s="139">
        <v>0</v>
      </c>
      <c r="M444" s="80">
        <v>0</v>
      </c>
      <c r="N444" s="81" t="str">
        <f t="shared" si="197"/>
        <v>-</v>
      </c>
      <c r="O444" s="407"/>
    </row>
    <row r="445" spans="1:15" s="15" customFormat="1" ht="3.95" customHeight="1" outlineLevel="1" x14ac:dyDescent="0.2">
      <c r="A445" s="234"/>
      <c r="B445" s="85"/>
      <c r="C445" s="86"/>
      <c r="D445" s="182"/>
      <c r="E445" s="182"/>
      <c r="F445" s="206"/>
      <c r="G445" s="168"/>
      <c r="H445" s="168"/>
      <c r="I445" s="88"/>
      <c r="J445" s="168"/>
      <c r="K445" s="168"/>
      <c r="L445" s="141"/>
      <c r="M445" s="164"/>
      <c r="N445" s="88"/>
      <c r="O445" s="330"/>
    </row>
    <row r="446" spans="1:15" s="15" customFormat="1" ht="3.95" customHeight="1" outlineLevel="1" x14ac:dyDescent="0.2">
      <c r="A446" s="72"/>
      <c r="B446" s="72"/>
      <c r="C446" s="73"/>
      <c r="D446" s="233"/>
      <c r="E446" s="233"/>
      <c r="F446" s="226"/>
      <c r="G446" s="224"/>
      <c r="H446" s="224"/>
      <c r="I446" s="75"/>
      <c r="J446" s="224"/>
      <c r="K446" s="224"/>
      <c r="L446" s="136"/>
      <c r="M446" s="220"/>
      <c r="N446" s="75"/>
      <c r="O446" s="331"/>
    </row>
    <row r="447" spans="1:15" s="15" customFormat="1" ht="11.1" customHeight="1" outlineLevel="1" x14ac:dyDescent="0.2">
      <c r="A447" s="409" t="s">
        <v>538</v>
      </c>
      <c r="B447" s="76" t="s">
        <v>9</v>
      </c>
      <c r="C447" s="149" t="s">
        <v>81</v>
      </c>
      <c r="D447" s="392" t="s">
        <v>291</v>
      </c>
      <c r="E447" s="392" t="s">
        <v>190</v>
      </c>
      <c r="F447" s="78" t="s">
        <v>157</v>
      </c>
      <c r="G447" s="165">
        <f>SUM(G448:G453)</f>
        <v>170318</v>
      </c>
      <c r="H447" s="165">
        <f>SUM(H448:H453)</f>
        <v>49662</v>
      </c>
      <c r="I447" s="39">
        <f t="shared" ref="I447:I453" si="201">IF(G447&gt;0,H447/G447*100,"-")</f>
        <v>29.158397820547449</v>
      </c>
      <c r="J447" s="165">
        <f>SUM(J448:J453)</f>
        <v>0</v>
      </c>
      <c r="K447" s="165">
        <f>SUM(K448:K453)</f>
        <v>170318</v>
      </c>
      <c r="L447" s="165">
        <f>SUM(L448:L453)</f>
        <v>170318</v>
      </c>
      <c r="M447" s="38">
        <f>SUM(M448:M453)</f>
        <v>49661.38</v>
      </c>
      <c r="N447" s="39">
        <f t="shared" ref="N447:N453" si="202">IF(L447&gt;0,M447/L447*100,"-")</f>
        <v>29.158033795605864</v>
      </c>
      <c r="O447" s="406" t="s">
        <v>507</v>
      </c>
    </row>
    <row r="448" spans="1:15" s="15" customFormat="1" ht="11.1" customHeight="1" outlineLevel="1" x14ac:dyDescent="0.2">
      <c r="A448" s="409"/>
      <c r="B448" s="76" t="s">
        <v>10</v>
      </c>
      <c r="C448" s="149" t="s">
        <v>84</v>
      </c>
      <c r="D448" s="392"/>
      <c r="E448" s="392"/>
      <c r="F448" s="79" t="s">
        <v>15</v>
      </c>
      <c r="G448" s="166">
        <v>0</v>
      </c>
      <c r="H448" s="139">
        <f t="shared" ref="H448:H453" si="203">ROUNDUP(0+M448,0)</f>
        <v>0</v>
      </c>
      <c r="I448" s="81" t="str">
        <f t="shared" si="201"/>
        <v>-</v>
      </c>
      <c r="J448" s="139">
        <v>0</v>
      </c>
      <c r="K448" s="139">
        <f t="shared" ref="K448" si="204">L448-J448</f>
        <v>0</v>
      </c>
      <c r="L448" s="139">
        <v>0</v>
      </c>
      <c r="M448" s="80">
        <v>0</v>
      </c>
      <c r="N448" s="81" t="str">
        <f t="shared" si="202"/>
        <v>-</v>
      </c>
      <c r="O448" s="407"/>
    </row>
    <row r="449" spans="1:15" s="15" customFormat="1" ht="11.1" customHeight="1" outlineLevel="1" x14ac:dyDescent="0.2">
      <c r="A449" s="409"/>
      <c r="B449" s="76" t="s">
        <v>11</v>
      </c>
      <c r="C449" s="82" t="s">
        <v>85</v>
      </c>
      <c r="D449" s="392"/>
      <c r="E449" s="392"/>
      <c r="F449" s="79" t="s">
        <v>7</v>
      </c>
      <c r="G449" s="166">
        <v>170318</v>
      </c>
      <c r="H449" s="166">
        <f t="shared" si="203"/>
        <v>49662</v>
      </c>
      <c r="I449" s="81">
        <f t="shared" si="201"/>
        <v>29.158397820547449</v>
      </c>
      <c r="J449" s="139">
        <v>0</v>
      </c>
      <c r="K449" s="139">
        <f t="shared" ref="K449:K453" si="205">L449-J449</f>
        <v>170318</v>
      </c>
      <c r="L449" s="139">
        <v>170318</v>
      </c>
      <c r="M449" s="80">
        <v>49661.38</v>
      </c>
      <c r="N449" s="81">
        <f t="shared" si="202"/>
        <v>29.158033795605864</v>
      </c>
      <c r="O449" s="407"/>
    </row>
    <row r="450" spans="1:15" s="15" customFormat="1" ht="11.1" customHeight="1" outlineLevel="1" x14ac:dyDescent="0.2">
      <c r="A450" s="118"/>
      <c r="B450" s="76" t="s">
        <v>12</v>
      </c>
      <c r="C450" s="82" t="s">
        <v>329</v>
      </c>
      <c r="D450" s="109"/>
      <c r="E450" s="109"/>
      <c r="F450" s="79" t="s">
        <v>8</v>
      </c>
      <c r="G450" s="166">
        <v>0</v>
      </c>
      <c r="H450" s="139">
        <f t="shared" si="203"/>
        <v>0</v>
      </c>
      <c r="I450" s="81" t="str">
        <f t="shared" si="201"/>
        <v>-</v>
      </c>
      <c r="J450" s="139">
        <v>0</v>
      </c>
      <c r="K450" s="139">
        <f t="shared" si="205"/>
        <v>0</v>
      </c>
      <c r="L450" s="139">
        <v>0</v>
      </c>
      <c r="M450" s="80">
        <v>0</v>
      </c>
      <c r="N450" s="81" t="str">
        <f t="shared" si="202"/>
        <v>-</v>
      </c>
      <c r="O450" s="407"/>
    </row>
    <row r="451" spans="1:15" s="15" customFormat="1" ht="11.1" customHeight="1" outlineLevel="1" x14ac:dyDescent="0.2">
      <c r="A451" s="118"/>
      <c r="B451" s="76" t="s">
        <v>23</v>
      </c>
      <c r="C451" s="82" t="s">
        <v>330</v>
      </c>
      <c r="D451" s="109"/>
      <c r="E451" s="109"/>
      <c r="F451" s="79" t="s">
        <v>22</v>
      </c>
      <c r="G451" s="166">
        <v>0</v>
      </c>
      <c r="H451" s="139">
        <f t="shared" si="203"/>
        <v>0</v>
      </c>
      <c r="I451" s="81" t="str">
        <f t="shared" si="201"/>
        <v>-</v>
      </c>
      <c r="J451" s="139">
        <v>0</v>
      </c>
      <c r="K451" s="139">
        <f t="shared" si="205"/>
        <v>0</v>
      </c>
      <c r="L451" s="139">
        <v>0</v>
      </c>
      <c r="M451" s="80">
        <v>0</v>
      </c>
      <c r="N451" s="81" t="str">
        <f t="shared" si="202"/>
        <v>-</v>
      </c>
      <c r="O451" s="407"/>
    </row>
    <row r="452" spans="1:15" s="15" customFormat="1" ht="11.1" customHeight="1" outlineLevel="1" x14ac:dyDescent="0.2">
      <c r="A452" s="118"/>
      <c r="B452" s="76"/>
      <c r="C452" s="82" t="s">
        <v>331</v>
      </c>
      <c r="D452" s="109"/>
      <c r="E452" s="109"/>
      <c r="F452" s="79" t="s">
        <v>45</v>
      </c>
      <c r="G452" s="166">
        <v>0</v>
      </c>
      <c r="H452" s="139">
        <f t="shared" si="203"/>
        <v>0</v>
      </c>
      <c r="I452" s="167" t="str">
        <f t="shared" si="201"/>
        <v>-</v>
      </c>
      <c r="J452" s="139">
        <v>0</v>
      </c>
      <c r="K452" s="139">
        <f t="shared" si="205"/>
        <v>0</v>
      </c>
      <c r="L452" s="139">
        <v>0</v>
      </c>
      <c r="M452" s="80">
        <v>0</v>
      </c>
      <c r="N452" s="81" t="str">
        <f t="shared" si="202"/>
        <v>-</v>
      </c>
      <c r="O452" s="407"/>
    </row>
    <row r="453" spans="1:15" s="15" customFormat="1" ht="11.1" customHeight="1" outlineLevel="1" x14ac:dyDescent="0.2">
      <c r="A453" s="118"/>
      <c r="B453" s="76"/>
      <c r="C453" s="82"/>
      <c r="D453" s="109"/>
      <c r="E453" s="109"/>
      <c r="F453" s="79" t="s">
        <v>365</v>
      </c>
      <c r="G453" s="166">
        <v>0</v>
      </c>
      <c r="H453" s="139">
        <f t="shared" si="203"/>
        <v>0</v>
      </c>
      <c r="I453" s="167" t="str">
        <f t="shared" si="201"/>
        <v>-</v>
      </c>
      <c r="J453" s="139">
        <v>0</v>
      </c>
      <c r="K453" s="139">
        <f t="shared" si="205"/>
        <v>0</v>
      </c>
      <c r="L453" s="139">
        <v>0</v>
      </c>
      <c r="M453" s="80">
        <v>0</v>
      </c>
      <c r="N453" s="81" t="str">
        <f t="shared" si="202"/>
        <v>-</v>
      </c>
      <c r="O453" s="407"/>
    </row>
    <row r="454" spans="1:15" s="15" customFormat="1" ht="3.95" customHeight="1" outlineLevel="1" x14ac:dyDescent="0.2">
      <c r="A454" s="85"/>
      <c r="B454" s="85"/>
      <c r="C454" s="86"/>
      <c r="D454" s="218"/>
      <c r="E454" s="218"/>
      <c r="F454" s="206"/>
      <c r="G454" s="168"/>
      <c r="H454" s="168"/>
      <c r="I454" s="88"/>
      <c r="J454" s="168"/>
      <c r="K454" s="168"/>
      <c r="L454" s="141"/>
      <c r="M454" s="164"/>
      <c r="N454" s="88"/>
      <c r="O454" s="330"/>
    </row>
    <row r="455" spans="1:15" s="15" customFormat="1" ht="3.95" customHeight="1" outlineLevel="1" x14ac:dyDescent="0.2">
      <c r="A455" s="72"/>
      <c r="B455" s="72"/>
      <c r="C455" s="73"/>
      <c r="D455" s="233"/>
      <c r="E455" s="233"/>
      <c r="F455" s="226"/>
      <c r="G455" s="224"/>
      <c r="H455" s="224"/>
      <c r="I455" s="75"/>
      <c r="J455" s="224"/>
      <c r="K455" s="224"/>
      <c r="L455" s="136"/>
      <c r="M455" s="220"/>
      <c r="N455" s="75"/>
      <c r="O455" s="331"/>
    </row>
    <row r="456" spans="1:15" s="15" customFormat="1" ht="11.1" customHeight="1" outlineLevel="1" x14ac:dyDescent="0.2">
      <c r="A456" s="409" t="s">
        <v>539</v>
      </c>
      <c r="B456" s="76" t="s">
        <v>9</v>
      </c>
      <c r="C456" s="149" t="s">
        <v>81</v>
      </c>
      <c r="D456" s="392" t="s">
        <v>291</v>
      </c>
      <c r="E456" s="392" t="s">
        <v>190</v>
      </c>
      <c r="F456" s="78" t="s">
        <v>157</v>
      </c>
      <c r="G456" s="165">
        <f>SUM(G457:G462)</f>
        <v>335173</v>
      </c>
      <c r="H456" s="165">
        <f>SUM(H457:H462)</f>
        <v>145801</v>
      </c>
      <c r="I456" s="39">
        <f t="shared" ref="I456:I462" si="206">IF(G456&gt;0,H456/G456*100,"-")</f>
        <v>43.500222273273806</v>
      </c>
      <c r="J456" s="165">
        <f>SUM(J457:J462)</f>
        <v>0</v>
      </c>
      <c r="K456" s="165">
        <f>SUM(K457:K462)</f>
        <v>335173</v>
      </c>
      <c r="L456" s="165">
        <f>SUM(L457:L462)</f>
        <v>335173</v>
      </c>
      <c r="M456" s="38">
        <f>SUM(M457:M462)</f>
        <v>145800.21</v>
      </c>
      <c r="N456" s="39">
        <f t="shared" ref="N456:N462" si="207">IF(L456&gt;0,M456/L456*100,"-")</f>
        <v>43.499986574097555</v>
      </c>
      <c r="O456" s="406" t="s">
        <v>507</v>
      </c>
    </row>
    <row r="457" spans="1:15" s="15" customFormat="1" ht="11.1" customHeight="1" outlineLevel="1" x14ac:dyDescent="0.2">
      <c r="A457" s="409"/>
      <c r="B457" s="76" t="s">
        <v>10</v>
      </c>
      <c r="C457" s="149" t="s">
        <v>84</v>
      </c>
      <c r="D457" s="392"/>
      <c r="E457" s="392"/>
      <c r="F457" s="79" t="s">
        <v>15</v>
      </c>
      <c r="G457" s="166">
        <v>0</v>
      </c>
      <c r="H457" s="139">
        <f t="shared" ref="H457:H462" si="208">ROUNDUP(0+M457,0)</f>
        <v>0</v>
      </c>
      <c r="I457" s="81" t="str">
        <f t="shared" si="206"/>
        <v>-</v>
      </c>
      <c r="J457" s="139">
        <v>0</v>
      </c>
      <c r="K457" s="139">
        <f t="shared" ref="K457" si="209">L457-J457</f>
        <v>0</v>
      </c>
      <c r="L457" s="139">
        <v>0</v>
      </c>
      <c r="M457" s="80">
        <v>0</v>
      </c>
      <c r="N457" s="81" t="str">
        <f t="shared" si="207"/>
        <v>-</v>
      </c>
      <c r="O457" s="407"/>
    </row>
    <row r="458" spans="1:15" s="15" customFormat="1" ht="11.1" customHeight="1" outlineLevel="1" x14ac:dyDescent="0.2">
      <c r="A458" s="409"/>
      <c r="B458" s="76" t="s">
        <v>11</v>
      </c>
      <c r="C458" s="82" t="s">
        <v>85</v>
      </c>
      <c r="D458" s="392"/>
      <c r="E458" s="392"/>
      <c r="F458" s="79" t="s">
        <v>7</v>
      </c>
      <c r="G458" s="166">
        <v>335173</v>
      </c>
      <c r="H458" s="166">
        <f t="shared" si="208"/>
        <v>145801</v>
      </c>
      <c r="I458" s="81">
        <f t="shared" si="206"/>
        <v>43.500222273273806</v>
      </c>
      <c r="J458" s="139">
        <v>0</v>
      </c>
      <c r="K458" s="139">
        <f t="shared" ref="K458:K462" si="210">L458-J458</f>
        <v>335173</v>
      </c>
      <c r="L458" s="139">
        <v>335173</v>
      </c>
      <c r="M458" s="80">
        <v>145800.21</v>
      </c>
      <c r="N458" s="81">
        <f t="shared" si="207"/>
        <v>43.499986574097555</v>
      </c>
      <c r="O458" s="407"/>
    </row>
    <row r="459" spans="1:15" s="15" customFormat="1" ht="11.1" customHeight="1" outlineLevel="1" x14ac:dyDescent="0.2">
      <c r="A459" s="118"/>
      <c r="B459" s="76" t="s">
        <v>12</v>
      </c>
      <c r="C459" s="82" t="s">
        <v>332</v>
      </c>
      <c r="D459" s="109"/>
      <c r="E459" s="109"/>
      <c r="F459" s="79" t="s">
        <v>8</v>
      </c>
      <c r="G459" s="166">
        <v>0</v>
      </c>
      <c r="H459" s="139">
        <f t="shared" si="208"/>
        <v>0</v>
      </c>
      <c r="I459" s="81" t="str">
        <f t="shared" si="206"/>
        <v>-</v>
      </c>
      <c r="J459" s="139">
        <v>0</v>
      </c>
      <c r="K459" s="139">
        <f t="shared" si="210"/>
        <v>0</v>
      </c>
      <c r="L459" s="139">
        <v>0</v>
      </c>
      <c r="M459" s="80">
        <v>0</v>
      </c>
      <c r="N459" s="81" t="str">
        <f t="shared" si="207"/>
        <v>-</v>
      </c>
      <c r="O459" s="407"/>
    </row>
    <row r="460" spans="1:15" s="15" customFormat="1" ht="11.1" customHeight="1" outlineLevel="1" x14ac:dyDescent="0.2">
      <c r="A460" s="118"/>
      <c r="B460" s="76" t="s">
        <v>23</v>
      </c>
      <c r="C460" s="82" t="s">
        <v>324</v>
      </c>
      <c r="D460" s="109"/>
      <c r="E460" s="109"/>
      <c r="F460" s="79" t="s">
        <v>22</v>
      </c>
      <c r="G460" s="166">
        <v>0</v>
      </c>
      <c r="H460" s="139">
        <f t="shared" si="208"/>
        <v>0</v>
      </c>
      <c r="I460" s="81" t="str">
        <f t="shared" si="206"/>
        <v>-</v>
      </c>
      <c r="J460" s="139">
        <v>0</v>
      </c>
      <c r="K460" s="139">
        <f t="shared" si="210"/>
        <v>0</v>
      </c>
      <c r="L460" s="139">
        <v>0</v>
      </c>
      <c r="M460" s="80">
        <v>0</v>
      </c>
      <c r="N460" s="81" t="str">
        <f t="shared" si="207"/>
        <v>-</v>
      </c>
      <c r="O460" s="407"/>
    </row>
    <row r="461" spans="1:15" s="15" customFormat="1" ht="11.1" customHeight="1" outlineLevel="1" x14ac:dyDescent="0.2">
      <c r="A461" s="118"/>
      <c r="B461" s="76"/>
      <c r="C461" s="82" t="s">
        <v>333</v>
      </c>
      <c r="D461" s="109"/>
      <c r="E461" s="109"/>
      <c r="F461" s="79" t="s">
        <v>45</v>
      </c>
      <c r="G461" s="166">
        <v>0</v>
      </c>
      <c r="H461" s="139">
        <f t="shared" si="208"/>
        <v>0</v>
      </c>
      <c r="I461" s="167" t="str">
        <f t="shared" si="206"/>
        <v>-</v>
      </c>
      <c r="J461" s="139">
        <v>0</v>
      </c>
      <c r="K461" s="139">
        <f t="shared" si="210"/>
        <v>0</v>
      </c>
      <c r="L461" s="139">
        <v>0</v>
      </c>
      <c r="M461" s="80">
        <v>0</v>
      </c>
      <c r="N461" s="81" t="str">
        <f t="shared" si="207"/>
        <v>-</v>
      </c>
      <c r="O461" s="407"/>
    </row>
    <row r="462" spans="1:15" s="15" customFormat="1" ht="11.1" customHeight="1" outlineLevel="1" x14ac:dyDescent="0.2">
      <c r="A462" s="118"/>
      <c r="B462" s="76"/>
      <c r="C462" s="82"/>
      <c r="D462" s="109"/>
      <c r="E462" s="109"/>
      <c r="F462" s="79" t="s">
        <v>365</v>
      </c>
      <c r="G462" s="166">
        <v>0</v>
      </c>
      <c r="H462" s="139">
        <f t="shared" si="208"/>
        <v>0</v>
      </c>
      <c r="I462" s="167" t="str">
        <f t="shared" si="206"/>
        <v>-</v>
      </c>
      <c r="J462" s="139">
        <v>0</v>
      </c>
      <c r="K462" s="139">
        <f t="shared" si="210"/>
        <v>0</v>
      </c>
      <c r="L462" s="139">
        <v>0</v>
      </c>
      <c r="M462" s="80">
        <v>0</v>
      </c>
      <c r="N462" s="81" t="str">
        <f t="shared" si="207"/>
        <v>-</v>
      </c>
      <c r="O462" s="407"/>
    </row>
    <row r="463" spans="1:15" s="15" customFormat="1" ht="3.95" customHeight="1" outlineLevel="1" x14ac:dyDescent="0.2">
      <c r="A463" s="85"/>
      <c r="B463" s="85"/>
      <c r="C463" s="86"/>
      <c r="D463" s="218"/>
      <c r="E463" s="218"/>
      <c r="F463" s="206"/>
      <c r="G463" s="168"/>
      <c r="H463" s="168"/>
      <c r="I463" s="88"/>
      <c r="J463" s="168"/>
      <c r="K463" s="168"/>
      <c r="L463" s="141"/>
      <c r="M463" s="164"/>
      <c r="N463" s="88"/>
      <c r="O463" s="330"/>
    </row>
    <row r="464" spans="1:15" s="15" customFormat="1" ht="3.95" customHeight="1" outlineLevel="1" x14ac:dyDescent="0.2">
      <c r="A464" s="72"/>
      <c r="B464" s="72"/>
      <c r="C464" s="73"/>
      <c r="D464" s="233"/>
      <c r="E464" s="233"/>
      <c r="F464" s="226"/>
      <c r="G464" s="224"/>
      <c r="H464" s="224"/>
      <c r="I464" s="75"/>
      <c r="J464" s="224"/>
      <c r="K464" s="224"/>
      <c r="L464" s="136"/>
      <c r="M464" s="220"/>
      <c r="N464" s="75"/>
      <c r="O464" s="331"/>
    </row>
    <row r="465" spans="1:15" s="15" customFormat="1" ht="11.1" customHeight="1" outlineLevel="1" x14ac:dyDescent="0.2">
      <c r="A465" s="409" t="s">
        <v>540</v>
      </c>
      <c r="B465" s="76" t="s">
        <v>9</v>
      </c>
      <c r="C465" s="149" t="s">
        <v>81</v>
      </c>
      <c r="D465" s="392" t="s">
        <v>291</v>
      </c>
      <c r="E465" s="392" t="s">
        <v>190</v>
      </c>
      <c r="F465" s="78" t="s">
        <v>157</v>
      </c>
      <c r="G465" s="165">
        <f>SUM(G466:G471)</f>
        <v>587765</v>
      </c>
      <c r="H465" s="165">
        <f>SUM(H466:H471)</f>
        <v>395165</v>
      </c>
      <c r="I465" s="39">
        <f t="shared" ref="I465:I471" si="211">IF(G465&gt;0,H465/G465*100,"-")</f>
        <v>67.231801825559529</v>
      </c>
      <c r="J465" s="165">
        <f>SUM(J466:J471)</f>
        <v>240938</v>
      </c>
      <c r="K465" s="165">
        <f>SUM(K466:K471)</f>
        <v>339785</v>
      </c>
      <c r="L465" s="165">
        <f>SUM(L466:L471)</f>
        <v>580723</v>
      </c>
      <c r="M465" s="38">
        <f>SUM(M466:M471)</f>
        <v>388122.22</v>
      </c>
      <c r="N465" s="39">
        <f t="shared" ref="N465:N471" si="212">IF(L465&gt;0,M465/L465*100,"-")</f>
        <v>66.834311711435561</v>
      </c>
      <c r="O465" s="406" t="s">
        <v>507</v>
      </c>
    </row>
    <row r="466" spans="1:15" s="15" customFormat="1" ht="11.1" customHeight="1" outlineLevel="1" x14ac:dyDescent="0.2">
      <c r="A466" s="409"/>
      <c r="B466" s="76" t="s">
        <v>10</v>
      </c>
      <c r="C466" s="149" t="s">
        <v>84</v>
      </c>
      <c r="D466" s="392"/>
      <c r="E466" s="392"/>
      <c r="F466" s="79" t="s">
        <v>15</v>
      </c>
      <c r="G466" s="166">
        <v>0</v>
      </c>
      <c r="H466" s="139">
        <f t="shared" ref="H466:H471" si="213">ROUNDUP(0+M466,0)</f>
        <v>0</v>
      </c>
      <c r="I466" s="81" t="str">
        <f t="shared" si="211"/>
        <v>-</v>
      </c>
      <c r="J466" s="139">
        <v>0</v>
      </c>
      <c r="K466" s="139">
        <f t="shared" ref="K466" si="214">L466-J466</f>
        <v>0</v>
      </c>
      <c r="L466" s="139">
        <v>0</v>
      </c>
      <c r="M466" s="80">
        <v>0</v>
      </c>
      <c r="N466" s="81" t="str">
        <f t="shared" si="212"/>
        <v>-</v>
      </c>
      <c r="O466" s="407"/>
    </row>
    <row r="467" spans="1:15" s="15" customFormat="1" ht="11.1" customHeight="1" outlineLevel="1" x14ac:dyDescent="0.2">
      <c r="A467" s="409"/>
      <c r="B467" s="76" t="s">
        <v>11</v>
      </c>
      <c r="C467" s="82" t="s">
        <v>85</v>
      </c>
      <c r="D467" s="392"/>
      <c r="E467" s="392"/>
      <c r="F467" s="79" t="s">
        <v>7</v>
      </c>
      <c r="G467" s="166">
        <v>587765</v>
      </c>
      <c r="H467" s="166">
        <f>ROUNDUP(7042+M467,0)</f>
        <v>395165</v>
      </c>
      <c r="I467" s="81">
        <f t="shared" si="211"/>
        <v>67.231801825559529</v>
      </c>
      <c r="J467" s="139">
        <v>240938</v>
      </c>
      <c r="K467" s="139">
        <f t="shared" ref="K467:K471" si="215">L467-J467</f>
        <v>339785</v>
      </c>
      <c r="L467" s="139">
        <v>580723</v>
      </c>
      <c r="M467" s="80">
        <v>388122.22</v>
      </c>
      <c r="N467" s="81">
        <f t="shared" si="212"/>
        <v>66.834311711435561</v>
      </c>
      <c r="O467" s="407"/>
    </row>
    <row r="468" spans="1:15" s="15" customFormat="1" ht="11.1" customHeight="1" outlineLevel="1" x14ac:dyDescent="0.2">
      <c r="A468" s="118"/>
      <c r="B468" s="76" t="s">
        <v>12</v>
      </c>
      <c r="C468" s="82" t="s">
        <v>334</v>
      </c>
      <c r="D468" s="109"/>
      <c r="E468" s="109"/>
      <c r="F468" s="79" t="s">
        <v>8</v>
      </c>
      <c r="G468" s="166">
        <v>0</v>
      </c>
      <c r="H468" s="139">
        <f t="shared" si="213"/>
        <v>0</v>
      </c>
      <c r="I468" s="81" t="str">
        <f t="shared" si="211"/>
        <v>-</v>
      </c>
      <c r="J468" s="139">
        <v>0</v>
      </c>
      <c r="K468" s="139">
        <f t="shared" si="215"/>
        <v>0</v>
      </c>
      <c r="L468" s="139">
        <v>0</v>
      </c>
      <c r="M468" s="80">
        <v>0</v>
      </c>
      <c r="N468" s="81" t="str">
        <f t="shared" si="212"/>
        <v>-</v>
      </c>
      <c r="O468" s="407"/>
    </row>
    <row r="469" spans="1:15" s="15" customFormat="1" ht="11.1" customHeight="1" outlineLevel="1" x14ac:dyDescent="0.2">
      <c r="A469" s="118"/>
      <c r="B469" s="76" t="s">
        <v>23</v>
      </c>
      <c r="C469" s="82" t="s">
        <v>335</v>
      </c>
      <c r="D469" s="109"/>
      <c r="E469" s="109"/>
      <c r="F469" s="79" t="s">
        <v>22</v>
      </c>
      <c r="G469" s="166">
        <v>0</v>
      </c>
      <c r="H469" s="139">
        <f t="shared" si="213"/>
        <v>0</v>
      </c>
      <c r="I469" s="81" t="str">
        <f t="shared" si="211"/>
        <v>-</v>
      </c>
      <c r="J469" s="139">
        <v>0</v>
      </c>
      <c r="K469" s="139">
        <f t="shared" si="215"/>
        <v>0</v>
      </c>
      <c r="L469" s="139">
        <v>0</v>
      </c>
      <c r="M469" s="80">
        <v>0</v>
      </c>
      <c r="N469" s="81" t="str">
        <f t="shared" si="212"/>
        <v>-</v>
      </c>
      <c r="O469" s="407"/>
    </row>
    <row r="470" spans="1:15" s="15" customFormat="1" ht="11.1" customHeight="1" outlineLevel="1" x14ac:dyDescent="0.2">
      <c r="A470" s="118"/>
      <c r="B470" s="76"/>
      <c r="C470" s="82" t="s">
        <v>336</v>
      </c>
      <c r="D470" s="109"/>
      <c r="E470" s="109"/>
      <c r="F470" s="79" t="s">
        <v>45</v>
      </c>
      <c r="G470" s="166">
        <v>0</v>
      </c>
      <c r="H470" s="139">
        <f t="shared" si="213"/>
        <v>0</v>
      </c>
      <c r="I470" s="167" t="str">
        <f t="shared" si="211"/>
        <v>-</v>
      </c>
      <c r="J470" s="139">
        <v>0</v>
      </c>
      <c r="K470" s="139">
        <f t="shared" si="215"/>
        <v>0</v>
      </c>
      <c r="L470" s="139">
        <v>0</v>
      </c>
      <c r="M470" s="80">
        <v>0</v>
      </c>
      <c r="N470" s="81" t="str">
        <f t="shared" si="212"/>
        <v>-</v>
      </c>
      <c r="O470" s="407"/>
    </row>
    <row r="471" spans="1:15" s="15" customFormat="1" ht="11.1" customHeight="1" outlineLevel="1" x14ac:dyDescent="0.2">
      <c r="A471" s="118"/>
      <c r="B471" s="76"/>
      <c r="C471" s="82"/>
      <c r="D471" s="109"/>
      <c r="E471" s="109"/>
      <c r="F471" s="79" t="s">
        <v>365</v>
      </c>
      <c r="G471" s="166">
        <v>0</v>
      </c>
      <c r="H471" s="139">
        <f t="shared" si="213"/>
        <v>0</v>
      </c>
      <c r="I471" s="167" t="str">
        <f t="shared" si="211"/>
        <v>-</v>
      </c>
      <c r="J471" s="139">
        <v>0</v>
      </c>
      <c r="K471" s="139">
        <f t="shared" si="215"/>
        <v>0</v>
      </c>
      <c r="L471" s="139">
        <v>0</v>
      </c>
      <c r="M471" s="80">
        <v>0</v>
      </c>
      <c r="N471" s="81" t="str">
        <f t="shared" si="212"/>
        <v>-</v>
      </c>
      <c r="O471" s="407"/>
    </row>
    <row r="472" spans="1:15" s="15" customFormat="1" ht="3.95" customHeight="1" outlineLevel="1" x14ac:dyDescent="0.2">
      <c r="A472" s="85"/>
      <c r="B472" s="85"/>
      <c r="C472" s="86"/>
      <c r="D472" s="218"/>
      <c r="E472" s="218"/>
      <c r="F472" s="206"/>
      <c r="G472" s="168"/>
      <c r="H472" s="168"/>
      <c r="I472" s="88"/>
      <c r="J472" s="168"/>
      <c r="K472" s="168"/>
      <c r="L472" s="141"/>
      <c r="M472" s="164"/>
      <c r="N472" s="88"/>
      <c r="O472" s="330"/>
    </row>
    <row r="473" spans="1:15" ht="3.95" customHeight="1" outlineLevel="1" x14ac:dyDescent="0.2">
      <c r="A473" s="236"/>
      <c r="B473" s="237"/>
      <c r="C473" s="238"/>
      <c r="D473" s="239"/>
      <c r="E473" s="239"/>
      <c r="F473" s="236"/>
      <c r="G473" s="240"/>
      <c r="H473" s="240"/>
      <c r="I473" s="236"/>
      <c r="J473" s="240"/>
      <c r="K473" s="240"/>
      <c r="L473" s="240"/>
      <c r="M473" s="241"/>
      <c r="N473" s="242"/>
      <c r="O473" s="323"/>
    </row>
    <row r="474" spans="1:15" ht="11.45" customHeight="1" outlineLevel="1" x14ac:dyDescent="0.2">
      <c r="A474" s="28" t="s">
        <v>76</v>
      </c>
      <c r="B474" s="411" t="s">
        <v>89</v>
      </c>
      <c r="C474" s="394"/>
      <c r="D474" s="29"/>
      <c r="E474" s="29"/>
      <c r="F474" s="30"/>
      <c r="G474" s="133">
        <f>SUM(G475:G480)</f>
        <v>1749287</v>
      </c>
      <c r="H474" s="133">
        <f>SUM(H475:H480)</f>
        <v>737683</v>
      </c>
      <c r="I474" s="32">
        <f>IF(G474&gt;0,H474/G474*100,"-")</f>
        <v>42.170495750554373</v>
      </c>
      <c r="J474" s="133">
        <f>SUM(J475:J480)</f>
        <v>863655</v>
      </c>
      <c r="K474" s="133">
        <f>SUM(K475:K480)</f>
        <v>88307</v>
      </c>
      <c r="L474" s="133">
        <f>SUM(L475:L480)</f>
        <v>951962</v>
      </c>
      <c r="M474" s="31">
        <f>SUM(M475:M480)</f>
        <v>366798.68</v>
      </c>
      <c r="N474" s="32">
        <f t="shared" ref="N474:N480" si="216">IF(L474&gt;0,M474/L474*100,"-")</f>
        <v>38.530811103804567</v>
      </c>
      <c r="O474" s="324"/>
    </row>
    <row r="475" spans="1:15" ht="11.45" customHeight="1" outlineLevel="1" x14ac:dyDescent="0.2">
      <c r="A475" s="30"/>
      <c r="B475" s="33"/>
      <c r="C475" s="34"/>
      <c r="D475" s="29"/>
      <c r="E475" s="29"/>
      <c r="F475" s="35" t="s">
        <v>15</v>
      </c>
      <c r="G475" s="134">
        <f t="shared" ref="G475:H480" si="217">G484+G495+G506+G520+G555+G533+G546</f>
        <v>270105</v>
      </c>
      <c r="H475" s="134">
        <f t="shared" si="217"/>
        <v>80465</v>
      </c>
      <c r="I475" s="37">
        <f t="shared" ref="I475:I480" si="218">IF(G475&gt;0,H475/G475*100,"-")</f>
        <v>29.790266748116473</v>
      </c>
      <c r="J475" s="134">
        <f t="shared" ref="J475:M480" si="219">J484+J495+J506+J520+J555+J533+J546</f>
        <v>123605</v>
      </c>
      <c r="K475" s="134">
        <f t="shared" si="219"/>
        <v>14247</v>
      </c>
      <c r="L475" s="134">
        <f t="shared" si="219"/>
        <v>137852</v>
      </c>
      <c r="M475" s="36">
        <f t="shared" si="219"/>
        <v>47434.860000000008</v>
      </c>
      <c r="N475" s="37">
        <f t="shared" si="216"/>
        <v>34.409990424513254</v>
      </c>
      <c r="O475" s="324"/>
    </row>
    <row r="476" spans="1:15" ht="11.45" customHeight="1" outlineLevel="1" x14ac:dyDescent="0.2">
      <c r="A476" s="30"/>
      <c r="B476" s="33"/>
      <c r="C476" s="34"/>
      <c r="D476" s="29"/>
      <c r="E476" s="29"/>
      <c r="F476" s="35" t="s">
        <v>7</v>
      </c>
      <c r="G476" s="134">
        <f t="shared" si="217"/>
        <v>1404799</v>
      </c>
      <c r="H476" s="134">
        <f t="shared" si="217"/>
        <v>616382</v>
      </c>
      <c r="I476" s="37">
        <f t="shared" si="218"/>
        <v>43.876882030810101</v>
      </c>
      <c r="J476" s="134">
        <f t="shared" si="219"/>
        <v>701485</v>
      </c>
      <c r="K476" s="134">
        <f t="shared" si="219"/>
        <v>74060</v>
      </c>
      <c r="L476" s="134">
        <f t="shared" si="219"/>
        <v>775545</v>
      </c>
      <c r="M476" s="36">
        <f t="shared" si="219"/>
        <v>294803.76</v>
      </c>
      <c r="N476" s="37">
        <f t="shared" si="216"/>
        <v>38.012463493414309</v>
      </c>
      <c r="O476" s="324"/>
    </row>
    <row r="477" spans="1:15" ht="11.45" customHeight="1" outlineLevel="1" x14ac:dyDescent="0.2">
      <c r="A477" s="30"/>
      <c r="B477" s="33"/>
      <c r="C477" s="34"/>
      <c r="D477" s="29"/>
      <c r="E477" s="29"/>
      <c r="F477" s="35" t="s">
        <v>8</v>
      </c>
      <c r="G477" s="134">
        <f t="shared" si="217"/>
        <v>0</v>
      </c>
      <c r="H477" s="134">
        <f t="shared" si="217"/>
        <v>0</v>
      </c>
      <c r="I477" s="37" t="str">
        <f t="shared" si="218"/>
        <v>-</v>
      </c>
      <c r="J477" s="134">
        <f t="shared" si="219"/>
        <v>0</v>
      </c>
      <c r="K477" s="134">
        <f t="shared" si="219"/>
        <v>0</v>
      </c>
      <c r="L477" s="134">
        <f t="shared" si="219"/>
        <v>0</v>
      </c>
      <c r="M477" s="36">
        <f t="shared" si="219"/>
        <v>0</v>
      </c>
      <c r="N477" s="37" t="str">
        <f t="shared" si="216"/>
        <v>-</v>
      </c>
      <c r="O477" s="324"/>
    </row>
    <row r="478" spans="1:15" ht="11.45" customHeight="1" outlineLevel="1" x14ac:dyDescent="0.2">
      <c r="A478" s="30"/>
      <c r="B478" s="33"/>
      <c r="C478" s="34"/>
      <c r="D478" s="29"/>
      <c r="E478" s="29"/>
      <c r="F478" s="35" t="s">
        <v>22</v>
      </c>
      <c r="G478" s="134">
        <f t="shared" si="217"/>
        <v>74383</v>
      </c>
      <c r="H478" s="134">
        <f t="shared" si="217"/>
        <v>40836</v>
      </c>
      <c r="I478" s="37">
        <f t="shared" si="218"/>
        <v>54.899641047013425</v>
      </c>
      <c r="J478" s="134">
        <f t="shared" si="219"/>
        <v>38565</v>
      </c>
      <c r="K478" s="134">
        <f t="shared" si="219"/>
        <v>0</v>
      </c>
      <c r="L478" s="134">
        <f t="shared" si="219"/>
        <v>38565</v>
      </c>
      <c r="M478" s="36">
        <f t="shared" si="219"/>
        <v>24560.06</v>
      </c>
      <c r="N478" s="37">
        <f t="shared" si="216"/>
        <v>63.684843770258006</v>
      </c>
      <c r="O478" s="324"/>
    </row>
    <row r="479" spans="1:15" ht="11.45" customHeight="1" outlineLevel="1" x14ac:dyDescent="0.2">
      <c r="A479" s="30"/>
      <c r="B479" s="33"/>
      <c r="C479" s="34"/>
      <c r="D479" s="29"/>
      <c r="E479" s="29"/>
      <c r="F479" s="35" t="s">
        <v>45</v>
      </c>
      <c r="G479" s="134">
        <f t="shared" si="217"/>
        <v>0</v>
      </c>
      <c r="H479" s="134">
        <f t="shared" si="217"/>
        <v>0</v>
      </c>
      <c r="I479" s="37" t="str">
        <f t="shared" si="218"/>
        <v>-</v>
      </c>
      <c r="J479" s="134">
        <f t="shared" si="219"/>
        <v>0</v>
      </c>
      <c r="K479" s="134">
        <f t="shared" si="219"/>
        <v>0</v>
      </c>
      <c r="L479" s="134">
        <f t="shared" si="219"/>
        <v>0</v>
      </c>
      <c r="M479" s="36">
        <f t="shared" si="219"/>
        <v>0</v>
      </c>
      <c r="N479" s="37" t="str">
        <f t="shared" si="216"/>
        <v>-</v>
      </c>
      <c r="O479" s="324"/>
    </row>
    <row r="480" spans="1:15" ht="11.45" customHeight="1" outlineLevel="1" x14ac:dyDescent="0.2">
      <c r="A480" s="30"/>
      <c r="B480" s="33"/>
      <c r="C480" s="34"/>
      <c r="D480" s="29"/>
      <c r="E480" s="29"/>
      <c r="F480" s="35" t="s">
        <v>365</v>
      </c>
      <c r="G480" s="134">
        <f t="shared" si="217"/>
        <v>0</v>
      </c>
      <c r="H480" s="134">
        <f t="shared" si="217"/>
        <v>0</v>
      </c>
      <c r="I480" s="37" t="str">
        <f t="shared" si="218"/>
        <v>-</v>
      </c>
      <c r="J480" s="134">
        <f t="shared" si="219"/>
        <v>0</v>
      </c>
      <c r="K480" s="134">
        <f t="shared" si="219"/>
        <v>0</v>
      </c>
      <c r="L480" s="134">
        <f t="shared" si="219"/>
        <v>0</v>
      </c>
      <c r="M480" s="36">
        <f t="shared" si="219"/>
        <v>0</v>
      </c>
      <c r="N480" s="37" t="str">
        <f t="shared" si="216"/>
        <v>-</v>
      </c>
      <c r="O480" s="324"/>
    </row>
    <row r="481" spans="1:15" ht="3.95" customHeight="1" outlineLevel="1" x14ac:dyDescent="0.2">
      <c r="A481" s="65"/>
      <c r="B481" s="66"/>
      <c r="C481" s="67"/>
      <c r="D481" s="68"/>
      <c r="E481" s="68"/>
      <c r="F481" s="65"/>
      <c r="G481" s="135"/>
      <c r="H481" s="135"/>
      <c r="I481" s="70"/>
      <c r="J481" s="135"/>
      <c r="K481" s="135"/>
      <c r="L481" s="135"/>
      <c r="M481" s="69"/>
      <c r="N481" s="70"/>
      <c r="O481" s="325"/>
    </row>
    <row r="482" spans="1:15" s="95" customFormat="1" ht="3.95" customHeight="1" outlineLevel="1" x14ac:dyDescent="0.2">
      <c r="A482" s="153"/>
      <c r="B482" s="72"/>
      <c r="C482" s="73"/>
      <c r="D482" s="71"/>
      <c r="E482" s="71"/>
      <c r="F482" s="72"/>
      <c r="G482" s="136"/>
      <c r="H482" s="136"/>
      <c r="I482" s="75"/>
      <c r="J482" s="136"/>
      <c r="K482" s="136"/>
      <c r="L482" s="137"/>
      <c r="M482" s="74"/>
      <c r="N482" s="75"/>
      <c r="O482" s="326"/>
    </row>
    <row r="483" spans="1:15" s="95" customFormat="1" ht="11.1" customHeight="1" outlineLevel="1" x14ac:dyDescent="0.2">
      <c r="A483" s="391" t="s">
        <v>541</v>
      </c>
      <c r="B483" s="76" t="s">
        <v>9</v>
      </c>
      <c r="C483" s="77" t="s">
        <v>90</v>
      </c>
      <c r="D483" s="392" t="s">
        <v>297</v>
      </c>
      <c r="E483" s="392" t="s">
        <v>93</v>
      </c>
      <c r="F483" s="78" t="s">
        <v>28</v>
      </c>
      <c r="G483" s="138">
        <f>SUM(G484:G489)</f>
        <v>150005</v>
      </c>
      <c r="H483" s="138">
        <f>SUM(H484:H489)</f>
        <v>75245</v>
      </c>
      <c r="I483" s="39">
        <f t="shared" ref="I483:I489" si="220">IF(G483&gt;0,H483/G483*100,"-")</f>
        <v>50.161661277957407</v>
      </c>
      <c r="J483" s="138">
        <f>SUM(J484:J489)</f>
        <v>74760</v>
      </c>
      <c r="K483" s="138">
        <f>SUM(K484:K489)</f>
        <v>0</v>
      </c>
      <c r="L483" s="138">
        <f>SUM(L484:L489)</f>
        <v>74760</v>
      </c>
      <c r="M483" s="38">
        <f>SUM(M484:M489)</f>
        <v>0</v>
      </c>
      <c r="N483" s="39">
        <f t="shared" ref="N483:N489" si="221">IF(L483&gt;0,M483/L483*100,"-")</f>
        <v>0</v>
      </c>
      <c r="O483" s="388" t="s">
        <v>472</v>
      </c>
    </row>
    <row r="484" spans="1:15" s="95" customFormat="1" ht="11.1" customHeight="1" outlineLevel="1" x14ac:dyDescent="0.2">
      <c r="A484" s="391"/>
      <c r="B484" s="76" t="s">
        <v>10</v>
      </c>
      <c r="C484" s="77" t="s">
        <v>91</v>
      </c>
      <c r="D484" s="392"/>
      <c r="E484" s="392"/>
      <c r="F484" s="79" t="s">
        <v>15</v>
      </c>
      <c r="G484" s="139">
        <v>12214</v>
      </c>
      <c r="H484" s="139">
        <f>ROUNDUP(0+M484,0)</f>
        <v>0</v>
      </c>
      <c r="I484" s="81">
        <f t="shared" si="220"/>
        <v>0</v>
      </c>
      <c r="J484" s="139">
        <v>12214</v>
      </c>
      <c r="K484" s="139">
        <f t="shared" ref="K484:K489" si="222">L484-J484</f>
        <v>0</v>
      </c>
      <c r="L484" s="139">
        <v>12214</v>
      </c>
      <c r="M484" s="80">
        <v>0</v>
      </c>
      <c r="N484" s="81">
        <f t="shared" si="221"/>
        <v>0</v>
      </c>
      <c r="O484" s="388"/>
    </row>
    <row r="485" spans="1:15" s="95" customFormat="1" ht="11.1" customHeight="1" outlineLevel="1" x14ac:dyDescent="0.2">
      <c r="A485" s="391"/>
      <c r="B485" s="76" t="s">
        <v>11</v>
      </c>
      <c r="C485" s="82" t="s">
        <v>92</v>
      </c>
      <c r="D485" s="392"/>
      <c r="E485" s="392"/>
      <c r="F485" s="79" t="s">
        <v>7</v>
      </c>
      <c r="G485" s="139">
        <v>137791</v>
      </c>
      <c r="H485" s="139">
        <f>ROUNDUP(75245+M485,0)</f>
        <v>75245</v>
      </c>
      <c r="I485" s="81">
        <f t="shared" si="220"/>
        <v>54.60806583884289</v>
      </c>
      <c r="J485" s="139">
        <v>62546</v>
      </c>
      <c r="K485" s="139">
        <f t="shared" si="222"/>
        <v>0</v>
      </c>
      <c r="L485" s="139">
        <v>62546</v>
      </c>
      <c r="M485" s="80">
        <v>0</v>
      </c>
      <c r="N485" s="81">
        <f t="shared" si="221"/>
        <v>0</v>
      </c>
      <c r="O485" s="388"/>
    </row>
    <row r="486" spans="1:15" s="95" customFormat="1" ht="11.1" customHeight="1" outlineLevel="1" x14ac:dyDescent="0.2">
      <c r="A486" s="118"/>
      <c r="B486" s="76" t="s">
        <v>12</v>
      </c>
      <c r="C486" s="82" t="s">
        <v>205</v>
      </c>
      <c r="D486" s="109"/>
      <c r="E486" s="109"/>
      <c r="F486" s="79" t="s">
        <v>8</v>
      </c>
      <c r="G486" s="139">
        <v>0</v>
      </c>
      <c r="H486" s="139">
        <f t="shared" ref="H486:H489" si="223">ROUNDUP(0+M486,0)</f>
        <v>0</v>
      </c>
      <c r="I486" s="81" t="str">
        <f t="shared" si="220"/>
        <v>-</v>
      </c>
      <c r="J486" s="139">
        <v>0</v>
      </c>
      <c r="K486" s="139">
        <f t="shared" si="222"/>
        <v>0</v>
      </c>
      <c r="L486" s="139">
        <v>0</v>
      </c>
      <c r="M486" s="80">
        <v>0</v>
      </c>
      <c r="N486" s="81" t="str">
        <f t="shared" si="221"/>
        <v>-</v>
      </c>
      <c r="O486" s="388"/>
    </row>
    <row r="487" spans="1:15" s="95" customFormat="1" ht="11.1" customHeight="1" outlineLevel="1" x14ac:dyDescent="0.2">
      <c r="A487" s="118"/>
      <c r="B487" s="76"/>
      <c r="C487" s="82" t="s">
        <v>206</v>
      </c>
      <c r="D487" s="109"/>
      <c r="E487" s="109"/>
      <c r="F487" s="79" t="s">
        <v>22</v>
      </c>
      <c r="G487" s="139">
        <v>0</v>
      </c>
      <c r="H487" s="139">
        <f t="shared" si="223"/>
        <v>0</v>
      </c>
      <c r="I487" s="81" t="str">
        <f t="shared" si="220"/>
        <v>-</v>
      </c>
      <c r="J487" s="139">
        <v>0</v>
      </c>
      <c r="K487" s="139">
        <f t="shared" si="222"/>
        <v>0</v>
      </c>
      <c r="L487" s="139">
        <v>0</v>
      </c>
      <c r="M487" s="80">
        <v>0</v>
      </c>
      <c r="N487" s="81" t="str">
        <f t="shared" si="221"/>
        <v>-</v>
      </c>
      <c r="O487" s="388"/>
    </row>
    <row r="488" spans="1:15" s="95" customFormat="1" ht="11.1" customHeight="1" outlineLevel="1" x14ac:dyDescent="0.2">
      <c r="A488" s="118"/>
      <c r="B488" s="76" t="s">
        <v>23</v>
      </c>
      <c r="C488" s="82" t="s">
        <v>110</v>
      </c>
      <c r="D488" s="109"/>
      <c r="E488" s="109"/>
      <c r="F488" s="79" t="s">
        <v>45</v>
      </c>
      <c r="G488" s="140">
        <v>0</v>
      </c>
      <c r="H488" s="139">
        <f t="shared" si="223"/>
        <v>0</v>
      </c>
      <c r="I488" s="81" t="str">
        <f t="shared" si="220"/>
        <v>-</v>
      </c>
      <c r="J488" s="139">
        <v>0</v>
      </c>
      <c r="K488" s="139">
        <f t="shared" si="222"/>
        <v>0</v>
      </c>
      <c r="L488" s="139">
        <v>0</v>
      </c>
      <c r="M488" s="80">
        <v>0</v>
      </c>
      <c r="N488" s="81" t="str">
        <f t="shared" si="221"/>
        <v>-</v>
      </c>
      <c r="O488" s="388"/>
    </row>
    <row r="489" spans="1:15" s="95" customFormat="1" ht="11.1" customHeight="1" outlineLevel="1" x14ac:dyDescent="0.2">
      <c r="A489" s="118"/>
      <c r="B489" s="76"/>
      <c r="C489" s="82" t="s">
        <v>111</v>
      </c>
      <c r="D489" s="109"/>
      <c r="E489" s="109"/>
      <c r="F489" s="79" t="s">
        <v>365</v>
      </c>
      <c r="G489" s="140">
        <v>0</v>
      </c>
      <c r="H489" s="139">
        <f t="shared" si="223"/>
        <v>0</v>
      </c>
      <c r="I489" s="81" t="str">
        <f t="shared" si="220"/>
        <v>-</v>
      </c>
      <c r="J489" s="139">
        <v>0</v>
      </c>
      <c r="K489" s="139">
        <f t="shared" si="222"/>
        <v>0</v>
      </c>
      <c r="L489" s="139">
        <v>0</v>
      </c>
      <c r="M489" s="80">
        <v>0</v>
      </c>
      <c r="N489" s="81" t="str">
        <f t="shared" si="221"/>
        <v>-</v>
      </c>
      <c r="O489" s="388"/>
    </row>
    <row r="490" spans="1:15" s="95" customFormat="1" ht="11.1" customHeight="1" outlineLevel="1" x14ac:dyDescent="0.2">
      <c r="A490" s="118"/>
      <c r="B490" s="76"/>
      <c r="C490" s="82" t="s">
        <v>112</v>
      </c>
      <c r="D490" s="109"/>
      <c r="E490" s="109"/>
      <c r="F490" s="106"/>
      <c r="G490" s="140"/>
      <c r="H490" s="140"/>
      <c r="I490" s="81"/>
      <c r="J490" s="140"/>
      <c r="K490" s="140"/>
      <c r="L490" s="139"/>
      <c r="M490" s="89"/>
      <c r="N490" s="81"/>
      <c r="O490" s="333"/>
    </row>
    <row r="491" spans="1:15" s="95" customFormat="1" ht="11.1" customHeight="1" outlineLevel="1" x14ac:dyDescent="0.2">
      <c r="A491" s="118"/>
      <c r="B491" s="76"/>
      <c r="C491" s="82" t="s">
        <v>113</v>
      </c>
      <c r="D491" s="109"/>
      <c r="E491" s="109"/>
      <c r="F491" s="106"/>
      <c r="G491" s="140"/>
      <c r="H491" s="140"/>
      <c r="I491" s="81"/>
      <c r="J491" s="140"/>
      <c r="K491" s="140"/>
      <c r="L491" s="139"/>
      <c r="M491" s="89"/>
      <c r="N491" s="81"/>
      <c r="O491" s="333"/>
    </row>
    <row r="492" spans="1:15" s="95" customFormat="1" ht="3.95" customHeight="1" outlineLevel="1" x14ac:dyDescent="0.2">
      <c r="A492" s="119"/>
      <c r="B492" s="85"/>
      <c r="C492" s="86"/>
      <c r="D492" s="84"/>
      <c r="E492" s="84"/>
      <c r="F492" s="85"/>
      <c r="G492" s="141"/>
      <c r="H492" s="141"/>
      <c r="I492" s="88"/>
      <c r="J492" s="141"/>
      <c r="K492" s="141"/>
      <c r="L492" s="142"/>
      <c r="M492" s="87"/>
      <c r="N492" s="88"/>
      <c r="O492" s="327"/>
    </row>
    <row r="493" spans="1:15" s="95" customFormat="1" ht="3.95" customHeight="1" outlineLevel="1" x14ac:dyDescent="0.2">
      <c r="A493" s="153"/>
      <c r="B493" s="72"/>
      <c r="C493" s="73"/>
      <c r="D493" s="71"/>
      <c r="E493" s="71"/>
      <c r="F493" s="72"/>
      <c r="G493" s="136"/>
      <c r="H493" s="136"/>
      <c r="I493" s="75"/>
      <c r="J493" s="136"/>
      <c r="K493" s="136"/>
      <c r="L493" s="137"/>
      <c r="M493" s="74"/>
      <c r="N493" s="75"/>
      <c r="O493" s="326"/>
    </row>
    <row r="494" spans="1:15" s="95" customFormat="1" ht="11.1" customHeight="1" outlineLevel="1" x14ac:dyDescent="0.2">
      <c r="A494" s="391" t="s">
        <v>542</v>
      </c>
      <c r="B494" s="76" t="s">
        <v>9</v>
      </c>
      <c r="C494" s="77" t="s">
        <v>90</v>
      </c>
      <c r="D494" s="392" t="s">
        <v>298</v>
      </c>
      <c r="E494" s="392" t="s">
        <v>101</v>
      </c>
      <c r="F494" s="78" t="s">
        <v>28</v>
      </c>
      <c r="G494" s="138">
        <f>SUM(G495:G500)</f>
        <v>1103093</v>
      </c>
      <c r="H494" s="243">
        <f>SUM(H495:H500)</f>
        <v>578647</v>
      </c>
      <c r="I494" s="39">
        <f t="shared" ref="I494:I500" si="224">IF(G494&gt;0,H494/G494*100,"-")</f>
        <v>52.456773816894867</v>
      </c>
      <c r="J494" s="243">
        <f>SUM(J495:J500)</f>
        <v>554345</v>
      </c>
      <c r="K494" s="138">
        <f>SUM(K495:K500)</f>
        <v>0</v>
      </c>
      <c r="L494" s="138">
        <f>SUM(L495:L500)</f>
        <v>554345</v>
      </c>
      <c r="M494" s="38">
        <f>SUM(M495:M500)</f>
        <v>352293.77999999997</v>
      </c>
      <c r="N494" s="39">
        <f t="shared" ref="N494:N500" si="225">IF(L494&gt;0,M494/L494*100,"-")</f>
        <v>63.551358810848832</v>
      </c>
      <c r="O494" s="388" t="s">
        <v>473</v>
      </c>
    </row>
    <row r="495" spans="1:15" s="95" customFormat="1" ht="11.1" customHeight="1" outlineLevel="1" x14ac:dyDescent="0.2">
      <c r="A495" s="391"/>
      <c r="B495" s="76" t="s">
        <v>10</v>
      </c>
      <c r="C495" s="77" t="s">
        <v>94</v>
      </c>
      <c r="D495" s="392"/>
      <c r="E495" s="392"/>
      <c r="F495" s="79" t="s">
        <v>15</v>
      </c>
      <c r="G495" s="139">
        <v>172043</v>
      </c>
      <c r="H495" s="140">
        <f>ROUNDUP(22635+M495,0)</f>
        <v>67501</v>
      </c>
      <c r="I495" s="81">
        <f t="shared" si="224"/>
        <v>39.234958702184919</v>
      </c>
      <c r="J495" s="139">
        <v>71633</v>
      </c>
      <c r="K495" s="139">
        <f t="shared" ref="K495:K500" si="226">L495-J495</f>
        <v>0</v>
      </c>
      <c r="L495" s="139">
        <v>71633</v>
      </c>
      <c r="M495" s="80">
        <v>44865.98</v>
      </c>
      <c r="N495" s="81">
        <f t="shared" si="225"/>
        <v>62.633116021945199</v>
      </c>
      <c r="O495" s="388"/>
    </row>
    <row r="496" spans="1:15" s="95" customFormat="1" ht="11.1" customHeight="1" outlineLevel="1" x14ac:dyDescent="0.2">
      <c r="A496" s="391"/>
      <c r="B496" s="76" t="s">
        <v>11</v>
      </c>
      <c r="C496" s="82" t="s">
        <v>95</v>
      </c>
      <c r="D496" s="392"/>
      <c r="E496" s="392"/>
      <c r="F496" s="79" t="s">
        <v>7</v>
      </c>
      <c r="G496" s="139">
        <v>856667</v>
      </c>
      <c r="H496" s="364">
        <f>ROUNDUP(187442+M496,0)</f>
        <v>470310</v>
      </c>
      <c r="I496" s="81">
        <f t="shared" si="224"/>
        <v>54.89997863814061</v>
      </c>
      <c r="J496" s="139">
        <v>444147</v>
      </c>
      <c r="K496" s="139">
        <f t="shared" si="226"/>
        <v>0</v>
      </c>
      <c r="L496" s="139">
        <v>444147</v>
      </c>
      <c r="M496" s="80">
        <v>282867.74</v>
      </c>
      <c r="N496" s="81">
        <f t="shared" si="225"/>
        <v>63.687864603385812</v>
      </c>
      <c r="O496" s="388"/>
    </row>
    <row r="497" spans="1:15" s="95" customFormat="1" ht="11.1" customHeight="1" outlineLevel="1" x14ac:dyDescent="0.2">
      <c r="A497" s="118"/>
      <c r="B497" s="76" t="s">
        <v>12</v>
      </c>
      <c r="C497" s="82" t="s">
        <v>207</v>
      </c>
      <c r="D497" s="109"/>
      <c r="E497" s="109"/>
      <c r="F497" s="79" t="s">
        <v>8</v>
      </c>
      <c r="G497" s="140">
        <v>0</v>
      </c>
      <c r="H497" s="139">
        <f t="shared" ref="H497" si="227">ROUNDUP(0+M497,0)</f>
        <v>0</v>
      </c>
      <c r="I497" s="81" t="str">
        <f t="shared" si="224"/>
        <v>-</v>
      </c>
      <c r="J497" s="139">
        <v>0</v>
      </c>
      <c r="K497" s="139">
        <f t="shared" si="226"/>
        <v>0</v>
      </c>
      <c r="L497" s="139">
        <v>0</v>
      </c>
      <c r="M497" s="80">
        <v>0</v>
      </c>
      <c r="N497" s="81" t="str">
        <f t="shared" si="225"/>
        <v>-</v>
      </c>
      <c r="O497" s="388"/>
    </row>
    <row r="498" spans="1:15" s="95" customFormat="1" ht="11.1" customHeight="1" outlineLevel="1" x14ac:dyDescent="0.2">
      <c r="A498" s="118"/>
      <c r="B498" s="76" t="s">
        <v>23</v>
      </c>
      <c r="C498" s="82" t="s">
        <v>96</v>
      </c>
      <c r="D498" s="109"/>
      <c r="E498" s="109"/>
      <c r="F498" s="79" t="s">
        <v>22</v>
      </c>
      <c r="G498" s="139">
        <v>74383</v>
      </c>
      <c r="H498" s="140">
        <f>ROUNDUP(16275+M498,0)</f>
        <v>40836</v>
      </c>
      <c r="I498" s="81">
        <f t="shared" si="224"/>
        <v>54.899641047013425</v>
      </c>
      <c r="J498" s="139">
        <v>38565</v>
      </c>
      <c r="K498" s="139">
        <f t="shared" si="226"/>
        <v>0</v>
      </c>
      <c r="L498" s="139">
        <v>38565</v>
      </c>
      <c r="M498" s="80">
        <v>24560.06</v>
      </c>
      <c r="N498" s="81">
        <f t="shared" si="225"/>
        <v>63.684843770258006</v>
      </c>
      <c r="O498" s="388"/>
    </row>
    <row r="499" spans="1:15" s="95" customFormat="1" ht="11.1" customHeight="1" outlineLevel="1" x14ac:dyDescent="0.2">
      <c r="A499" s="118"/>
      <c r="B499" s="76"/>
      <c r="C499" s="82" t="s">
        <v>97</v>
      </c>
      <c r="D499" s="109"/>
      <c r="E499" s="109"/>
      <c r="F499" s="79" t="s">
        <v>45</v>
      </c>
      <c r="G499" s="140">
        <v>0</v>
      </c>
      <c r="H499" s="139">
        <f t="shared" ref="H499:H500" si="228">ROUNDUP(0+M499,0)</f>
        <v>0</v>
      </c>
      <c r="I499" s="81" t="str">
        <f t="shared" si="224"/>
        <v>-</v>
      </c>
      <c r="J499" s="139">
        <v>0</v>
      </c>
      <c r="K499" s="139">
        <f t="shared" si="226"/>
        <v>0</v>
      </c>
      <c r="L499" s="139">
        <v>0</v>
      </c>
      <c r="M499" s="80">
        <v>0</v>
      </c>
      <c r="N499" s="81" t="str">
        <f t="shared" si="225"/>
        <v>-</v>
      </c>
      <c r="O499" s="388"/>
    </row>
    <row r="500" spans="1:15" s="95" customFormat="1" ht="11.1" customHeight="1" outlineLevel="1" x14ac:dyDescent="0.2">
      <c r="A500" s="118"/>
      <c r="B500" s="76"/>
      <c r="C500" s="82" t="s">
        <v>98</v>
      </c>
      <c r="D500" s="109"/>
      <c r="E500" s="109"/>
      <c r="F500" s="79" t="s">
        <v>365</v>
      </c>
      <c r="G500" s="140">
        <v>0</v>
      </c>
      <c r="H500" s="139">
        <f t="shared" si="228"/>
        <v>0</v>
      </c>
      <c r="I500" s="81" t="str">
        <f t="shared" si="224"/>
        <v>-</v>
      </c>
      <c r="J500" s="139">
        <v>0</v>
      </c>
      <c r="K500" s="139">
        <f t="shared" si="226"/>
        <v>0</v>
      </c>
      <c r="L500" s="139">
        <v>0</v>
      </c>
      <c r="M500" s="80">
        <v>0</v>
      </c>
      <c r="N500" s="81" t="str">
        <f t="shared" si="225"/>
        <v>-</v>
      </c>
      <c r="O500" s="388"/>
    </row>
    <row r="501" spans="1:15" s="95" customFormat="1" ht="11.1" customHeight="1" outlineLevel="1" x14ac:dyDescent="0.2">
      <c r="A501" s="118"/>
      <c r="B501" s="76"/>
      <c r="C501" s="82" t="s">
        <v>99</v>
      </c>
      <c r="D501" s="109"/>
      <c r="E501" s="109"/>
      <c r="F501" s="106"/>
      <c r="G501" s="140"/>
      <c r="H501" s="140"/>
      <c r="I501" s="81"/>
      <c r="J501" s="140"/>
      <c r="K501" s="140"/>
      <c r="L501" s="139"/>
      <c r="M501" s="89"/>
      <c r="N501" s="81"/>
      <c r="O501" s="388"/>
    </row>
    <row r="502" spans="1:15" s="95" customFormat="1" ht="13.5" customHeight="1" outlineLevel="1" x14ac:dyDescent="0.2">
      <c r="A502" s="118"/>
      <c r="B502" s="76"/>
      <c r="C502" s="82" t="s">
        <v>100</v>
      </c>
      <c r="D502" s="109"/>
      <c r="E502" s="109"/>
      <c r="F502" s="106"/>
      <c r="G502" s="140"/>
      <c r="H502" s="140"/>
      <c r="I502" s="81"/>
      <c r="J502" s="140"/>
      <c r="K502" s="140"/>
      <c r="L502" s="139"/>
      <c r="M502" s="89"/>
      <c r="N502" s="81"/>
      <c r="O502" s="388"/>
    </row>
    <row r="503" spans="1:15" s="95" customFormat="1" ht="3.95" customHeight="1" outlineLevel="1" x14ac:dyDescent="0.2">
      <c r="A503" s="119"/>
      <c r="B503" s="85"/>
      <c r="C503" s="86"/>
      <c r="D503" s="84"/>
      <c r="E503" s="84"/>
      <c r="F503" s="85"/>
      <c r="G503" s="141"/>
      <c r="H503" s="141"/>
      <c r="I503" s="88"/>
      <c r="J503" s="141"/>
      <c r="K503" s="141"/>
      <c r="L503" s="142"/>
      <c r="M503" s="87"/>
      <c r="N503" s="88"/>
      <c r="O503" s="327"/>
    </row>
    <row r="504" spans="1:15" s="95" customFormat="1" ht="3.95" customHeight="1" outlineLevel="1" x14ac:dyDescent="0.2">
      <c r="A504" s="153"/>
      <c r="B504" s="72"/>
      <c r="C504" s="73"/>
      <c r="D504" s="71"/>
      <c r="E504" s="71"/>
      <c r="F504" s="72"/>
      <c r="G504" s="136"/>
      <c r="H504" s="136"/>
      <c r="I504" s="75"/>
      <c r="J504" s="136"/>
      <c r="K504" s="136"/>
      <c r="L504" s="137"/>
      <c r="M504" s="74"/>
      <c r="N504" s="75"/>
      <c r="O504" s="326"/>
    </row>
    <row r="505" spans="1:15" s="95" customFormat="1" ht="11.1" customHeight="1" outlineLevel="1" x14ac:dyDescent="0.2">
      <c r="A505" s="391" t="s">
        <v>543</v>
      </c>
      <c r="B505" s="76" t="s">
        <v>9</v>
      </c>
      <c r="C505" s="149" t="s">
        <v>86</v>
      </c>
      <c r="D505" s="392" t="s">
        <v>389</v>
      </c>
      <c r="E505" s="392" t="s">
        <v>93</v>
      </c>
      <c r="F505" s="78" t="s">
        <v>28</v>
      </c>
      <c r="G505" s="138">
        <f>SUM(G506:G511)</f>
        <v>36600</v>
      </c>
      <c r="H505" s="138">
        <f>SUM(H506:H511)</f>
        <v>0</v>
      </c>
      <c r="I505" s="39">
        <f t="shared" ref="I505:I511" si="229">IF(G505&gt;0,H505/G505*100,"-")</f>
        <v>0</v>
      </c>
      <c r="J505" s="138">
        <f>SUM(J506:J511)</f>
        <v>18300</v>
      </c>
      <c r="K505" s="138">
        <f>SUM(K506:K511)</f>
        <v>0</v>
      </c>
      <c r="L505" s="138">
        <f>SUM(L506:L511)</f>
        <v>18300</v>
      </c>
      <c r="M505" s="38">
        <f>SUM(M506:M511)</f>
        <v>0</v>
      </c>
      <c r="N505" s="39">
        <f t="shared" ref="N505:N511" si="230">IF(L505&gt;0,M505/L505*100,"-")</f>
        <v>0</v>
      </c>
      <c r="O505" s="388" t="s">
        <v>476</v>
      </c>
    </row>
    <row r="506" spans="1:15" s="95" customFormat="1" ht="11.1" customHeight="1" outlineLevel="1" x14ac:dyDescent="0.2">
      <c r="A506" s="391"/>
      <c r="B506" s="76" t="s">
        <v>10</v>
      </c>
      <c r="C506" s="149" t="s">
        <v>102</v>
      </c>
      <c r="D506" s="392"/>
      <c r="E506" s="392"/>
      <c r="F506" s="79" t="s">
        <v>15</v>
      </c>
      <c r="G506" s="139">
        <v>14640</v>
      </c>
      <c r="H506" s="140">
        <f>ROUNDUP(0+M506,0)</f>
        <v>0</v>
      </c>
      <c r="I506" s="81">
        <f t="shared" si="229"/>
        <v>0</v>
      </c>
      <c r="J506" s="139">
        <v>7320</v>
      </c>
      <c r="K506" s="139">
        <f t="shared" ref="K506:K511" si="231">L506-J506</f>
        <v>0</v>
      </c>
      <c r="L506" s="139">
        <v>7320</v>
      </c>
      <c r="M506" s="80">
        <v>0</v>
      </c>
      <c r="N506" s="81">
        <f t="shared" si="230"/>
        <v>0</v>
      </c>
      <c r="O506" s="388"/>
    </row>
    <row r="507" spans="1:15" s="95" customFormat="1" ht="11.1" customHeight="1" outlineLevel="1" x14ac:dyDescent="0.2">
      <c r="A507" s="391"/>
      <c r="B507" s="76"/>
      <c r="C507" s="82" t="s">
        <v>103</v>
      </c>
      <c r="D507" s="392"/>
      <c r="E507" s="392"/>
      <c r="F507" s="79" t="s">
        <v>7</v>
      </c>
      <c r="G507" s="139">
        <v>21960</v>
      </c>
      <c r="H507" s="140">
        <f>ROUNDUP(0+M507,0)</f>
        <v>0</v>
      </c>
      <c r="I507" s="81">
        <f t="shared" si="229"/>
        <v>0</v>
      </c>
      <c r="J507" s="139">
        <v>10980</v>
      </c>
      <c r="K507" s="139">
        <f t="shared" si="231"/>
        <v>0</v>
      </c>
      <c r="L507" s="139">
        <v>10980</v>
      </c>
      <c r="M507" s="80">
        <v>0</v>
      </c>
      <c r="N507" s="81">
        <f t="shared" si="230"/>
        <v>0</v>
      </c>
      <c r="O507" s="388"/>
    </row>
    <row r="508" spans="1:15" s="95" customFormat="1" ht="11.1" customHeight="1" outlineLevel="1" x14ac:dyDescent="0.2">
      <c r="A508" s="118"/>
      <c r="B508" s="76" t="s">
        <v>11</v>
      </c>
      <c r="C508" s="82" t="s">
        <v>151</v>
      </c>
      <c r="D508" s="109"/>
      <c r="E508" s="109"/>
      <c r="F508" s="79" t="s">
        <v>8</v>
      </c>
      <c r="G508" s="140">
        <v>0</v>
      </c>
      <c r="H508" s="139">
        <f t="shared" ref="H508:H511" si="232">ROUNDUP(0+M508,0)</f>
        <v>0</v>
      </c>
      <c r="I508" s="81" t="str">
        <f t="shared" si="229"/>
        <v>-</v>
      </c>
      <c r="J508" s="139">
        <v>0</v>
      </c>
      <c r="K508" s="139">
        <f t="shared" si="231"/>
        <v>0</v>
      </c>
      <c r="L508" s="139">
        <v>0</v>
      </c>
      <c r="M508" s="80">
        <v>0</v>
      </c>
      <c r="N508" s="81" t="str">
        <f t="shared" si="230"/>
        <v>-</v>
      </c>
      <c r="O508" s="388"/>
    </row>
    <row r="509" spans="1:15" s="95" customFormat="1" ht="11.1" customHeight="1" outlineLevel="1" x14ac:dyDescent="0.2">
      <c r="A509" s="118"/>
      <c r="B509" s="76"/>
      <c r="C509" s="82" t="s">
        <v>104</v>
      </c>
      <c r="D509" s="109"/>
      <c r="E509" s="109"/>
      <c r="F509" s="79" t="s">
        <v>22</v>
      </c>
      <c r="G509" s="140">
        <v>0</v>
      </c>
      <c r="H509" s="139">
        <f t="shared" si="232"/>
        <v>0</v>
      </c>
      <c r="I509" s="81" t="str">
        <f t="shared" si="229"/>
        <v>-</v>
      </c>
      <c r="J509" s="139">
        <v>0</v>
      </c>
      <c r="K509" s="139">
        <f t="shared" si="231"/>
        <v>0</v>
      </c>
      <c r="L509" s="139">
        <v>0</v>
      </c>
      <c r="M509" s="80">
        <v>0</v>
      </c>
      <c r="N509" s="81" t="str">
        <f t="shared" si="230"/>
        <v>-</v>
      </c>
      <c r="O509" s="388"/>
    </row>
    <row r="510" spans="1:15" s="95" customFormat="1" ht="11.1" customHeight="1" outlineLevel="1" x14ac:dyDescent="0.2">
      <c r="A510" s="118"/>
      <c r="B510" s="76" t="s">
        <v>12</v>
      </c>
      <c r="C510" s="82" t="s">
        <v>299</v>
      </c>
      <c r="D510" s="109"/>
      <c r="E510" s="109"/>
      <c r="F510" s="79" t="s">
        <v>45</v>
      </c>
      <c r="G510" s="140">
        <v>0</v>
      </c>
      <c r="H510" s="139">
        <f t="shared" si="232"/>
        <v>0</v>
      </c>
      <c r="I510" s="81" t="str">
        <f t="shared" si="229"/>
        <v>-</v>
      </c>
      <c r="J510" s="139">
        <v>0</v>
      </c>
      <c r="K510" s="139">
        <f t="shared" si="231"/>
        <v>0</v>
      </c>
      <c r="L510" s="139">
        <v>0</v>
      </c>
      <c r="M510" s="80">
        <v>0</v>
      </c>
      <c r="N510" s="81" t="str">
        <f t="shared" si="230"/>
        <v>-</v>
      </c>
      <c r="O510" s="388"/>
    </row>
    <row r="511" spans="1:15" s="95" customFormat="1" ht="11.1" customHeight="1" outlineLevel="1" x14ac:dyDescent="0.2">
      <c r="A511" s="118"/>
      <c r="B511" s="76"/>
      <c r="C511" s="82" t="s">
        <v>300</v>
      </c>
      <c r="D511" s="109"/>
      <c r="E511" s="109"/>
      <c r="F511" s="79" t="s">
        <v>365</v>
      </c>
      <c r="G511" s="140">
        <v>0</v>
      </c>
      <c r="H511" s="139">
        <f t="shared" si="232"/>
        <v>0</v>
      </c>
      <c r="I511" s="81" t="str">
        <f t="shared" si="229"/>
        <v>-</v>
      </c>
      <c r="J511" s="139">
        <v>0</v>
      </c>
      <c r="K511" s="139">
        <f t="shared" si="231"/>
        <v>0</v>
      </c>
      <c r="L511" s="139">
        <v>0</v>
      </c>
      <c r="M511" s="80">
        <v>0</v>
      </c>
      <c r="N511" s="81" t="str">
        <f t="shared" si="230"/>
        <v>-</v>
      </c>
      <c r="O511" s="388"/>
    </row>
    <row r="512" spans="1:15" s="95" customFormat="1" ht="11.1" customHeight="1" outlineLevel="1" x14ac:dyDescent="0.2">
      <c r="A512" s="118"/>
      <c r="B512" s="76" t="s">
        <v>23</v>
      </c>
      <c r="C512" s="82" t="s">
        <v>105</v>
      </c>
      <c r="D512" s="109"/>
      <c r="E512" s="109"/>
      <c r="F512" s="106"/>
      <c r="G512" s="140"/>
      <c r="H512" s="140"/>
      <c r="I512" s="81"/>
      <c r="J512" s="140"/>
      <c r="K512" s="140"/>
      <c r="L512" s="139"/>
      <c r="M512" s="89"/>
      <c r="N512" s="81"/>
      <c r="O512" s="388"/>
    </row>
    <row r="513" spans="1:15" s="95" customFormat="1" ht="11.1" customHeight="1" outlineLevel="1" x14ac:dyDescent="0.2">
      <c r="A513" s="118"/>
      <c r="B513" s="76"/>
      <c r="C513" s="82" t="s">
        <v>106</v>
      </c>
      <c r="D513" s="109"/>
      <c r="E513" s="109"/>
      <c r="F513" s="106"/>
      <c r="G513" s="140"/>
      <c r="H513" s="140"/>
      <c r="I513" s="81"/>
      <c r="J513" s="140"/>
      <c r="K513" s="140"/>
      <c r="L513" s="139"/>
      <c r="M513" s="89"/>
      <c r="N513" s="81"/>
      <c r="O513" s="388"/>
    </row>
    <row r="514" spans="1:15" s="95" customFormat="1" ht="11.1" customHeight="1" outlineLevel="1" x14ac:dyDescent="0.2">
      <c r="A514" s="118"/>
      <c r="B514" s="76"/>
      <c r="C514" s="82" t="s">
        <v>107</v>
      </c>
      <c r="D514" s="109"/>
      <c r="E514" s="109"/>
      <c r="F514" s="106"/>
      <c r="G514" s="140"/>
      <c r="H514" s="140"/>
      <c r="I514" s="81"/>
      <c r="J514" s="140"/>
      <c r="K514" s="140"/>
      <c r="L514" s="139"/>
      <c r="M514" s="89"/>
      <c r="N514" s="81"/>
      <c r="O514" s="333"/>
    </row>
    <row r="515" spans="1:15" s="95" customFormat="1" ht="11.1" customHeight="1" outlineLevel="1" x14ac:dyDescent="0.2">
      <c r="A515" s="118"/>
      <c r="B515" s="76"/>
      <c r="C515" s="82" t="s">
        <v>108</v>
      </c>
      <c r="D515" s="109"/>
      <c r="E515" s="109"/>
      <c r="F515" s="106"/>
      <c r="G515" s="140"/>
      <c r="H515" s="140"/>
      <c r="I515" s="81"/>
      <c r="J515" s="140"/>
      <c r="K515" s="140"/>
      <c r="L515" s="139"/>
      <c r="M515" s="89"/>
      <c r="N515" s="81"/>
      <c r="O515" s="333"/>
    </row>
    <row r="516" spans="1:15" s="95" customFormat="1" ht="11.1" customHeight="1" outlineLevel="1" x14ac:dyDescent="0.2">
      <c r="A516" s="118"/>
      <c r="B516" s="76"/>
      <c r="C516" s="82" t="s">
        <v>109</v>
      </c>
      <c r="D516" s="109"/>
      <c r="E516" s="109"/>
      <c r="F516" s="106"/>
      <c r="G516" s="140"/>
      <c r="H516" s="140"/>
      <c r="I516" s="81"/>
      <c r="J516" s="140"/>
      <c r="K516" s="140"/>
      <c r="L516" s="139"/>
      <c r="M516" s="89"/>
      <c r="N516" s="81"/>
      <c r="O516" s="333"/>
    </row>
    <row r="517" spans="1:15" s="95" customFormat="1" ht="3.95" customHeight="1" outlineLevel="1" x14ac:dyDescent="0.2">
      <c r="A517" s="119"/>
      <c r="B517" s="85"/>
      <c r="C517" s="86"/>
      <c r="D517" s="84"/>
      <c r="E517" s="84"/>
      <c r="F517" s="85"/>
      <c r="G517" s="141"/>
      <c r="H517" s="141"/>
      <c r="I517" s="88"/>
      <c r="J517" s="141"/>
      <c r="K517" s="141"/>
      <c r="L517" s="142"/>
      <c r="M517" s="87"/>
      <c r="N517" s="88"/>
      <c r="O517" s="327"/>
    </row>
    <row r="518" spans="1:15" s="95" customFormat="1" ht="3.95" customHeight="1" outlineLevel="1" x14ac:dyDescent="0.2">
      <c r="A518" s="153"/>
      <c r="B518" s="72"/>
      <c r="C518" s="73"/>
      <c r="D518" s="71"/>
      <c r="E518" s="71"/>
      <c r="F518" s="72"/>
      <c r="G518" s="136"/>
      <c r="H518" s="136"/>
      <c r="I518" s="75"/>
      <c r="J518" s="136"/>
      <c r="K518" s="136"/>
      <c r="L518" s="137"/>
      <c r="M518" s="74"/>
      <c r="N518" s="75"/>
      <c r="O518" s="326"/>
    </row>
    <row r="519" spans="1:15" s="95" customFormat="1" ht="11.1" customHeight="1" outlineLevel="1" x14ac:dyDescent="0.2">
      <c r="A519" s="391" t="s">
        <v>544</v>
      </c>
      <c r="B519" s="76" t="s">
        <v>9</v>
      </c>
      <c r="C519" s="149" t="s">
        <v>86</v>
      </c>
      <c r="D519" s="392" t="s">
        <v>451</v>
      </c>
      <c r="E519" s="392" t="s">
        <v>93</v>
      </c>
      <c r="F519" s="78" t="s">
        <v>28</v>
      </c>
      <c r="G519" s="138">
        <f>SUM(G520:G525)</f>
        <v>146534</v>
      </c>
      <c r="H519" s="138">
        <f>SUM(H520:H525)</f>
        <v>69284</v>
      </c>
      <c r="I519" s="39">
        <f t="shared" ref="I519:I525" si="233">IF(G519&gt;0,H519/G519*100,"-")</f>
        <v>47.281859500184261</v>
      </c>
      <c r="J519" s="138">
        <f>SUM(J520:J525)</f>
        <v>77250</v>
      </c>
      <c r="K519" s="138">
        <f>SUM(K520:K525)</f>
        <v>0</v>
      </c>
      <c r="L519" s="138">
        <f>SUM(L520:L525)</f>
        <v>77250</v>
      </c>
      <c r="M519" s="38">
        <f>SUM(M520:M525)</f>
        <v>0</v>
      </c>
      <c r="N519" s="39">
        <f t="shared" ref="N519:N525" si="234">IF(L519&gt;0,M519/L519*100,"-")</f>
        <v>0</v>
      </c>
      <c r="O519" s="388" t="s">
        <v>474</v>
      </c>
    </row>
    <row r="520" spans="1:15" s="95" customFormat="1" ht="11.1" customHeight="1" outlineLevel="1" x14ac:dyDescent="0.2">
      <c r="A520" s="391"/>
      <c r="B520" s="76" t="s">
        <v>10</v>
      </c>
      <c r="C520" s="149" t="s">
        <v>102</v>
      </c>
      <c r="D520" s="392"/>
      <c r="E520" s="392"/>
      <c r="F520" s="79" t="s">
        <v>15</v>
      </c>
      <c r="G520" s="139">
        <v>21982</v>
      </c>
      <c r="H520" s="140">
        <f>ROUNDUP(10394+M520,0)</f>
        <v>10394</v>
      </c>
      <c r="I520" s="81">
        <f t="shared" si="233"/>
        <v>47.284141570375759</v>
      </c>
      <c r="J520" s="139">
        <v>11588</v>
      </c>
      <c r="K520" s="139">
        <f t="shared" ref="K520:K525" si="235">L520-J520</f>
        <v>0</v>
      </c>
      <c r="L520" s="139">
        <v>11588</v>
      </c>
      <c r="M520" s="80">
        <v>0</v>
      </c>
      <c r="N520" s="81">
        <f t="shared" si="234"/>
        <v>0</v>
      </c>
      <c r="O520" s="388"/>
    </row>
    <row r="521" spans="1:15" s="95" customFormat="1" ht="11.1" customHeight="1" outlineLevel="1" x14ac:dyDescent="0.2">
      <c r="A521" s="391"/>
      <c r="B521" s="76"/>
      <c r="C521" s="82" t="s">
        <v>103</v>
      </c>
      <c r="D521" s="392"/>
      <c r="E521" s="392"/>
      <c r="F521" s="79" t="s">
        <v>7</v>
      </c>
      <c r="G521" s="139">
        <v>124552</v>
      </c>
      <c r="H521" s="140">
        <f>ROUNDUP(58890+M521,0)</f>
        <v>58890</v>
      </c>
      <c r="I521" s="81">
        <f t="shared" si="233"/>
        <v>47.281456740959598</v>
      </c>
      <c r="J521" s="139">
        <v>65662</v>
      </c>
      <c r="K521" s="139">
        <f t="shared" si="235"/>
        <v>0</v>
      </c>
      <c r="L521" s="139">
        <v>65662</v>
      </c>
      <c r="M521" s="80">
        <v>0</v>
      </c>
      <c r="N521" s="81">
        <f t="shared" si="234"/>
        <v>0</v>
      </c>
      <c r="O521" s="388"/>
    </row>
    <row r="522" spans="1:15" s="95" customFormat="1" ht="11.1" customHeight="1" outlineLevel="1" x14ac:dyDescent="0.2">
      <c r="A522" s="118"/>
      <c r="B522" s="76" t="s">
        <v>11</v>
      </c>
      <c r="C522" s="82" t="s">
        <v>151</v>
      </c>
      <c r="D522" s="109"/>
      <c r="E522" s="109"/>
      <c r="F522" s="79" t="s">
        <v>8</v>
      </c>
      <c r="G522" s="140">
        <v>0</v>
      </c>
      <c r="H522" s="139">
        <f t="shared" ref="H522:H525" si="236">ROUNDUP(0+M522,0)</f>
        <v>0</v>
      </c>
      <c r="I522" s="81" t="str">
        <f t="shared" si="233"/>
        <v>-</v>
      </c>
      <c r="J522" s="139">
        <v>0</v>
      </c>
      <c r="K522" s="139">
        <f t="shared" si="235"/>
        <v>0</v>
      </c>
      <c r="L522" s="139">
        <v>0</v>
      </c>
      <c r="M522" s="80">
        <v>0</v>
      </c>
      <c r="N522" s="81" t="str">
        <f t="shared" si="234"/>
        <v>-</v>
      </c>
      <c r="O522" s="388"/>
    </row>
    <row r="523" spans="1:15" s="95" customFormat="1" ht="11.1" customHeight="1" outlineLevel="1" x14ac:dyDescent="0.2">
      <c r="A523" s="118"/>
      <c r="B523" s="76"/>
      <c r="C523" s="82" t="s">
        <v>104</v>
      </c>
      <c r="D523" s="109"/>
      <c r="E523" s="109"/>
      <c r="F523" s="79" t="s">
        <v>22</v>
      </c>
      <c r="G523" s="140">
        <v>0</v>
      </c>
      <c r="H523" s="139">
        <f t="shared" si="236"/>
        <v>0</v>
      </c>
      <c r="I523" s="81" t="str">
        <f t="shared" si="233"/>
        <v>-</v>
      </c>
      <c r="J523" s="139">
        <v>0</v>
      </c>
      <c r="K523" s="139">
        <f t="shared" si="235"/>
        <v>0</v>
      </c>
      <c r="L523" s="139">
        <v>0</v>
      </c>
      <c r="M523" s="80">
        <v>0</v>
      </c>
      <c r="N523" s="81" t="str">
        <f t="shared" si="234"/>
        <v>-</v>
      </c>
      <c r="O523" s="388"/>
    </row>
    <row r="524" spans="1:15" s="95" customFormat="1" ht="11.1" customHeight="1" outlineLevel="1" x14ac:dyDescent="0.2">
      <c r="A524" s="118"/>
      <c r="B524" s="76" t="s">
        <v>12</v>
      </c>
      <c r="C524" s="82" t="s">
        <v>208</v>
      </c>
      <c r="D524" s="109"/>
      <c r="E524" s="109"/>
      <c r="F524" s="79" t="s">
        <v>45</v>
      </c>
      <c r="G524" s="140">
        <v>0</v>
      </c>
      <c r="H524" s="139">
        <f t="shared" si="236"/>
        <v>0</v>
      </c>
      <c r="I524" s="81" t="str">
        <f t="shared" si="233"/>
        <v>-</v>
      </c>
      <c r="J524" s="139">
        <v>0</v>
      </c>
      <c r="K524" s="139">
        <f t="shared" si="235"/>
        <v>0</v>
      </c>
      <c r="L524" s="139">
        <v>0</v>
      </c>
      <c r="M524" s="80">
        <v>0</v>
      </c>
      <c r="N524" s="81" t="str">
        <f t="shared" si="234"/>
        <v>-</v>
      </c>
      <c r="O524" s="388"/>
    </row>
    <row r="525" spans="1:15" s="95" customFormat="1" ht="11.1" customHeight="1" outlineLevel="1" x14ac:dyDescent="0.2">
      <c r="A525" s="118"/>
      <c r="B525" s="76" t="s">
        <v>23</v>
      </c>
      <c r="C525" s="82" t="s">
        <v>105</v>
      </c>
      <c r="D525" s="109"/>
      <c r="E525" s="109"/>
      <c r="F525" s="79" t="s">
        <v>365</v>
      </c>
      <c r="G525" s="140">
        <v>0</v>
      </c>
      <c r="H525" s="139">
        <f t="shared" si="236"/>
        <v>0</v>
      </c>
      <c r="I525" s="81" t="str">
        <f t="shared" si="233"/>
        <v>-</v>
      </c>
      <c r="J525" s="139">
        <v>0</v>
      </c>
      <c r="K525" s="139">
        <f t="shared" si="235"/>
        <v>0</v>
      </c>
      <c r="L525" s="139">
        <v>0</v>
      </c>
      <c r="M525" s="80">
        <v>0</v>
      </c>
      <c r="N525" s="81" t="str">
        <f t="shared" si="234"/>
        <v>-</v>
      </c>
      <c r="O525" s="388"/>
    </row>
    <row r="526" spans="1:15" s="95" customFormat="1" ht="11.1" customHeight="1" outlineLevel="1" x14ac:dyDescent="0.2">
      <c r="A526" s="118"/>
      <c r="B526" s="76"/>
      <c r="C526" s="82" t="s">
        <v>106</v>
      </c>
      <c r="D526" s="109"/>
      <c r="E526" s="109"/>
      <c r="F526" s="106"/>
      <c r="G526" s="140"/>
      <c r="H526" s="140"/>
      <c r="I526" s="81"/>
      <c r="J526" s="140"/>
      <c r="K526" s="140"/>
      <c r="L526" s="139"/>
      <c r="M526" s="89"/>
      <c r="N526" s="81"/>
      <c r="O526" s="388"/>
    </row>
    <row r="527" spans="1:15" s="95" customFormat="1" ht="11.1" customHeight="1" outlineLevel="1" x14ac:dyDescent="0.2">
      <c r="A527" s="118"/>
      <c r="B527" s="76"/>
      <c r="C527" s="82" t="s">
        <v>107</v>
      </c>
      <c r="D527" s="109"/>
      <c r="E527" s="109"/>
      <c r="F527" s="106"/>
      <c r="G527" s="140"/>
      <c r="H527" s="140"/>
      <c r="I527" s="81"/>
      <c r="J527" s="140"/>
      <c r="K527" s="140"/>
      <c r="L527" s="139"/>
      <c r="M527" s="89"/>
      <c r="N527" s="81"/>
      <c r="O527" s="388"/>
    </row>
    <row r="528" spans="1:15" s="95" customFormat="1" ht="11.1" customHeight="1" outlineLevel="1" x14ac:dyDescent="0.2">
      <c r="A528" s="118"/>
      <c r="B528" s="76"/>
      <c r="C528" s="82" t="s">
        <v>108</v>
      </c>
      <c r="D528" s="109"/>
      <c r="E528" s="109"/>
      <c r="F528" s="106"/>
      <c r="G528" s="140"/>
      <c r="H528" s="140"/>
      <c r="I528" s="81"/>
      <c r="J528" s="140"/>
      <c r="K528" s="140"/>
      <c r="L528" s="139"/>
      <c r="M528" s="89"/>
      <c r="N528" s="81"/>
      <c r="O528" s="333"/>
    </row>
    <row r="529" spans="1:15" s="95" customFormat="1" ht="11.1" customHeight="1" outlineLevel="1" x14ac:dyDescent="0.2">
      <c r="A529" s="118"/>
      <c r="B529" s="76"/>
      <c r="C529" s="82" t="s">
        <v>109</v>
      </c>
      <c r="D529" s="109"/>
      <c r="E529" s="109"/>
      <c r="F529" s="106"/>
      <c r="G529" s="140"/>
      <c r="H529" s="140"/>
      <c r="I529" s="81"/>
      <c r="J529" s="140"/>
      <c r="K529" s="140"/>
      <c r="L529" s="139"/>
      <c r="M529" s="89"/>
      <c r="N529" s="81"/>
      <c r="O529" s="333"/>
    </row>
    <row r="530" spans="1:15" s="95" customFormat="1" ht="3.95" customHeight="1" outlineLevel="1" x14ac:dyDescent="0.2">
      <c r="A530" s="119"/>
      <c r="B530" s="85"/>
      <c r="C530" s="86"/>
      <c r="D530" s="84"/>
      <c r="E530" s="84"/>
      <c r="F530" s="85"/>
      <c r="G530" s="141"/>
      <c r="H530" s="141"/>
      <c r="I530" s="88"/>
      <c r="J530" s="141"/>
      <c r="K530" s="141"/>
      <c r="L530" s="142"/>
      <c r="M530" s="87"/>
      <c r="N530" s="88"/>
      <c r="O530" s="327"/>
    </row>
    <row r="531" spans="1:15" s="95" customFormat="1" ht="3.95" customHeight="1" outlineLevel="1" x14ac:dyDescent="0.2">
      <c r="A531" s="153"/>
      <c r="B531" s="72"/>
      <c r="C531" s="73"/>
      <c r="D531" s="71"/>
      <c r="E531" s="71"/>
      <c r="F531" s="72"/>
      <c r="G531" s="136"/>
      <c r="H531" s="136"/>
      <c r="I531" s="75"/>
      <c r="J531" s="136"/>
      <c r="K531" s="136"/>
      <c r="L531" s="137"/>
      <c r="M531" s="74"/>
      <c r="N531" s="75"/>
      <c r="O531" s="347"/>
    </row>
    <row r="532" spans="1:15" s="95" customFormat="1" ht="11.1" customHeight="1" outlineLevel="1" x14ac:dyDescent="0.2">
      <c r="A532" s="391" t="s">
        <v>545</v>
      </c>
      <c r="B532" s="76" t="s">
        <v>9</v>
      </c>
      <c r="C532" s="149" t="s">
        <v>86</v>
      </c>
      <c r="D532" s="392" t="s">
        <v>389</v>
      </c>
      <c r="E532" s="392" t="s">
        <v>93</v>
      </c>
      <c r="F532" s="78" t="s">
        <v>28</v>
      </c>
      <c r="G532" s="138">
        <f t="shared" ref="G532:H532" si="237">SUM(G533:G538)</f>
        <v>140000</v>
      </c>
      <c r="H532" s="138">
        <f t="shared" si="237"/>
        <v>6643</v>
      </c>
      <c r="I532" s="39">
        <f t="shared" ref="I532:I538" si="238">IF(G532&gt;0,H532/G532*100,"-")</f>
        <v>4.7450000000000001</v>
      </c>
      <c r="J532" s="138">
        <f t="shared" ref="J532:M532" si="239">SUM(J533:J538)</f>
        <v>139000</v>
      </c>
      <c r="K532" s="138">
        <f t="shared" si="239"/>
        <v>0</v>
      </c>
      <c r="L532" s="138">
        <f t="shared" si="239"/>
        <v>139000</v>
      </c>
      <c r="M532" s="38">
        <f t="shared" si="239"/>
        <v>6642</v>
      </c>
      <c r="N532" s="39">
        <f t="shared" ref="N532:N538" si="240">IF(L532&gt;0,M532/L532*100,"-")</f>
        <v>4.7784172661870503</v>
      </c>
      <c r="O532" s="388" t="s">
        <v>475</v>
      </c>
    </row>
    <row r="533" spans="1:15" s="95" customFormat="1" ht="11.1" customHeight="1" outlineLevel="1" x14ac:dyDescent="0.2">
      <c r="A533" s="391"/>
      <c r="B533" s="76" t="s">
        <v>10</v>
      </c>
      <c r="C533" s="149" t="s">
        <v>102</v>
      </c>
      <c r="D533" s="392"/>
      <c r="E533" s="392"/>
      <c r="F533" s="79" t="s">
        <v>15</v>
      </c>
      <c r="G533" s="139">
        <v>21850</v>
      </c>
      <c r="H533" s="140">
        <f>ROUNDUP(0+M533,0)</f>
        <v>997</v>
      </c>
      <c r="I533" s="81">
        <f t="shared" si="238"/>
        <v>4.5629290617848968</v>
      </c>
      <c r="J533" s="139">
        <v>20850</v>
      </c>
      <c r="K533" s="139">
        <f t="shared" ref="K533:K538" si="241">L533-J533</f>
        <v>0</v>
      </c>
      <c r="L533" s="139">
        <v>20850</v>
      </c>
      <c r="M533" s="80">
        <v>996.3</v>
      </c>
      <c r="N533" s="81">
        <f t="shared" si="240"/>
        <v>4.7784172661870503</v>
      </c>
      <c r="O533" s="388"/>
    </row>
    <row r="534" spans="1:15" s="95" customFormat="1" ht="11.1" customHeight="1" outlineLevel="1" x14ac:dyDescent="0.2">
      <c r="A534" s="391"/>
      <c r="B534" s="76"/>
      <c r="C534" s="82" t="s">
        <v>103</v>
      </c>
      <c r="D534" s="392"/>
      <c r="E534" s="392"/>
      <c r="F534" s="79" t="s">
        <v>7</v>
      </c>
      <c r="G534" s="139">
        <v>118150</v>
      </c>
      <c r="H534" s="140">
        <f>ROUNDUP(0+M534,0)</f>
        <v>5646</v>
      </c>
      <c r="I534" s="81">
        <f t="shared" si="238"/>
        <v>4.7786711807024966</v>
      </c>
      <c r="J534" s="139">
        <v>118150</v>
      </c>
      <c r="K534" s="139">
        <f t="shared" si="241"/>
        <v>0</v>
      </c>
      <c r="L534" s="139">
        <v>118150</v>
      </c>
      <c r="M534" s="80">
        <v>5645.7</v>
      </c>
      <c r="N534" s="81">
        <f t="shared" si="240"/>
        <v>4.7784172661870503</v>
      </c>
      <c r="O534" s="388"/>
    </row>
    <row r="535" spans="1:15" s="95" customFormat="1" ht="11.1" customHeight="1" outlineLevel="1" x14ac:dyDescent="0.2">
      <c r="A535" s="118"/>
      <c r="B535" s="76" t="s">
        <v>11</v>
      </c>
      <c r="C535" s="82" t="s">
        <v>151</v>
      </c>
      <c r="D535" s="109"/>
      <c r="E535" s="109"/>
      <c r="F535" s="79" t="s">
        <v>8</v>
      </c>
      <c r="G535" s="140">
        <v>0</v>
      </c>
      <c r="H535" s="139">
        <f t="shared" ref="H535:H538" si="242">ROUNDUP(0+M535,0)</f>
        <v>0</v>
      </c>
      <c r="I535" s="81" t="str">
        <f t="shared" si="238"/>
        <v>-</v>
      </c>
      <c r="J535" s="139">
        <v>0</v>
      </c>
      <c r="K535" s="139">
        <f t="shared" si="241"/>
        <v>0</v>
      </c>
      <c r="L535" s="139">
        <v>0</v>
      </c>
      <c r="M535" s="80">
        <v>0</v>
      </c>
      <c r="N535" s="81" t="str">
        <f t="shared" si="240"/>
        <v>-</v>
      </c>
      <c r="O535" s="388"/>
    </row>
    <row r="536" spans="1:15" s="95" customFormat="1" ht="11.1" customHeight="1" outlineLevel="1" x14ac:dyDescent="0.2">
      <c r="A536" s="118"/>
      <c r="B536" s="76"/>
      <c r="C536" s="82" t="s">
        <v>104</v>
      </c>
      <c r="D536" s="109"/>
      <c r="E536" s="109"/>
      <c r="F536" s="79" t="s">
        <v>22</v>
      </c>
      <c r="G536" s="140">
        <v>0</v>
      </c>
      <c r="H536" s="139">
        <f t="shared" si="242"/>
        <v>0</v>
      </c>
      <c r="I536" s="81" t="str">
        <f t="shared" si="238"/>
        <v>-</v>
      </c>
      <c r="J536" s="139">
        <v>0</v>
      </c>
      <c r="K536" s="139">
        <f t="shared" si="241"/>
        <v>0</v>
      </c>
      <c r="L536" s="139">
        <v>0</v>
      </c>
      <c r="M536" s="80">
        <v>0</v>
      </c>
      <c r="N536" s="81" t="str">
        <f t="shared" si="240"/>
        <v>-</v>
      </c>
      <c r="O536" s="388"/>
    </row>
    <row r="537" spans="1:15" s="95" customFormat="1" ht="11.1" customHeight="1" outlineLevel="1" x14ac:dyDescent="0.2">
      <c r="A537" s="118"/>
      <c r="B537" s="76" t="s">
        <v>12</v>
      </c>
      <c r="C537" s="82" t="s">
        <v>209</v>
      </c>
      <c r="D537" s="109"/>
      <c r="E537" s="109"/>
      <c r="F537" s="79" t="s">
        <v>45</v>
      </c>
      <c r="G537" s="140">
        <v>0</v>
      </c>
      <c r="H537" s="139">
        <f t="shared" si="242"/>
        <v>0</v>
      </c>
      <c r="I537" s="81" t="str">
        <f t="shared" si="238"/>
        <v>-</v>
      </c>
      <c r="J537" s="139">
        <v>0</v>
      </c>
      <c r="K537" s="139">
        <f t="shared" si="241"/>
        <v>0</v>
      </c>
      <c r="L537" s="139">
        <v>0</v>
      </c>
      <c r="M537" s="80">
        <v>0</v>
      </c>
      <c r="N537" s="81" t="str">
        <f t="shared" si="240"/>
        <v>-</v>
      </c>
      <c r="O537" s="388"/>
    </row>
    <row r="538" spans="1:15" s="95" customFormat="1" ht="11.1" customHeight="1" outlineLevel="1" x14ac:dyDescent="0.2">
      <c r="A538" s="118"/>
      <c r="B538" s="76" t="s">
        <v>23</v>
      </c>
      <c r="C538" s="82" t="s">
        <v>105</v>
      </c>
      <c r="D538" s="109"/>
      <c r="E538" s="109"/>
      <c r="F538" s="79" t="s">
        <v>365</v>
      </c>
      <c r="G538" s="140">
        <v>0</v>
      </c>
      <c r="H538" s="139">
        <f t="shared" si="242"/>
        <v>0</v>
      </c>
      <c r="I538" s="81" t="str">
        <f t="shared" si="238"/>
        <v>-</v>
      </c>
      <c r="J538" s="139">
        <v>0</v>
      </c>
      <c r="K538" s="139">
        <f t="shared" si="241"/>
        <v>0</v>
      </c>
      <c r="L538" s="139">
        <v>0</v>
      </c>
      <c r="M538" s="80">
        <v>0</v>
      </c>
      <c r="N538" s="81" t="str">
        <f t="shared" si="240"/>
        <v>-</v>
      </c>
      <c r="O538" s="388"/>
    </row>
    <row r="539" spans="1:15" s="95" customFormat="1" ht="11.1" customHeight="1" outlineLevel="1" x14ac:dyDescent="0.2">
      <c r="A539" s="118"/>
      <c r="B539" s="76"/>
      <c r="C539" s="82" t="s">
        <v>106</v>
      </c>
      <c r="D539" s="109"/>
      <c r="E539" s="109"/>
      <c r="F539" s="106"/>
      <c r="G539" s="140"/>
      <c r="H539" s="140"/>
      <c r="I539" s="81"/>
      <c r="J539" s="140"/>
      <c r="K539" s="140"/>
      <c r="L539" s="139"/>
      <c r="M539" s="89"/>
      <c r="N539" s="81"/>
      <c r="O539" s="388"/>
    </row>
    <row r="540" spans="1:15" s="95" customFormat="1" ht="11.1" customHeight="1" outlineLevel="1" x14ac:dyDescent="0.2">
      <c r="A540" s="118"/>
      <c r="B540" s="76"/>
      <c r="C540" s="82" t="s">
        <v>107</v>
      </c>
      <c r="D540" s="109"/>
      <c r="E540" s="109"/>
      <c r="F540" s="106"/>
      <c r="G540" s="140"/>
      <c r="H540" s="140"/>
      <c r="I540" s="81"/>
      <c r="J540" s="140"/>
      <c r="K540" s="140"/>
      <c r="L540" s="139"/>
      <c r="M540" s="89"/>
      <c r="N540" s="81"/>
      <c r="O540" s="388"/>
    </row>
    <row r="541" spans="1:15" s="95" customFormat="1" ht="11.1" customHeight="1" outlineLevel="1" x14ac:dyDescent="0.2">
      <c r="A541" s="118"/>
      <c r="B541" s="76"/>
      <c r="C541" s="82" t="s">
        <v>108</v>
      </c>
      <c r="D541" s="109"/>
      <c r="E541" s="109"/>
      <c r="F541" s="106"/>
      <c r="G541" s="140"/>
      <c r="H541" s="140"/>
      <c r="I541" s="81"/>
      <c r="J541" s="140"/>
      <c r="K541" s="140"/>
      <c r="L541" s="139"/>
      <c r="M541" s="89"/>
      <c r="N541" s="81"/>
      <c r="O541" s="348"/>
    </row>
    <row r="542" spans="1:15" s="95" customFormat="1" ht="11.1" customHeight="1" outlineLevel="1" x14ac:dyDescent="0.2">
      <c r="A542" s="118"/>
      <c r="B542" s="76"/>
      <c r="C542" s="82" t="s">
        <v>109</v>
      </c>
      <c r="D542" s="109"/>
      <c r="E542" s="109"/>
      <c r="F542" s="106"/>
      <c r="G542" s="140"/>
      <c r="H542" s="140"/>
      <c r="I542" s="81"/>
      <c r="J542" s="140"/>
      <c r="K542" s="140"/>
      <c r="L542" s="139"/>
      <c r="M542" s="89"/>
      <c r="N542" s="81"/>
      <c r="O542" s="348"/>
    </row>
    <row r="543" spans="1:15" s="95" customFormat="1" ht="3.95" customHeight="1" outlineLevel="1" x14ac:dyDescent="0.2">
      <c r="A543" s="119"/>
      <c r="B543" s="85"/>
      <c r="C543" s="86"/>
      <c r="D543" s="84"/>
      <c r="E543" s="84"/>
      <c r="F543" s="85"/>
      <c r="G543" s="141"/>
      <c r="H543" s="141"/>
      <c r="I543" s="88"/>
      <c r="J543" s="141"/>
      <c r="K543" s="141"/>
      <c r="L543" s="142"/>
      <c r="M543" s="87"/>
      <c r="N543" s="88"/>
      <c r="O543" s="349"/>
    </row>
    <row r="544" spans="1:15" s="95" customFormat="1" ht="3.95" customHeight="1" outlineLevel="1" x14ac:dyDescent="0.2">
      <c r="A544" s="153"/>
      <c r="B544" s="72"/>
      <c r="C544" s="73"/>
      <c r="D544" s="71"/>
      <c r="E544" s="71"/>
      <c r="F544" s="72"/>
      <c r="G544" s="136"/>
      <c r="H544" s="136"/>
      <c r="I544" s="75"/>
      <c r="J544" s="136"/>
      <c r="K544" s="136"/>
      <c r="L544" s="137"/>
      <c r="M544" s="74"/>
      <c r="N544" s="75"/>
      <c r="O544" s="347"/>
    </row>
    <row r="545" spans="1:15" s="95" customFormat="1" ht="11.1" customHeight="1" outlineLevel="1" x14ac:dyDescent="0.2">
      <c r="A545" s="391" t="s">
        <v>546</v>
      </c>
      <c r="B545" s="76" t="s">
        <v>9</v>
      </c>
      <c r="C545" s="149" t="s">
        <v>452</v>
      </c>
      <c r="D545" s="392" t="s">
        <v>389</v>
      </c>
      <c r="E545" s="392" t="s">
        <v>459</v>
      </c>
      <c r="F545" s="78" t="s">
        <v>28</v>
      </c>
      <c r="G545" s="138">
        <f t="shared" ref="G545:H545" si="243">SUM(G546:G551)</f>
        <v>36181</v>
      </c>
      <c r="H545" s="138">
        <f t="shared" si="243"/>
        <v>0</v>
      </c>
      <c r="I545" s="39">
        <f t="shared" ref="I545:I551" si="244">IF(G545&gt;0,H545/G545*100,"-")</f>
        <v>0</v>
      </c>
      <c r="J545" s="138">
        <f t="shared" ref="J545:M545" si="245">SUM(J546:J551)</f>
        <v>0</v>
      </c>
      <c r="K545" s="138">
        <f t="shared" si="245"/>
        <v>17078</v>
      </c>
      <c r="L545" s="138">
        <f t="shared" si="245"/>
        <v>17078</v>
      </c>
      <c r="M545" s="38">
        <f t="shared" si="245"/>
        <v>0</v>
      </c>
      <c r="N545" s="39">
        <f t="shared" ref="N545:N551" si="246">IF(L545&gt;0,M545/L545*100,"-")</f>
        <v>0</v>
      </c>
      <c r="O545" s="388" t="s">
        <v>477</v>
      </c>
    </row>
    <row r="546" spans="1:15" s="95" customFormat="1" ht="11.1" customHeight="1" outlineLevel="1" x14ac:dyDescent="0.2">
      <c r="A546" s="391"/>
      <c r="B546" s="76" t="s">
        <v>10</v>
      </c>
      <c r="C546" s="149" t="s">
        <v>453</v>
      </c>
      <c r="D546" s="392"/>
      <c r="E546" s="392"/>
      <c r="F546" s="79" t="s">
        <v>15</v>
      </c>
      <c r="G546" s="139">
        <v>0</v>
      </c>
      <c r="H546" s="140">
        <f>ROUNDUP(0+M546,0)</f>
        <v>0</v>
      </c>
      <c r="I546" s="81" t="str">
        <f t="shared" si="244"/>
        <v>-</v>
      </c>
      <c r="J546" s="139">
        <v>0</v>
      </c>
      <c r="K546" s="139">
        <f t="shared" ref="K546" si="247">L546-J546</f>
        <v>0</v>
      </c>
      <c r="L546" s="139">
        <v>0</v>
      </c>
      <c r="M546" s="80">
        <v>0</v>
      </c>
      <c r="N546" s="81" t="str">
        <f t="shared" si="246"/>
        <v>-</v>
      </c>
      <c r="O546" s="388"/>
    </row>
    <row r="547" spans="1:15" s="95" customFormat="1" ht="11.1" customHeight="1" outlineLevel="1" x14ac:dyDescent="0.2">
      <c r="A547" s="391"/>
      <c r="B547" s="76" t="s">
        <v>11</v>
      </c>
      <c r="C547" s="82" t="s">
        <v>454</v>
      </c>
      <c r="D547" s="392"/>
      <c r="E547" s="392"/>
      <c r="F547" s="79" t="s">
        <v>7</v>
      </c>
      <c r="G547" s="139">
        <v>36181</v>
      </c>
      <c r="H547" s="140">
        <f>ROUNDUP(0+M547,0)</f>
        <v>0</v>
      </c>
      <c r="I547" s="81">
        <f t="shared" si="244"/>
        <v>0</v>
      </c>
      <c r="J547" s="139">
        <v>0</v>
      </c>
      <c r="K547" s="139">
        <f t="shared" ref="K547:K551" si="248">L547-J547</f>
        <v>17078</v>
      </c>
      <c r="L547" s="139">
        <v>17078</v>
      </c>
      <c r="M547" s="83">
        <v>0</v>
      </c>
      <c r="N547" s="81">
        <f t="shared" si="246"/>
        <v>0</v>
      </c>
      <c r="O547" s="388"/>
    </row>
    <row r="548" spans="1:15" s="95" customFormat="1" ht="11.1" customHeight="1" outlineLevel="1" x14ac:dyDescent="0.2">
      <c r="A548" s="118"/>
      <c r="B548" s="76" t="s">
        <v>12</v>
      </c>
      <c r="C548" s="82" t="s">
        <v>455</v>
      </c>
      <c r="D548" s="109"/>
      <c r="E548" s="109"/>
      <c r="F548" s="79" t="s">
        <v>8</v>
      </c>
      <c r="G548" s="140">
        <v>0</v>
      </c>
      <c r="H548" s="139">
        <f t="shared" ref="H548:H551" si="249">ROUNDUP(0+M548,0)</f>
        <v>0</v>
      </c>
      <c r="I548" s="81" t="str">
        <f t="shared" si="244"/>
        <v>-</v>
      </c>
      <c r="J548" s="139">
        <v>0</v>
      </c>
      <c r="K548" s="139">
        <f t="shared" si="248"/>
        <v>0</v>
      </c>
      <c r="L548" s="139">
        <v>0</v>
      </c>
      <c r="M548" s="80">
        <v>0</v>
      </c>
      <c r="N548" s="81" t="str">
        <f t="shared" si="246"/>
        <v>-</v>
      </c>
      <c r="O548" s="388"/>
    </row>
    <row r="549" spans="1:15" s="95" customFormat="1" ht="11.1" customHeight="1" outlineLevel="1" x14ac:dyDescent="0.2">
      <c r="A549" s="118"/>
      <c r="B549" s="76" t="s">
        <v>23</v>
      </c>
      <c r="C549" s="82" t="s">
        <v>456</v>
      </c>
      <c r="D549" s="109"/>
      <c r="E549" s="109"/>
      <c r="F549" s="79" t="s">
        <v>22</v>
      </c>
      <c r="G549" s="140">
        <v>0</v>
      </c>
      <c r="H549" s="139">
        <f t="shared" si="249"/>
        <v>0</v>
      </c>
      <c r="I549" s="81" t="str">
        <f t="shared" si="244"/>
        <v>-</v>
      </c>
      <c r="J549" s="139">
        <v>0</v>
      </c>
      <c r="K549" s="139">
        <f t="shared" si="248"/>
        <v>0</v>
      </c>
      <c r="L549" s="139">
        <v>0</v>
      </c>
      <c r="M549" s="80">
        <v>0</v>
      </c>
      <c r="N549" s="81" t="str">
        <f t="shared" si="246"/>
        <v>-</v>
      </c>
      <c r="O549" s="388"/>
    </row>
    <row r="550" spans="1:15" s="95" customFormat="1" ht="11.1" customHeight="1" outlineLevel="1" x14ac:dyDescent="0.2">
      <c r="A550" s="118"/>
      <c r="B550" s="76"/>
      <c r="C550" s="82" t="s">
        <v>457</v>
      </c>
      <c r="D550" s="109"/>
      <c r="E550" s="109"/>
      <c r="F550" s="79" t="s">
        <v>45</v>
      </c>
      <c r="G550" s="140">
        <v>0</v>
      </c>
      <c r="H550" s="139">
        <f t="shared" si="249"/>
        <v>0</v>
      </c>
      <c r="I550" s="81" t="str">
        <f t="shared" si="244"/>
        <v>-</v>
      </c>
      <c r="J550" s="139">
        <v>0</v>
      </c>
      <c r="K550" s="139">
        <f t="shared" si="248"/>
        <v>0</v>
      </c>
      <c r="L550" s="139">
        <v>0</v>
      </c>
      <c r="M550" s="80">
        <v>0</v>
      </c>
      <c r="N550" s="81" t="str">
        <f t="shared" si="246"/>
        <v>-</v>
      </c>
      <c r="O550" s="388"/>
    </row>
    <row r="551" spans="1:15" s="95" customFormat="1" ht="11.1" customHeight="1" outlineLevel="1" x14ac:dyDescent="0.2">
      <c r="A551" s="118"/>
      <c r="B551" s="76"/>
      <c r="C551" s="82" t="s">
        <v>458</v>
      </c>
      <c r="D551" s="109"/>
      <c r="E551" s="109"/>
      <c r="F551" s="79" t="s">
        <v>365</v>
      </c>
      <c r="G551" s="140">
        <v>0</v>
      </c>
      <c r="H551" s="139">
        <f t="shared" si="249"/>
        <v>0</v>
      </c>
      <c r="I551" s="81" t="str">
        <f t="shared" si="244"/>
        <v>-</v>
      </c>
      <c r="J551" s="139">
        <v>0</v>
      </c>
      <c r="K551" s="139">
        <f t="shared" si="248"/>
        <v>0</v>
      </c>
      <c r="L551" s="139">
        <v>0</v>
      </c>
      <c r="M551" s="80">
        <v>0</v>
      </c>
      <c r="N551" s="81" t="str">
        <f t="shared" si="246"/>
        <v>-</v>
      </c>
      <c r="O551" s="388"/>
    </row>
    <row r="552" spans="1:15" s="95" customFormat="1" ht="3.95" customHeight="1" outlineLevel="1" x14ac:dyDescent="0.2">
      <c r="A552" s="119"/>
      <c r="B552" s="85"/>
      <c r="C552" s="86"/>
      <c r="D552" s="84"/>
      <c r="E552" s="84"/>
      <c r="F552" s="85"/>
      <c r="G552" s="141"/>
      <c r="H552" s="141"/>
      <c r="I552" s="88"/>
      <c r="J552" s="141"/>
      <c r="K552" s="141"/>
      <c r="L552" s="142"/>
      <c r="M552" s="87"/>
      <c r="N552" s="88"/>
      <c r="O552" s="349"/>
    </row>
    <row r="553" spans="1:15" s="95" customFormat="1" ht="3.95" customHeight="1" outlineLevel="1" x14ac:dyDescent="0.2">
      <c r="A553" s="153"/>
      <c r="B553" s="72"/>
      <c r="C553" s="73"/>
      <c r="D553" s="71"/>
      <c r="E553" s="71"/>
      <c r="F553" s="72"/>
      <c r="G553" s="136"/>
      <c r="H553" s="136"/>
      <c r="I553" s="75"/>
      <c r="J553" s="136"/>
      <c r="K553" s="136"/>
      <c r="L553" s="137"/>
      <c r="M553" s="74"/>
      <c r="N553" s="75"/>
      <c r="O553" s="326"/>
    </row>
    <row r="554" spans="1:15" s="95" customFormat="1" ht="11.1" customHeight="1" outlineLevel="1" x14ac:dyDescent="0.2">
      <c r="A554" s="391" t="s">
        <v>547</v>
      </c>
      <c r="B554" s="76" t="s">
        <v>9</v>
      </c>
      <c r="C554" s="149" t="s">
        <v>460</v>
      </c>
      <c r="D554" s="392" t="s">
        <v>395</v>
      </c>
      <c r="E554" s="392" t="s">
        <v>465</v>
      </c>
      <c r="F554" s="78" t="s">
        <v>28</v>
      </c>
      <c r="G554" s="138">
        <f>SUM(G555:G560)</f>
        <v>136874</v>
      </c>
      <c r="H554" s="138">
        <f>SUM(H555:H560)</f>
        <v>7864</v>
      </c>
      <c r="I554" s="39">
        <f t="shared" ref="I554:I560" si="250">IF(G554&gt;0,H554/G554*100,"-")</f>
        <v>5.7454301035989301</v>
      </c>
      <c r="J554" s="243">
        <f>SUM(J555:J560)</f>
        <v>0</v>
      </c>
      <c r="K554" s="138">
        <f>SUM(K555:K560)</f>
        <v>71229</v>
      </c>
      <c r="L554" s="138">
        <f>SUM(L555:L560)</f>
        <v>71229</v>
      </c>
      <c r="M554" s="38">
        <f>SUM(M555:M560)</f>
        <v>7862.9</v>
      </c>
      <c r="N554" s="39">
        <f t="shared" ref="N554:N560" si="251">IF(L554&gt;0,M554/L554*100,"-")</f>
        <v>11.038902694127392</v>
      </c>
      <c r="O554" s="388" t="s">
        <v>478</v>
      </c>
    </row>
    <row r="555" spans="1:15" s="95" customFormat="1" ht="11.1" customHeight="1" outlineLevel="1" x14ac:dyDescent="0.2">
      <c r="A555" s="391"/>
      <c r="B555" s="76" t="s">
        <v>10</v>
      </c>
      <c r="C555" s="149" t="s">
        <v>453</v>
      </c>
      <c r="D555" s="392"/>
      <c r="E555" s="392"/>
      <c r="F555" s="79" t="s">
        <v>15</v>
      </c>
      <c r="G555" s="139">
        <v>27376</v>
      </c>
      <c r="H555" s="139">
        <f>ROUNDUP(0+M555,0)</f>
        <v>1573</v>
      </c>
      <c r="I555" s="81">
        <f t="shared" si="250"/>
        <v>5.7459088252483932</v>
      </c>
      <c r="J555" s="139">
        <v>0</v>
      </c>
      <c r="K555" s="139">
        <f t="shared" ref="K555:K560" si="252">L555-J555</f>
        <v>14247</v>
      </c>
      <c r="L555" s="139">
        <v>14247</v>
      </c>
      <c r="M555" s="83">
        <v>1572.58</v>
      </c>
      <c r="N555" s="81">
        <f t="shared" si="251"/>
        <v>11.037972906576822</v>
      </c>
      <c r="O555" s="388"/>
    </row>
    <row r="556" spans="1:15" s="95" customFormat="1" ht="11.1" customHeight="1" outlineLevel="1" x14ac:dyDescent="0.2">
      <c r="A556" s="391"/>
      <c r="B556" s="76" t="s">
        <v>11</v>
      </c>
      <c r="C556" s="82" t="s">
        <v>461</v>
      </c>
      <c r="D556" s="392"/>
      <c r="E556" s="392"/>
      <c r="F556" s="79" t="s">
        <v>7</v>
      </c>
      <c r="G556" s="139">
        <v>109498</v>
      </c>
      <c r="H556" s="139">
        <f>ROUNDUP(0+M556,0)</f>
        <v>6291</v>
      </c>
      <c r="I556" s="81">
        <f t="shared" si="250"/>
        <v>5.7453104166286142</v>
      </c>
      <c r="J556" s="139">
        <v>0</v>
      </c>
      <c r="K556" s="139">
        <f t="shared" si="252"/>
        <v>56982</v>
      </c>
      <c r="L556" s="139">
        <v>56982</v>
      </c>
      <c r="M556" s="80">
        <v>6290.32</v>
      </c>
      <c r="N556" s="81">
        <f t="shared" si="251"/>
        <v>11.039135165490856</v>
      </c>
      <c r="O556" s="388"/>
    </row>
    <row r="557" spans="1:15" s="95" customFormat="1" ht="11.1" customHeight="1" outlineLevel="1" x14ac:dyDescent="0.2">
      <c r="A557" s="118"/>
      <c r="B557" s="76" t="s">
        <v>12</v>
      </c>
      <c r="C557" s="82" t="s">
        <v>462</v>
      </c>
      <c r="D557" s="109"/>
      <c r="E557" s="109"/>
      <c r="F557" s="79" t="s">
        <v>8</v>
      </c>
      <c r="G557" s="140">
        <v>0</v>
      </c>
      <c r="H557" s="139">
        <f t="shared" ref="H557:H560" si="253">ROUNDUP(0+M557,0)</f>
        <v>0</v>
      </c>
      <c r="I557" s="81" t="str">
        <f t="shared" si="250"/>
        <v>-</v>
      </c>
      <c r="J557" s="139">
        <v>0</v>
      </c>
      <c r="K557" s="139">
        <f t="shared" si="252"/>
        <v>0</v>
      </c>
      <c r="L557" s="139">
        <v>0</v>
      </c>
      <c r="M557" s="80">
        <v>0</v>
      </c>
      <c r="N557" s="81" t="str">
        <f t="shared" si="251"/>
        <v>-</v>
      </c>
      <c r="O557" s="388"/>
    </row>
    <row r="558" spans="1:15" s="95" customFormat="1" ht="11.1" customHeight="1" outlineLevel="1" x14ac:dyDescent="0.2">
      <c r="A558" s="118"/>
      <c r="B558" s="76"/>
      <c r="C558" s="82" t="s">
        <v>464</v>
      </c>
      <c r="D558" s="109"/>
      <c r="E558" s="109"/>
      <c r="F558" s="79" t="s">
        <v>22</v>
      </c>
      <c r="G558" s="140">
        <v>0</v>
      </c>
      <c r="H558" s="139">
        <f t="shared" si="253"/>
        <v>0</v>
      </c>
      <c r="I558" s="81" t="str">
        <f t="shared" si="250"/>
        <v>-</v>
      </c>
      <c r="J558" s="139">
        <v>0</v>
      </c>
      <c r="K558" s="139">
        <f t="shared" si="252"/>
        <v>0</v>
      </c>
      <c r="L558" s="139">
        <v>0</v>
      </c>
      <c r="M558" s="80">
        <v>0</v>
      </c>
      <c r="N558" s="81" t="str">
        <f t="shared" si="251"/>
        <v>-</v>
      </c>
      <c r="O558" s="388"/>
    </row>
    <row r="559" spans="1:15" s="95" customFormat="1" ht="11.1" customHeight="1" outlineLevel="1" x14ac:dyDescent="0.2">
      <c r="A559" s="118"/>
      <c r="B559" s="95" t="s">
        <v>440</v>
      </c>
      <c r="C559" s="95" t="s">
        <v>463</v>
      </c>
      <c r="D559" s="109"/>
      <c r="E559" s="109"/>
      <c r="F559" s="79" t="s">
        <v>45</v>
      </c>
      <c r="G559" s="140">
        <v>0</v>
      </c>
      <c r="H559" s="139">
        <f t="shared" si="253"/>
        <v>0</v>
      </c>
      <c r="I559" s="81" t="str">
        <f t="shared" si="250"/>
        <v>-</v>
      </c>
      <c r="J559" s="139">
        <v>0</v>
      </c>
      <c r="K559" s="139">
        <f t="shared" si="252"/>
        <v>0</v>
      </c>
      <c r="L559" s="139">
        <v>0</v>
      </c>
      <c r="M559" s="80">
        <v>0</v>
      </c>
      <c r="N559" s="81" t="str">
        <f t="shared" si="251"/>
        <v>-</v>
      </c>
      <c r="O559" s="388"/>
    </row>
    <row r="560" spans="1:15" s="95" customFormat="1" ht="11.1" customHeight="1" outlineLevel="1" x14ac:dyDescent="0.2">
      <c r="A560" s="118"/>
      <c r="B560" s="76"/>
      <c r="C560" s="82"/>
      <c r="D560" s="109"/>
      <c r="E560" s="109"/>
      <c r="F560" s="79" t="s">
        <v>365</v>
      </c>
      <c r="G560" s="140">
        <v>0</v>
      </c>
      <c r="H560" s="139">
        <f t="shared" si="253"/>
        <v>0</v>
      </c>
      <c r="I560" s="81" t="str">
        <f t="shared" si="250"/>
        <v>-</v>
      </c>
      <c r="J560" s="139">
        <v>0</v>
      </c>
      <c r="K560" s="139">
        <f t="shared" si="252"/>
        <v>0</v>
      </c>
      <c r="L560" s="139">
        <v>0</v>
      </c>
      <c r="M560" s="80">
        <v>0</v>
      </c>
      <c r="N560" s="81" t="str">
        <f t="shared" si="251"/>
        <v>-</v>
      </c>
      <c r="O560" s="388"/>
    </row>
    <row r="561" spans="1:15" s="95" customFormat="1" ht="3.95" customHeight="1" outlineLevel="1" x14ac:dyDescent="0.2">
      <c r="A561" s="119"/>
      <c r="B561" s="85"/>
      <c r="C561" s="86"/>
      <c r="D561" s="84"/>
      <c r="E561" s="84"/>
      <c r="F561" s="85"/>
      <c r="G561" s="141"/>
      <c r="H561" s="141"/>
      <c r="I561" s="88"/>
      <c r="J561" s="141"/>
      <c r="K561" s="141"/>
      <c r="L561" s="142"/>
      <c r="M561" s="87"/>
      <c r="N561" s="88"/>
      <c r="O561" s="327"/>
    </row>
    <row r="562" spans="1:15" s="95" customFormat="1" ht="3.95" customHeight="1" x14ac:dyDescent="0.2">
      <c r="A562" s="186"/>
      <c r="B562" s="91"/>
      <c r="C562" s="92"/>
      <c r="D562" s="428"/>
      <c r="E562" s="186"/>
      <c r="F562" s="91"/>
      <c r="G562" s="147"/>
      <c r="H562" s="147"/>
      <c r="I562" s="94"/>
      <c r="J562" s="147"/>
      <c r="K562" s="147"/>
      <c r="L562" s="148"/>
      <c r="M562" s="93"/>
      <c r="N562" s="94"/>
      <c r="O562" s="321"/>
    </row>
    <row r="563" spans="1:15" ht="11.45" customHeight="1" x14ac:dyDescent="0.2">
      <c r="A563" s="19" t="s">
        <v>13</v>
      </c>
      <c r="B563" s="416" t="s">
        <v>27</v>
      </c>
      <c r="C563" s="417"/>
      <c r="D563" s="428"/>
      <c r="E563" s="20"/>
      <c r="F563" s="21"/>
      <c r="G563" s="129">
        <f>SUM(G564:G569)</f>
        <v>743279121</v>
      </c>
      <c r="H563" s="129">
        <f>SUM(H564:H569)</f>
        <v>368083661</v>
      </c>
      <c r="I563" s="23">
        <f t="shared" ref="I563:I569" si="254">IF(G563&gt;0,H563/G563*100,"-")</f>
        <v>49.521592979066071</v>
      </c>
      <c r="J563" s="129">
        <f>SUM(J564:J569)</f>
        <v>188242079</v>
      </c>
      <c r="K563" s="129">
        <f>SUM(K564:K569)</f>
        <v>34926899</v>
      </c>
      <c r="L563" s="129">
        <f>SUM(L564:L569)</f>
        <v>223168978</v>
      </c>
      <c r="M563" s="22">
        <f>SUM(M564:M569)</f>
        <v>42278446.000000007</v>
      </c>
      <c r="N563" s="23">
        <f t="shared" ref="N563:N569" si="255">IF(L563&gt;0,M563/L563*100,"-")</f>
        <v>18.944589153426158</v>
      </c>
      <c r="O563" s="321"/>
    </row>
    <row r="564" spans="1:15" ht="11.45" customHeight="1" x14ac:dyDescent="0.2">
      <c r="A564" s="21"/>
      <c r="B564" s="395" t="s">
        <v>15</v>
      </c>
      <c r="C564" s="396"/>
      <c r="D564" s="428"/>
      <c r="E564" s="20"/>
      <c r="F564" s="25"/>
      <c r="G564" s="130">
        <f t="shared" ref="G564:H569" si="256">G573+G608+G642+G661+G786+G766</f>
        <v>131597292</v>
      </c>
      <c r="H564" s="130">
        <f t="shared" si="256"/>
        <v>33521630</v>
      </c>
      <c r="I564" s="27">
        <f t="shared" si="254"/>
        <v>25.472887390418336</v>
      </c>
      <c r="J564" s="130">
        <f t="shared" ref="J564:M569" si="257">J573+J608+J642+J661+J786+J766</f>
        <v>16645277</v>
      </c>
      <c r="K564" s="130">
        <f t="shared" si="257"/>
        <v>22211602</v>
      </c>
      <c r="L564" s="130">
        <f t="shared" si="257"/>
        <v>38856879</v>
      </c>
      <c r="M564" s="26">
        <f t="shared" si="257"/>
        <v>7488419.0500000007</v>
      </c>
      <c r="N564" s="27">
        <f t="shared" si="255"/>
        <v>19.271797536801657</v>
      </c>
      <c r="O564" s="321"/>
    </row>
    <row r="565" spans="1:15" ht="11.45" customHeight="1" x14ac:dyDescent="0.2">
      <c r="A565" s="21"/>
      <c r="B565" s="395" t="s">
        <v>7</v>
      </c>
      <c r="C565" s="396"/>
      <c r="D565" s="428"/>
      <c r="E565" s="20"/>
      <c r="F565" s="25"/>
      <c r="G565" s="130">
        <f t="shared" si="256"/>
        <v>415967074</v>
      </c>
      <c r="H565" s="130">
        <f t="shared" si="256"/>
        <v>198222947</v>
      </c>
      <c r="I565" s="27">
        <f t="shared" si="254"/>
        <v>47.653518605176906</v>
      </c>
      <c r="J565" s="130">
        <f t="shared" si="257"/>
        <v>112678488</v>
      </c>
      <c r="K565" s="130">
        <f t="shared" si="257"/>
        <v>-3536200</v>
      </c>
      <c r="L565" s="130">
        <f t="shared" si="257"/>
        <v>109142288</v>
      </c>
      <c r="M565" s="26">
        <f t="shared" si="257"/>
        <v>18453213.099999998</v>
      </c>
      <c r="N565" s="27">
        <f t="shared" si="255"/>
        <v>16.907482368337373</v>
      </c>
      <c r="O565" s="321"/>
    </row>
    <row r="566" spans="1:15" ht="11.45" customHeight="1" x14ac:dyDescent="0.2">
      <c r="A566" s="21"/>
      <c r="B566" s="395" t="s">
        <v>8</v>
      </c>
      <c r="C566" s="396"/>
      <c r="D566" s="428"/>
      <c r="E566" s="20"/>
      <c r="F566" s="25"/>
      <c r="G566" s="130">
        <f t="shared" si="256"/>
        <v>173340183</v>
      </c>
      <c r="H566" s="130">
        <f t="shared" si="256"/>
        <v>126705745</v>
      </c>
      <c r="I566" s="27">
        <f t="shared" si="254"/>
        <v>73.096579689199942</v>
      </c>
      <c r="J566" s="130">
        <f t="shared" si="257"/>
        <v>48204297</v>
      </c>
      <c r="K566" s="130">
        <f t="shared" si="257"/>
        <v>11964665</v>
      </c>
      <c r="L566" s="130">
        <f t="shared" si="257"/>
        <v>60168962</v>
      </c>
      <c r="M566" s="26">
        <f t="shared" si="257"/>
        <v>13534521.050000001</v>
      </c>
      <c r="N566" s="27">
        <f t="shared" si="255"/>
        <v>22.494190692536794</v>
      </c>
      <c r="O566" s="321"/>
    </row>
    <row r="567" spans="1:15" ht="11.45" customHeight="1" x14ac:dyDescent="0.2">
      <c r="A567" s="21"/>
      <c r="B567" s="395" t="s">
        <v>22</v>
      </c>
      <c r="C567" s="396"/>
      <c r="D567" s="428"/>
      <c r="E567" s="20"/>
      <c r="F567" s="25"/>
      <c r="G567" s="130">
        <f t="shared" si="256"/>
        <v>6333802</v>
      </c>
      <c r="H567" s="130">
        <f t="shared" si="256"/>
        <v>3145475</v>
      </c>
      <c r="I567" s="27">
        <f t="shared" si="254"/>
        <v>49.661719769579157</v>
      </c>
      <c r="J567" s="130">
        <f t="shared" si="257"/>
        <v>2921711</v>
      </c>
      <c r="K567" s="130">
        <f t="shared" si="257"/>
        <v>0</v>
      </c>
      <c r="L567" s="130">
        <f t="shared" si="257"/>
        <v>2921711</v>
      </c>
      <c r="M567" s="26">
        <f t="shared" si="257"/>
        <v>2105.27</v>
      </c>
      <c r="N567" s="27">
        <f t="shared" si="255"/>
        <v>7.2056065777895209E-2</v>
      </c>
      <c r="O567" s="321"/>
    </row>
    <row r="568" spans="1:15" ht="11.45" customHeight="1" x14ac:dyDescent="0.2">
      <c r="A568" s="21"/>
      <c r="B568" s="342" t="s">
        <v>45</v>
      </c>
      <c r="C568" s="105"/>
      <c r="D568" s="428"/>
      <c r="E568" s="20"/>
      <c r="F568" s="25"/>
      <c r="G568" s="130">
        <f t="shared" si="256"/>
        <v>14957503</v>
      </c>
      <c r="H568" s="130">
        <f t="shared" si="256"/>
        <v>5262266</v>
      </c>
      <c r="I568" s="27">
        <f t="shared" si="254"/>
        <v>35.181447063724477</v>
      </c>
      <c r="J568" s="130">
        <f t="shared" si="257"/>
        <v>7792306</v>
      </c>
      <c r="K568" s="130">
        <f t="shared" si="257"/>
        <v>4286832</v>
      </c>
      <c r="L568" s="130">
        <f t="shared" si="257"/>
        <v>12079138</v>
      </c>
      <c r="M568" s="26">
        <f t="shared" si="257"/>
        <v>2800187.5300000003</v>
      </c>
      <c r="N568" s="27">
        <f t="shared" si="255"/>
        <v>23.182014560972814</v>
      </c>
      <c r="O568" s="321"/>
    </row>
    <row r="569" spans="1:15" ht="11.45" customHeight="1" x14ac:dyDescent="0.2">
      <c r="A569" s="21"/>
      <c r="B569" s="342" t="s">
        <v>365</v>
      </c>
      <c r="C569" s="105"/>
      <c r="D569" s="428"/>
      <c r="E569" s="20"/>
      <c r="F569" s="25"/>
      <c r="G569" s="130">
        <f t="shared" si="256"/>
        <v>1083267</v>
      </c>
      <c r="H569" s="130">
        <f t="shared" si="256"/>
        <v>1225598</v>
      </c>
      <c r="I569" s="27">
        <f t="shared" si="254"/>
        <v>113.13905066802552</v>
      </c>
      <c r="J569" s="130">
        <f t="shared" si="257"/>
        <v>0</v>
      </c>
      <c r="K569" s="130">
        <f t="shared" si="257"/>
        <v>0</v>
      </c>
      <c r="L569" s="130">
        <f t="shared" si="257"/>
        <v>0</v>
      </c>
      <c r="M569" s="26">
        <f t="shared" si="257"/>
        <v>0</v>
      </c>
      <c r="N569" s="27" t="str">
        <f t="shared" si="255"/>
        <v>-</v>
      </c>
      <c r="O569" s="321"/>
    </row>
    <row r="570" spans="1:15" ht="3.95" customHeight="1" x14ac:dyDescent="0.2">
      <c r="A570" s="53"/>
      <c r="B570" s="54"/>
      <c r="C570" s="55"/>
      <c r="D570" s="429"/>
      <c r="E570" s="56"/>
      <c r="F570" s="53"/>
      <c r="G570" s="131"/>
      <c r="H570" s="130"/>
      <c r="I570" s="58"/>
      <c r="J570" s="131"/>
      <c r="K570" s="131"/>
      <c r="L570" s="131"/>
      <c r="M570" s="57"/>
      <c r="N570" s="58"/>
      <c r="O570" s="322"/>
    </row>
    <row r="571" spans="1:15" ht="3.95" customHeight="1" x14ac:dyDescent="0.2">
      <c r="A571" s="59"/>
      <c r="B571" s="60"/>
      <c r="C571" s="61"/>
      <c r="D571" s="62"/>
      <c r="E571" s="62"/>
      <c r="F571" s="59"/>
      <c r="G571" s="132"/>
      <c r="H571" s="132"/>
      <c r="I571" s="64"/>
      <c r="J571" s="132"/>
      <c r="K571" s="132"/>
      <c r="L571" s="132"/>
      <c r="M571" s="63"/>
      <c r="N571" s="64"/>
      <c r="O571" s="323"/>
    </row>
    <row r="572" spans="1:15" ht="11.45" customHeight="1" x14ac:dyDescent="0.2">
      <c r="A572" s="28" t="s">
        <v>1</v>
      </c>
      <c r="B572" s="393" t="s">
        <v>114</v>
      </c>
      <c r="C572" s="394"/>
      <c r="D572" s="29"/>
      <c r="E572" s="29"/>
      <c r="F572" s="30"/>
      <c r="G572" s="133">
        <f>SUM(G573:G578)</f>
        <v>30339774</v>
      </c>
      <c r="H572" s="133">
        <f>SUM(H573:H578)</f>
        <v>7324907</v>
      </c>
      <c r="I572" s="32">
        <f>IF(G572&gt;0,H572/G572*100,"-")</f>
        <v>24.142918796956099</v>
      </c>
      <c r="J572" s="133">
        <f>SUM(J573:J578)</f>
        <v>25082571</v>
      </c>
      <c r="K572" s="133">
        <f>SUM(K573:K578)</f>
        <v>143374</v>
      </c>
      <c r="L572" s="133">
        <f>SUM(L573:L578)</f>
        <v>25225945</v>
      </c>
      <c r="M572" s="31">
        <f>SUM(M573:M578)</f>
        <v>2211074.8800000004</v>
      </c>
      <c r="N572" s="32">
        <f t="shared" ref="N572:N578" si="258">IF(L572&gt;0,M572/L572*100,"-")</f>
        <v>8.7650824577632296</v>
      </c>
      <c r="O572" s="324"/>
    </row>
    <row r="573" spans="1:15" ht="11.45" customHeight="1" x14ac:dyDescent="0.2">
      <c r="A573" s="30"/>
      <c r="B573" s="33"/>
      <c r="C573" s="34"/>
      <c r="D573" s="29"/>
      <c r="E573" s="29"/>
      <c r="F573" s="35" t="s">
        <v>15</v>
      </c>
      <c r="G573" s="134">
        <f t="shared" ref="G573:H578" si="259">G582+G595</f>
        <v>1842904</v>
      </c>
      <c r="H573" s="134">
        <f t="shared" si="259"/>
        <v>864997</v>
      </c>
      <c r="I573" s="37">
        <f t="shared" ref="I573:I578" si="260">IF(G573&gt;0,H573/G573*100,"-")</f>
        <v>46.93662827797867</v>
      </c>
      <c r="J573" s="134">
        <f t="shared" ref="J573:M578" si="261">J582+J595</f>
        <v>1046154</v>
      </c>
      <c r="K573" s="134">
        <f t="shared" si="261"/>
        <v>0</v>
      </c>
      <c r="L573" s="134">
        <f t="shared" si="261"/>
        <v>1046154</v>
      </c>
      <c r="M573" s="36">
        <f t="shared" si="261"/>
        <v>68246.55</v>
      </c>
      <c r="N573" s="37">
        <f t="shared" si="258"/>
        <v>6.523566320063777</v>
      </c>
      <c r="O573" s="324"/>
    </row>
    <row r="574" spans="1:15" ht="11.45" customHeight="1" x14ac:dyDescent="0.2">
      <c r="A574" s="30"/>
      <c r="B574" s="33"/>
      <c r="C574" s="34"/>
      <c r="D574" s="29"/>
      <c r="E574" s="29"/>
      <c r="F574" s="35" t="s">
        <v>7</v>
      </c>
      <c r="G574" s="134">
        <f t="shared" si="259"/>
        <v>20128315</v>
      </c>
      <c r="H574" s="134">
        <f t="shared" si="259"/>
        <v>4445232</v>
      </c>
      <c r="I574" s="37">
        <f t="shared" si="260"/>
        <v>22.084471551642547</v>
      </c>
      <c r="J574" s="134">
        <f t="shared" si="261"/>
        <v>17208849</v>
      </c>
      <c r="K574" s="134">
        <f t="shared" si="261"/>
        <v>90205</v>
      </c>
      <c r="L574" s="134">
        <f t="shared" si="261"/>
        <v>17299054</v>
      </c>
      <c r="M574" s="36">
        <f t="shared" si="261"/>
        <v>1615969.82</v>
      </c>
      <c r="N574" s="37">
        <f t="shared" si="258"/>
        <v>9.341376817483777</v>
      </c>
      <c r="O574" s="324"/>
    </row>
    <row r="575" spans="1:15" ht="11.45" customHeight="1" x14ac:dyDescent="0.2">
      <c r="A575" s="30"/>
      <c r="B575" s="33"/>
      <c r="C575" s="34"/>
      <c r="D575" s="29"/>
      <c r="E575" s="29"/>
      <c r="F575" s="35" t="s">
        <v>8</v>
      </c>
      <c r="G575" s="134">
        <f t="shared" si="259"/>
        <v>6430730</v>
      </c>
      <c r="H575" s="134">
        <f t="shared" si="259"/>
        <v>1783466</v>
      </c>
      <c r="I575" s="37">
        <f t="shared" si="260"/>
        <v>27.733492154078931</v>
      </c>
      <c r="J575" s="134">
        <f t="shared" si="261"/>
        <v>5053103</v>
      </c>
      <c r="K575" s="134">
        <f t="shared" si="261"/>
        <v>32140</v>
      </c>
      <c r="L575" s="134">
        <f t="shared" si="261"/>
        <v>5085243</v>
      </c>
      <c r="M575" s="36">
        <f t="shared" si="261"/>
        <v>437978.02</v>
      </c>
      <c r="N575" s="37">
        <f t="shared" si="258"/>
        <v>8.6127254882411712</v>
      </c>
      <c r="O575" s="324"/>
    </row>
    <row r="576" spans="1:15" ht="11.45" customHeight="1" x14ac:dyDescent="0.2">
      <c r="A576" s="30"/>
      <c r="B576" s="33"/>
      <c r="C576" s="34"/>
      <c r="D576" s="29"/>
      <c r="E576" s="29"/>
      <c r="F576" s="35" t="s">
        <v>22</v>
      </c>
      <c r="G576" s="134">
        <f t="shared" si="259"/>
        <v>0</v>
      </c>
      <c r="H576" s="134">
        <f t="shared" si="259"/>
        <v>0</v>
      </c>
      <c r="I576" s="37" t="str">
        <f t="shared" si="260"/>
        <v>-</v>
      </c>
      <c r="J576" s="134">
        <f t="shared" si="261"/>
        <v>0</v>
      </c>
      <c r="K576" s="134">
        <f t="shared" si="261"/>
        <v>0</v>
      </c>
      <c r="L576" s="134">
        <f t="shared" si="261"/>
        <v>0</v>
      </c>
      <c r="M576" s="36">
        <f t="shared" si="261"/>
        <v>0</v>
      </c>
      <c r="N576" s="37" t="str">
        <f t="shared" si="258"/>
        <v>-</v>
      </c>
      <c r="O576" s="324"/>
    </row>
    <row r="577" spans="1:15" ht="11.45" customHeight="1" x14ac:dyDescent="0.2">
      <c r="A577" s="30"/>
      <c r="B577" s="33"/>
      <c r="C577" s="34"/>
      <c r="D577" s="29"/>
      <c r="E577" s="29"/>
      <c r="F577" s="35" t="s">
        <v>45</v>
      </c>
      <c r="G577" s="134">
        <f t="shared" si="259"/>
        <v>1937825</v>
      </c>
      <c r="H577" s="134">
        <f t="shared" si="259"/>
        <v>88881</v>
      </c>
      <c r="I577" s="37">
        <f t="shared" si="260"/>
        <v>4.5866370802317027</v>
      </c>
      <c r="J577" s="134">
        <f t="shared" si="261"/>
        <v>1774465</v>
      </c>
      <c r="K577" s="134">
        <f t="shared" si="261"/>
        <v>21029</v>
      </c>
      <c r="L577" s="134">
        <f t="shared" si="261"/>
        <v>1795494</v>
      </c>
      <c r="M577" s="36">
        <f t="shared" si="261"/>
        <v>88880.49</v>
      </c>
      <c r="N577" s="37">
        <f t="shared" si="258"/>
        <v>4.9501969931394925</v>
      </c>
      <c r="O577" s="324"/>
    </row>
    <row r="578" spans="1:15" ht="11.45" customHeight="1" x14ac:dyDescent="0.2">
      <c r="A578" s="30"/>
      <c r="B578" s="33"/>
      <c r="C578" s="34"/>
      <c r="D578" s="29"/>
      <c r="E578" s="29"/>
      <c r="F578" s="35" t="s">
        <v>365</v>
      </c>
      <c r="G578" s="134">
        <f t="shared" si="259"/>
        <v>0</v>
      </c>
      <c r="H578" s="134">
        <f t="shared" si="259"/>
        <v>142331</v>
      </c>
      <c r="I578" s="37" t="str">
        <f t="shared" si="260"/>
        <v>-</v>
      </c>
      <c r="J578" s="134">
        <f t="shared" si="261"/>
        <v>0</v>
      </c>
      <c r="K578" s="134">
        <f t="shared" si="261"/>
        <v>0</v>
      </c>
      <c r="L578" s="134">
        <f t="shared" si="261"/>
        <v>0</v>
      </c>
      <c r="M578" s="36">
        <f t="shared" si="261"/>
        <v>0</v>
      </c>
      <c r="N578" s="37" t="str">
        <f t="shared" si="258"/>
        <v>-</v>
      </c>
      <c r="O578" s="324"/>
    </row>
    <row r="579" spans="1:15" ht="3.95" customHeight="1" x14ac:dyDescent="0.2">
      <c r="A579" s="65"/>
      <c r="B579" s="66"/>
      <c r="C579" s="67"/>
      <c r="D579" s="68"/>
      <c r="E579" s="68"/>
      <c r="F579" s="65"/>
      <c r="G579" s="135"/>
      <c r="H579" s="135"/>
      <c r="I579" s="70"/>
      <c r="J579" s="135"/>
      <c r="K579" s="135"/>
      <c r="L579" s="135"/>
      <c r="M579" s="69"/>
      <c r="N579" s="70"/>
      <c r="O579" s="325"/>
    </row>
    <row r="580" spans="1:15" ht="3.95" customHeight="1" outlineLevel="1" x14ac:dyDescent="0.2">
      <c r="A580" s="153"/>
      <c r="B580" s="72"/>
      <c r="C580" s="73"/>
      <c r="D580" s="71"/>
      <c r="E580" s="71"/>
      <c r="F580" s="72"/>
      <c r="G580" s="136"/>
      <c r="H580" s="136"/>
      <c r="I580" s="75"/>
      <c r="J580" s="136"/>
      <c r="K580" s="136"/>
      <c r="L580" s="137"/>
      <c r="M580" s="74"/>
      <c r="N580" s="75"/>
      <c r="O580" s="400" t="s">
        <v>495</v>
      </c>
    </row>
    <row r="581" spans="1:15" ht="11.1" customHeight="1" outlineLevel="1" x14ac:dyDescent="0.2">
      <c r="A581" s="391" t="s">
        <v>1</v>
      </c>
      <c r="B581" s="76" t="s">
        <v>9</v>
      </c>
      <c r="C581" s="149" t="s">
        <v>86</v>
      </c>
      <c r="D581" s="392" t="s">
        <v>337</v>
      </c>
      <c r="E581" s="392" t="s">
        <v>121</v>
      </c>
      <c r="F581" s="78" t="s">
        <v>28</v>
      </c>
      <c r="G581" s="138">
        <f>SUM(G582:G587)</f>
        <v>29083732</v>
      </c>
      <c r="H581" s="243">
        <f>SUM(H582:H587)</f>
        <v>6333109</v>
      </c>
      <c r="I581" s="39">
        <f t="shared" ref="I581:I587" si="262">IF(G581&gt;0,H581/G581*100,"-")</f>
        <v>21.775434459374058</v>
      </c>
      <c r="J581" s="138">
        <f>SUM(J582:J587)</f>
        <v>24363349</v>
      </c>
      <c r="K581" s="138">
        <f>SUM(K582:K587)</f>
        <v>143374</v>
      </c>
      <c r="L581" s="138">
        <f>SUM(L582:L587)</f>
        <v>24506723</v>
      </c>
      <c r="M581" s="38">
        <f>SUM(M582:M587)</f>
        <v>1756097.8800000001</v>
      </c>
      <c r="N581" s="39">
        <f t="shared" ref="N581:N587" si="263">IF(L581&gt;0,M581/L581*100,"-")</f>
        <v>7.1657801004238717</v>
      </c>
      <c r="O581" s="388"/>
    </row>
    <row r="582" spans="1:15" ht="11.1" customHeight="1" outlineLevel="1" x14ac:dyDescent="0.2">
      <c r="A582" s="391"/>
      <c r="B582" s="76" t="s">
        <v>10</v>
      </c>
      <c r="C582" s="149" t="s">
        <v>87</v>
      </c>
      <c r="D582" s="392"/>
      <c r="E582" s="392"/>
      <c r="F582" s="79" t="s">
        <v>15</v>
      </c>
      <c r="G582" s="139">
        <v>1597225</v>
      </c>
      <c r="H582" s="139">
        <f>ROUNDUP(716227+M582,0)</f>
        <v>716227</v>
      </c>
      <c r="I582" s="81">
        <f t="shared" si="262"/>
        <v>44.841960274851694</v>
      </c>
      <c r="J582" s="139">
        <v>880998</v>
      </c>
      <c r="K582" s="139">
        <f t="shared" ref="K582:K587" si="264">L582-J582</f>
        <v>0</v>
      </c>
      <c r="L582" s="139">
        <v>880998</v>
      </c>
      <c r="M582" s="80">
        <v>0</v>
      </c>
      <c r="N582" s="81">
        <f t="shared" si="263"/>
        <v>0</v>
      </c>
      <c r="O582" s="388"/>
    </row>
    <row r="583" spans="1:15" ht="11.1" customHeight="1" outlineLevel="1" x14ac:dyDescent="0.2">
      <c r="A583" s="391"/>
      <c r="B583" s="76"/>
      <c r="C583" s="82" t="s">
        <v>88</v>
      </c>
      <c r="D583" s="392"/>
      <c r="E583" s="392"/>
      <c r="F583" s="79" t="s">
        <v>7</v>
      </c>
      <c r="G583" s="139">
        <v>19117952</v>
      </c>
      <c r="H583" s="139">
        <f>ROUNDUP(2372964+M583,0)</f>
        <v>3602204</v>
      </c>
      <c r="I583" s="81">
        <f t="shared" si="262"/>
        <v>18.841997301803037</v>
      </c>
      <c r="J583" s="139">
        <v>16654783</v>
      </c>
      <c r="K583" s="139">
        <f t="shared" si="264"/>
        <v>90205</v>
      </c>
      <c r="L583" s="139">
        <v>16744988</v>
      </c>
      <c r="M583" s="80">
        <v>1229239.3700000001</v>
      </c>
      <c r="N583" s="81">
        <f t="shared" si="263"/>
        <v>7.3409390917449455</v>
      </c>
      <c r="O583" s="388"/>
    </row>
    <row r="584" spans="1:15" ht="11.1" customHeight="1" outlineLevel="1" x14ac:dyDescent="0.2">
      <c r="A584" s="118"/>
      <c r="B584" s="76" t="s">
        <v>11</v>
      </c>
      <c r="C584" s="82" t="s">
        <v>115</v>
      </c>
      <c r="D584" s="109"/>
      <c r="E584" s="109"/>
      <c r="F584" s="79" t="s">
        <v>8</v>
      </c>
      <c r="G584" s="139">
        <v>6430730</v>
      </c>
      <c r="H584" s="139">
        <f>ROUNDUP(1345487+M584,0)</f>
        <v>1783466</v>
      </c>
      <c r="I584" s="81">
        <f t="shared" si="262"/>
        <v>27.733492154078931</v>
      </c>
      <c r="J584" s="139">
        <v>5053103</v>
      </c>
      <c r="K584" s="139">
        <f t="shared" si="264"/>
        <v>32140</v>
      </c>
      <c r="L584" s="139">
        <v>5085243</v>
      </c>
      <c r="M584" s="80">
        <v>437978.02</v>
      </c>
      <c r="N584" s="81">
        <f t="shared" si="263"/>
        <v>8.6127254882411712</v>
      </c>
      <c r="O584" s="388"/>
    </row>
    <row r="585" spans="1:15" ht="11.1" customHeight="1" outlineLevel="1" x14ac:dyDescent="0.2">
      <c r="A585" s="118"/>
      <c r="B585" s="76" t="s">
        <v>12</v>
      </c>
      <c r="C585" s="82" t="s">
        <v>210</v>
      </c>
      <c r="D585" s="109"/>
      <c r="E585" s="109"/>
      <c r="F585" s="79" t="s">
        <v>22</v>
      </c>
      <c r="G585" s="139">
        <v>0</v>
      </c>
      <c r="H585" s="139">
        <f>ROUNDUP(0+M585,0)</f>
        <v>0</v>
      </c>
      <c r="I585" s="81" t="str">
        <f t="shared" si="262"/>
        <v>-</v>
      </c>
      <c r="J585" s="139">
        <v>0</v>
      </c>
      <c r="K585" s="139">
        <f t="shared" si="264"/>
        <v>0</v>
      </c>
      <c r="L585" s="139">
        <v>0</v>
      </c>
      <c r="M585" s="80">
        <v>0</v>
      </c>
      <c r="N585" s="81" t="str">
        <f t="shared" si="263"/>
        <v>-</v>
      </c>
      <c r="O585" s="388"/>
    </row>
    <row r="586" spans="1:15" ht="11.1" customHeight="1" outlineLevel="1" x14ac:dyDescent="0.2">
      <c r="A586" s="118"/>
      <c r="B586" s="76"/>
      <c r="C586" s="82" t="s">
        <v>211</v>
      </c>
      <c r="D586" s="109"/>
      <c r="E586" s="109"/>
      <c r="F586" s="79" t="s">
        <v>45</v>
      </c>
      <c r="G586" s="139">
        <v>1937825</v>
      </c>
      <c r="H586" s="139">
        <f>ROUNDUP(0+M586,0)</f>
        <v>88881</v>
      </c>
      <c r="I586" s="81">
        <f>IF(G586&gt;0,H586/G586*100,"-")</f>
        <v>4.5866370802317027</v>
      </c>
      <c r="J586" s="139">
        <v>1774465</v>
      </c>
      <c r="K586" s="139">
        <f t="shared" si="264"/>
        <v>21029</v>
      </c>
      <c r="L586" s="139">
        <v>1795494</v>
      </c>
      <c r="M586" s="80">
        <v>88880.49</v>
      </c>
      <c r="N586" s="81">
        <f t="shared" si="263"/>
        <v>4.9501969931394925</v>
      </c>
      <c r="O586" s="388"/>
    </row>
    <row r="587" spans="1:15" ht="11.1" customHeight="1" outlineLevel="1" x14ac:dyDescent="0.2">
      <c r="A587" s="118"/>
      <c r="B587" s="76" t="s">
        <v>23</v>
      </c>
      <c r="C587" s="82" t="s">
        <v>116</v>
      </c>
      <c r="D587" s="109"/>
      <c r="E587" s="109"/>
      <c r="F587" s="79" t="s">
        <v>365</v>
      </c>
      <c r="G587" s="140">
        <v>0</v>
      </c>
      <c r="H587" s="140">
        <f>ROUNDUP(142331+M587,0)</f>
        <v>142331</v>
      </c>
      <c r="I587" s="81" t="str">
        <f t="shared" si="262"/>
        <v>-</v>
      </c>
      <c r="J587" s="139">
        <v>0</v>
      </c>
      <c r="K587" s="139">
        <f t="shared" si="264"/>
        <v>0</v>
      </c>
      <c r="L587" s="139">
        <v>0</v>
      </c>
      <c r="M587" s="80">
        <v>0</v>
      </c>
      <c r="N587" s="81" t="str">
        <f t="shared" si="263"/>
        <v>-</v>
      </c>
      <c r="O587" s="388"/>
    </row>
    <row r="588" spans="1:15" ht="11.1" customHeight="1" outlineLevel="1" x14ac:dyDescent="0.2">
      <c r="A588" s="118"/>
      <c r="B588" s="76"/>
      <c r="C588" s="82" t="s">
        <v>117</v>
      </c>
      <c r="D588" s="109"/>
      <c r="E588" s="109"/>
      <c r="F588" s="106"/>
      <c r="G588" s="140"/>
      <c r="H588" s="140"/>
      <c r="I588" s="150"/>
      <c r="J588" s="140"/>
      <c r="K588" s="140"/>
      <c r="L588" s="139"/>
      <c r="M588" s="89"/>
      <c r="N588" s="81"/>
      <c r="O588" s="388"/>
    </row>
    <row r="589" spans="1:15" ht="11.1" customHeight="1" outlineLevel="1" x14ac:dyDescent="0.2">
      <c r="A589" s="118"/>
      <c r="B589" s="76"/>
      <c r="C589" s="82" t="s">
        <v>118</v>
      </c>
      <c r="D589" s="109"/>
      <c r="E589" s="109"/>
      <c r="F589" s="106"/>
      <c r="G589" s="140"/>
      <c r="H589" s="140"/>
      <c r="I589" s="150"/>
      <c r="J589" s="140"/>
      <c r="K589" s="140"/>
      <c r="L589" s="139"/>
      <c r="M589" s="89"/>
      <c r="N589" s="81"/>
      <c r="O589" s="388"/>
    </row>
    <row r="590" spans="1:15" ht="11.1" customHeight="1" outlineLevel="1" x14ac:dyDescent="0.2">
      <c r="A590" s="118"/>
      <c r="B590" s="76"/>
      <c r="C590" s="82" t="s">
        <v>119</v>
      </c>
      <c r="D590" s="109"/>
      <c r="E590" s="109"/>
      <c r="F590" s="106"/>
      <c r="G590" s="140"/>
      <c r="H590" s="140"/>
      <c r="I590" s="150"/>
      <c r="J590" s="140"/>
      <c r="K590" s="140"/>
      <c r="L590" s="139"/>
      <c r="M590" s="89"/>
      <c r="N590" s="81"/>
      <c r="O590" s="388"/>
    </row>
    <row r="591" spans="1:15" ht="11.1" customHeight="1" outlineLevel="1" x14ac:dyDescent="0.2">
      <c r="A591" s="118"/>
      <c r="B591" s="76"/>
      <c r="C591" s="82" t="s">
        <v>120</v>
      </c>
      <c r="D591" s="90"/>
      <c r="E591" s="90"/>
      <c r="F591" s="106"/>
      <c r="G591" s="140"/>
      <c r="H591" s="140"/>
      <c r="I591" s="150"/>
      <c r="J591" s="140"/>
      <c r="K591" s="140"/>
      <c r="L591" s="139"/>
      <c r="M591" s="89"/>
      <c r="N591" s="81"/>
      <c r="O591" s="388"/>
    </row>
    <row r="592" spans="1:15" ht="3.75" customHeight="1" outlineLevel="1" x14ac:dyDescent="0.2">
      <c r="A592" s="119"/>
      <c r="B592" s="85"/>
      <c r="C592" s="86"/>
      <c r="D592" s="84"/>
      <c r="E592" s="84"/>
      <c r="F592" s="85"/>
      <c r="G592" s="141"/>
      <c r="H592" s="141"/>
      <c r="I592" s="85"/>
      <c r="J592" s="141"/>
      <c r="K592" s="141"/>
      <c r="L592" s="142"/>
      <c r="M592" s="87"/>
      <c r="N592" s="88"/>
      <c r="O592" s="404"/>
    </row>
    <row r="593" spans="1:15" ht="3.95" customHeight="1" outlineLevel="1" x14ac:dyDescent="0.2">
      <c r="A593" s="153"/>
      <c r="B593" s="72"/>
      <c r="C593" s="73"/>
      <c r="D593" s="71"/>
      <c r="E593" s="71"/>
      <c r="F593" s="72"/>
      <c r="G593" s="136"/>
      <c r="H593" s="136"/>
      <c r="I593" s="75"/>
      <c r="J593" s="136"/>
      <c r="K593" s="136"/>
      <c r="L593" s="137"/>
      <c r="M593" s="74"/>
      <c r="N593" s="75"/>
      <c r="O593" s="400" t="s">
        <v>496</v>
      </c>
    </row>
    <row r="594" spans="1:15" ht="11.1" customHeight="1" outlineLevel="1" x14ac:dyDescent="0.2">
      <c r="A594" s="391" t="s">
        <v>50</v>
      </c>
      <c r="B594" s="76" t="s">
        <v>9</v>
      </c>
      <c r="C594" s="149" t="s">
        <v>86</v>
      </c>
      <c r="D594" s="392" t="s">
        <v>305</v>
      </c>
      <c r="E594" s="392" t="s">
        <v>126</v>
      </c>
      <c r="F594" s="78" t="s">
        <v>28</v>
      </c>
      <c r="G594" s="138">
        <f>SUM(G595:G600)</f>
        <v>1256042</v>
      </c>
      <c r="H594" s="138">
        <f>SUM(H595:H600)</f>
        <v>991798</v>
      </c>
      <c r="I594" s="39">
        <f t="shared" ref="I594:I600" si="265">IF(G594&gt;0,H594/G594*100,"-")</f>
        <v>78.962168462519571</v>
      </c>
      <c r="J594" s="138">
        <f>SUM(J595:J600)</f>
        <v>719222</v>
      </c>
      <c r="K594" s="138">
        <f>SUM(K595:K600)</f>
        <v>0</v>
      </c>
      <c r="L594" s="138">
        <f>SUM(L595:L600)</f>
        <v>719222</v>
      </c>
      <c r="M594" s="38">
        <f>SUM(M595:M600)</f>
        <v>454977</v>
      </c>
      <c r="N594" s="39">
        <f t="shared" ref="N594:N600" si="266">IF(L594&gt;0,M594/L594*100,"-")</f>
        <v>63.259605518184927</v>
      </c>
      <c r="O594" s="402"/>
    </row>
    <row r="595" spans="1:15" ht="11.1" customHeight="1" outlineLevel="1" x14ac:dyDescent="0.2">
      <c r="A595" s="391"/>
      <c r="B595" s="76" t="s">
        <v>10</v>
      </c>
      <c r="C595" s="149" t="s">
        <v>87</v>
      </c>
      <c r="D595" s="392"/>
      <c r="E595" s="392"/>
      <c r="F595" s="79" t="s">
        <v>15</v>
      </c>
      <c r="G595" s="139">
        <v>245679</v>
      </c>
      <c r="H595" s="139">
        <f>ROUNDUP(80523+M595,0)</f>
        <v>148770</v>
      </c>
      <c r="I595" s="81">
        <f t="shared" si="265"/>
        <v>60.554626158523931</v>
      </c>
      <c r="J595" s="139">
        <v>165156</v>
      </c>
      <c r="K595" s="139">
        <f t="shared" ref="K595:K600" si="267">L595-J595</f>
        <v>0</v>
      </c>
      <c r="L595" s="139">
        <v>165156</v>
      </c>
      <c r="M595" s="80">
        <v>68246.55</v>
      </c>
      <c r="N595" s="81">
        <f t="shared" si="266"/>
        <v>41.322476930901701</v>
      </c>
      <c r="O595" s="402"/>
    </row>
    <row r="596" spans="1:15" ht="11.1" customHeight="1" outlineLevel="1" x14ac:dyDescent="0.2">
      <c r="A596" s="391"/>
      <c r="B596" s="76"/>
      <c r="C596" s="82" t="s">
        <v>88</v>
      </c>
      <c r="D596" s="392"/>
      <c r="E596" s="392"/>
      <c r="F596" s="79" t="s">
        <v>7</v>
      </c>
      <c r="G596" s="139">
        <v>1010363</v>
      </c>
      <c r="H596" s="139">
        <f>ROUNDUP(456297+M596,0)</f>
        <v>843028</v>
      </c>
      <c r="I596" s="81">
        <f t="shared" si="265"/>
        <v>83.438130652052777</v>
      </c>
      <c r="J596" s="139">
        <v>554066</v>
      </c>
      <c r="K596" s="139">
        <f t="shared" si="267"/>
        <v>0</v>
      </c>
      <c r="L596" s="139">
        <v>554066</v>
      </c>
      <c r="M596" s="80">
        <v>386730.45</v>
      </c>
      <c r="N596" s="81">
        <f t="shared" si="266"/>
        <v>69.7986250735472</v>
      </c>
      <c r="O596" s="402"/>
    </row>
    <row r="597" spans="1:15" ht="11.1" customHeight="1" outlineLevel="1" x14ac:dyDescent="0.2">
      <c r="A597" s="118"/>
      <c r="B597" s="76" t="s">
        <v>11</v>
      </c>
      <c r="C597" s="82" t="s">
        <v>115</v>
      </c>
      <c r="D597" s="109"/>
      <c r="E597" s="109"/>
      <c r="F597" s="79" t="s">
        <v>8</v>
      </c>
      <c r="G597" s="139">
        <v>0</v>
      </c>
      <c r="H597" s="139">
        <f t="shared" ref="H597:H600" si="268">ROUNDUP(0+M597,0)</f>
        <v>0</v>
      </c>
      <c r="I597" s="81" t="str">
        <f t="shared" si="265"/>
        <v>-</v>
      </c>
      <c r="J597" s="139">
        <v>0</v>
      </c>
      <c r="K597" s="139">
        <f t="shared" si="267"/>
        <v>0</v>
      </c>
      <c r="L597" s="139">
        <v>0</v>
      </c>
      <c r="M597" s="80">
        <v>0</v>
      </c>
      <c r="N597" s="81" t="str">
        <f t="shared" si="266"/>
        <v>-</v>
      </c>
      <c r="O597" s="402"/>
    </row>
    <row r="598" spans="1:15" ht="11.1" customHeight="1" outlineLevel="1" x14ac:dyDescent="0.2">
      <c r="A598" s="118"/>
      <c r="B598" s="76" t="s">
        <v>12</v>
      </c>
      <c r="C598" s="82" t="s">
        <v>212</v>
      </c>
      <c r="D598" s="109"/>
      <c r="E598" s="109"/>
      <c r="F598" s="79" t="s">
        <v>22</v>
      </c>
      <c r="G598" s="139">
        <v>0</v>
      </c>
      <c r="H598" s="139">
        <f t="shared" si="268"/>
        <v>0</v>
      </c>
      <c r="I598" s="81" t="str">
        <f t="shared" si="265"/>
        <v>-</v>
      </c>
      <c r="J598" s="139">
        <v>0</v>
      </c>
      <c r="K598" s="139">
        <f t="shared" si="267"/>
        <v>0</v>
      </c>
      <c r="L598" s="139">
        <v>0</v>
      </c>
      <c r="M598" s="80">
        <v>0</v>
      </c>
      <c r="N598" s="81" t="str">
        <f t="shared" si="266"/>
        <v>-</v>
      </c>
      <c r="O598" s="402"/>
    </row>
    <row r="599" spans="1:15" ht="11.1" customHeight="1" outlineLevel="1" x14ac:dyDescent="0.2">
      <c r="A599" s="118"/>
      <c r="B599" s="76"/>
      <c r="C599" s="82" t="s">
        <v>213</v>
      </c>
      <c r="D599" s="109"/>
      <c r="E599" s="109"/>
      <c r="F599" s="79" t="s">
        <v>45</v>
      </c>
      <c r="G599" s="139">
        <v>0</v>
      </c>
      <c r="H599" s="139">
        <f t="shared" si="268"/>
        <v>0</v>
      </c>
      <c r="I599" s="81" t="str">
        <f t="shared" si="265"/>
        <v>-</v>
      </c>
      <c r="J599" s="139">
        <v>0</v>
      </c>
      <c r="K599" s="139">
        <f t="shared" si="267"/>
        <v>0</v>
      </c>
      <c r="L599" s="139">
        <v>0</v>
      </c>
      <c r="M599" s="80">
        <v>0</v>
      </c>
      <c r="N599" s="81" t="str">
        <f t="shared" si="266"/>
        <v>-</v>
      </c>
      <c r="O599" s="402"/>
    </row>
    <row r="600" spans="1:15" ht="11.1" customHeight="1" outlineLevel="1" x14ac:dyDescent="0.2">
      <c r="A600" s="118"/>
      <c r="B600" s="76" t="s">
        <v>23</v>
      </c>
      <c r="C600" s="82" t="s">
        <v>122</v>
      </c>
      <c r="D600" s="109"/>
      <c r="E600" s="109"/>
      <c r="F600" s="79" t="s">
        <v>365</v>
      </c>
      <c r="G600" s="139">
        <v>0</v>
      </c>
      <c r="H600" s="139">
        <f t="shared" si="268"/>
        <v>0</v>
      </c>
      <c r="I600" s="81" t="str">
        <f t="shared" si="265"/>
        <v>-</v>
      </c>
      <c r="J600" s="139">
        <v>0</v>
      </c>
      <c r="K600" s="139">
        <f t="shared" si="267"/>
        <v>0</v>
      </c>
      <c r="L600" s="139">
        <v>0</v>
      </c>
      <c r="M600" s="80">
        <v>0</v>
      </c>
      <c r="N600" s="81" t="str">
        <f t="shared" si="266"/>
        <v>-</v>
      </c>
      <c r="O600" s="402"/>
    </row>
    <row r="601" spans="1:15" ht="11.1" customHeight="1" outlineLevel="1" x14ac:dyDescent="0.2">
      <c r="A601" s="118"/>
      <c r="B601" s="76"/>
      <c r="C601" s="82" t="s">
        <v>123</v>
      </c>
      <c r="D601" s="109"/>
      <c r="E601" s="109"/>
      <c r="F601" s="106"/>
      <c r="G601" s="140"/>
      <c r="H601" s="140"/>
      <c r="I601" s="150"/>
      <c r="J601" s="140"/>
      <c r="K601" s="140"/>
      <c r="L601" s="139"/>
      <c r="M601" s="89"/>
      <c r="N601" s="81"/>
      <c r="O601" s="402"/>
    </row>
    <row r="602" spans="1:15" ht="11.1" customHeight="1" outlineLevel="1" x14ac:dyDescent="0.2">
      <c r="A602" s="118"/>
      <c r="B602" s="76"/>
      <c r="C602" s="82" t="s">
        <v>124</v>
      </c>
      <c r="D602" s="109"/>
      <c r="E602" s="109"/>
      <c r="F602" s="106"/>
      <c r="G602" s="140"/>
      <c r="H602" s="140"/>
      <c r="I602" s="150"/>
      <c r="J602" s="140"/>
      <c r="K602" s="140"/>
      <c r="L602" s="139"/>
      <c r="M602" s="89"/>
      <c r="N602" s="81"/>
      <c r="O602" s="402"/>
    </row>
    <row r="603" spans="1:15" ht="11.1" customHeight="1" outlineLevel="1" x14ac:dyDescent="0.2">
      <c r="A603" s="118"/>
      <c r="B603" s="76"/>
      <c r="C603" s="82" t="s">
        <v>125</v>
      </c>
      <c r="D603" s="109"/>
      <c r="E603" s="109"/>
      <c r="F603" s="106"/>
      <c r="G603" s="140"/>
      <c r="H603" s="140"/>
      <c r="I603" s="150"/>
      <c r="J603" s="140"/>
      <c r="K603" s="140"/>
      <c r="L603" s="139"/>
      <c r="M603" s="89"/>
      <c r="N603" s="81"/>
      <c r="O603" s="402"/>
    </row>
    <row r="604" spans="1:15" ht="60" customHeight="1" outlineLevel="1" x14ac:dyDescent="0.2">
      <c r="A604" s="118"/>
      <c r="B604" s="76"/>
      <c r="C604" s="82"/>
      <c r="D604" s="109"/>
      <c r="E604" s="109"/>
      <c r="F604" s="106"/>
      <c r="G604" s="140"/>
      <c r="H604" s="140"/>
      <c r="I604" s="150"/>
      <c r="J604" s="140"/>
      <c r="K604" s="140"/>
      <c r="L604" s="139"/>
      <c r="M604" s="89"/>
      <c r="N604" s="81"/>
      <c r="O604" s="402"/>
    </row>
    <row r="605" spans="1:15" ht="3.95" customHeight="1" outlineLevel="1" x14ac:dyDescent="0.2">
      <c r="A605" s="119"/>
      <c r="B605" s="85"/>
      <c r="C605" s="86"/>
      <c r="D605" s="84"/>
      <c r="E605" s="84"/>
      <c r="F605" s="85"/>
      <c r="G605" s="141"/>
      <c r="H605" s="141"/>
      <c r="I605" s="85"/>
      <c r="J605" s="141"/>
      <c r="K605" s="141"/>
      <c r="L605" s="142"/>
      <c r="M605" s="87"/>
      <c r="N605" s="88"/>
      <c r="O605" s="403"/>
    </row>
    <row r="606" spans="1:15" ht="3.95" customHeight="1" x14ac:dyDescent="0.2">
      <c r="A606" s="59"/>
      <c r="B606" s="60"/>
      <c r="C606" s="61"/>
      <c r="D606" s="62"/>
      <c r="E606" s="62"/>
      <c r="F606" s="59"/>
      <c r="G606" s="132"/>
      <c r="H606" s="132"/>
      <c r="I606" s="59"/>
      <c r="J606" s="132"/>
      <c r="K606" s="132"/>
      <c r="L606" s="132"/>
      <c r="M606" s="63"/>
      <c r="N606" s="64"/>
      <c r="O606" s="323"/>
    </row>
    <row r="607" spans="1:15" ht="11.45" customHeight="1" x14ac:dyDescent="0.2">
      <c r="A607" s="28" t="s">
        <v>50</v>
      </c>
      <c r="B607" s="411" t="s">
        <v>127</v>
      </c>
      <c r="C607" s="394"/>
      <c r="D607" s="29"/>
      <c r="E607" s="29"/>
      <c r="F607" s="30"/>
      <c r="G607" s="133">
        <f>SUM(G608:G613)</f>
        <v>23154162</v>
      </c>
      <c r="H607" s="133">
        <f>SUM(H608:H613)</f>
        <v>23150472</v>
      </c>
      <c r="I607" s="32">
        <f>IF(G607&gt;0,H607/G607*100,"-")</f>
        <v>99.984063340318684</v>
      </c>
      <c r="J607" s="133">
        <f>SUM(J608:J613)</f>
        <v>0</v>
      </c>
      <c r="K607" s="133">
        <f>SUM(K608:K613)</f>
        <v>6690</v>
      </c>
      <c r="L607" s="133">
        <f>SUM(L608:L613)</f>
        <v>6690</v>
      </c>
      <c r="M607" s="31">
        <f>SUM(M608:M613)</f>
        <v>3000</v>
      </c>
      <c r="N607" s="32">
        <f t="shared" ref="N607:N613" si="269">IF(L607&gt;0,M607/L607*100,"-")</f>
        <v>44.843049327354265</v>
      </c>
      <c r="O607" s="324"/>
    </row>
    <row r="608" spans="1:15" ht="11.45" customHeight="1" x14ac:dyDescent="0.2">
      <c r="A608" s="30"/>
      <c r="B608" s="33"/>
      <c r="C608" s="34"/>
      <c r="D608" s="29"/>
      <c r="E608" s="29"/>
      <c r="F608" s="35" t="s">
        <v>15</v>
      </c>
      <c r="G608" s="134">
        <f>G617</f>
        <v>746435</v>
      </c>
      <c r="H608" s="134">
        <f>H617</f>
        <v>742745</v>
      </c>
      <c r="I608" s="37">
        <f t="shared" ref="I608:I613" si="270">IF(G608&gt;0,H608/G608*100,"-")</f>
        <v>99.505650190572524</v>
      </c>
      <c r="J608" s="134">
        <f>J617</f>
        <v>0</v>
      </c>
      <c r="K608" s="134">
        <f>K617</f>
        <v>6690</v>
      </c>
      <c r="L608" s="134">
        <f>L617</f>
        <v>6690</v>
      </c>
      <c r="M608" s="36">
        <f>M617</f>
        <v>3000</v>
      </c>
      <c r="N608" s="37">
        <f t="shared" si="269"/>
        <v>44.843049327354265</v>
      </c>
      <c r="O608" s="324"/>
    </row>
    <row r="609" spans="1:15" ht="11.45" customHeight="1" x14ac:dyDescent="0.2">
      <c r="A609" s="30"/>
      <c r="B609" s="33"/>
      <c r="C609" s="34"/>
      <c r="D609" s="29"/>
      <c r="E609" s="29"/>
      <c r="F609" s="35" t="s">
        <v>7</v>
      </c>
      <c r="G609" s="134">
        <f t="shared" ref="G609:H613" si="271">G618</f>
        <v>14958731</v>
      </c>
      <c r="H609" s="134">
        <f t="shared" si="271"/>
        <v>14958731</v>
      </c>
      <c r="I609" s="37">
        <f t="shared" si="270"/>
        <v>100</v>
      </c>
      <c r="J609" s="134">
        <f t="shared" ref="J609:M609" si="272">J618</f>
        <v>0</v>
      </c>
      <c r="K609" s="134">
        <f t="shared" si="272"/>
        <v>0</v>
      </c>
      <c r="L609" s="134">
        <f t="shared" si="272"/>
        <v>0</v>
      </c>
      <c r="M609" s="36">
        <f t="shared" si="272"/>
        <v>0</v>
      </c>
      <c r="N609" s="37" t="str">
        <f t="shared" si="269"/>
        <v>-</v>
      </c>
      <c r="O609" s="324"/>
    </row>
    <row r="610" spans="1:15" ht="11.45" customHeight="1" x14ac:dyDescent="0.2">
      <c r="A610" s="30"/>
      <c r="B610" s="33"/>
      <c r="C610" s="34"/>
      <c r="D610" s="29"/>
      <c r="E610" s="29"/>
      <c r="F610" s="35" t="s">
        <v>8</v>
      </c>
      <c r="G610" s="134">
        <f t="shared" si="271"/>
        <v>3515874</v>
      </c>
      <c r="H610" s="134">
        <f t="shared" si="271"/>
        <v>3515874</v>
      </c>
      <c r="I610" s="37">
        <f t="shared" si="270"/>
        <v>100</v>
      </c>
      <c r="J610" s="134">
        <f t="shared" ref="J610:M610" si="273">J619</f>
        <v>0</v>
      </c>
      <c r="K610" s="134">
        <f t="shared" si="273"/>
        <v>0</v>
      </c>
      <c r="L610" s="134">
        <f t="shared" si="273"/>
        <v>0</v>
      </c>
      <c r="M610" s="36">
        <f t="shared" si="273"/>
        <v>0</v>
      </c>
      <c r="N610" s="37" t="str">
        <f t="shared" si="269"/>
        <v>-</v>
      </c>
      <c r="O610" s="324"/>
    </row>
    <row r="611" spans="1:15" ht="11.45" customHeight="1" x14ac:dyDescent="0.2">
      <c r="A611" s="30"/>
      <c r="B611" s="33"/>
      <c r="C611" s="34"/>
      <c r="D611" s="29"/>
      <c r="E611" s="29"/>
      <c r="F611" s="35" t="s">
        <v>22</v>
      </c>
      <c r="G611" s="134">
        <f t="shared" si="271"/>
        <v>2639777</v>
      </c>
      <c r="H611" s="134">
        <f t="shared" si="271"/>
        <v>2639777</v>
      </c>
      <c r="I611" s="37">
        <f t="shared" si="270"/>
        <v>100</v>
      </c>
      <c r="J611" s="134">
        <f t="shared" ref="J611:M611" si="274">J620</f>
        <v>0</v>
      </c>
      <c r="K611" s="134">
        <f t="shared" si="274"/>
        <v>0</v>
      </c>
      <c r="L611" s="134">
        <f t="shared" si="274"/>
        <v>0</v>
      </c>
      <c r="M611" s="36">
        <f t="shared" si="274"/>
        <v>0</v>
      </c>
      <c r="N611" s="37" t="str">
        <f t="shared" si="269"/>
        <v>-</v>
      </c>
      <c r="O611" s="324"/>
    </row>
    <row r="612" spans="1:15" ht="11.45" customHeight="1" x14ac:dyDescent="0.2">
      <c r="A612" s="30"/>
      <c r="B612" s="33"/>
      <c r="C612" s="34"/>
      <c r="D612" s="29"/>
      <c r="E612" s="29"/>
      <c r="F612" s="35" t="s">
        <v>45</v>
      </c>
      <c r="G612" s="134">
        <f t="shared" si="271"/>
        <v>210078</v>
      </c>
      <c r="H612" s="134">
        <f t="shared" si="271"/>
        <v>210078</v>
      </c>
      <c r="I612" s="37">
        <f t="shared" si="270"/>
        <v>100</v>
      </c>
      <c r="J612" s="134">
        <f t="shared" ref="J612:M612" si="275">J621</f>
        <v>0</v>
      </c>
      <c r="K612" s="134">
        <f t="shared" si="275"/>
        <v>0</v>
      </c>
      <c r="L612" s="134">
        <f t="shared" si="275"/>
        <v>0</v>
      </c>
      <c r="M612" s="36">
        <f t="shared" si="275"/>
        <v>0</v>
      </c>
      <c r="N612" s="37" t="str">
        <f t="shared" si="269"/>
        <v>-</v>
      </c>
      <c r="O612" s="324"/>
    </row>
    <row r="613" spans="1:15" ht="11.45" customHeight="1" x14ac:dyDescent="0.2">
      <c r="A613" s="30"/>
      <c r="B613" s="33"/>
      <c r="C613" s="34"/>
      <c r="D613" s="29"/>
      <c r="E613" s="29"/>
      <c r="F613" s="35" t="s">
        <v>365</v>
      </c>
      <c r="G613" s="134">
        <f t="shared" si="271"/>
        <v>1083267</v>
      </c>
      <c r="H613" s="134">
        <f t="shared" si="271"/>
        <v>1083267</v>
      </c>
      <c r="I613" s="37">
        <f t="shared" si="270"/>
        <v>100</v>
      </c>
      <c r="J613" s="134">
        <f t="shared" ref="J613:M613" si="276">J622</f>
        <v>0</v>
      </c>
      <c r="K613" s="134">
        <f t="shared" si="276"/>
        <v>0</v>
      </c>
      <c r="L613" s="134">
        <f t="shared" si="276"/>
        <v>0</v>
      </c>
      <c r="M613" s="36">
        <f t="shared" si="276"/>
        <v>0</v>
      </c>
      <c r="N613" s="37" t="str">
        <f t="shared" si="269"/>
        <v>-</v>
      </c>
      <c r="O613" s="324"/>
    </row>
    <row r="614" spans="1:15" ht="3.95" customHeight="1" x14ac:dyDescent="0.2">
      <c r="A614" s="65"/>
      <c r="B614" s="66"/>
      <c r="C614" s="67"/>
      <c r="D614" s="68"/>
      <c r="E614" s="68"/>
      <c r="F614" s="65"/>
      <c r="G614" s="135"/>
      <c r="H614" s="135"/>
      <c r="I614" s="70"/>
      <c r="J614" s="135"/>
      <c r="K614" s="135"/>
      <c r="L614" s="135"/>
      <c r="M614" s="69"/>
      <c r="N614" s="70"/>
      <c r="O614" s="325"/>
    </row>
    <row r="615" spans="1:15" s="95" customFormat="1" ht="3.95" customHeight="1" outlineLevel="1" x14ac:dyDescent="0.2">
      <c r="A615" s="153"/>
      <c r="B615" s="72"/>
      <c r="C615" s="73"/>
      <c r="D615" s="71"/>
      <c r="E615" s="71"/>
      <c r="F615" s="72"/>
      <c r="G615" s="136"/>
      <c r="H615" s="136"/>
      <c r="I615" s="75"/>
      <c r="J615" s="136"/>
      <c r="K615" s="136"/>
      <c r="L615" s="137"/>
      <c r="M615" s="74"/>
      <c r="N615" s="75"/>
      <c r="O615" s="400" t="s">
        <v>499</v>
      </c>
    </row>
    <row r="616" spans="1:15" s="95" customFormat="1" ht="11.1" customHeight="1" outlineLevel="1" x14ac:dyDescent="0.2">
      <c r="A616" s="391" t="s">
        <v>59</v>
      </c>
      <c r="B616" s="76" t="s">
        <v>9</v>
      </c>
      <c r="C616" s="77" t="s">
        <v>49</v>
      </c>
      <c r="D616" s="392" t="s">
        <v>147</v>
      </c>
      <c r="E616" s="392"/>
      <c r="F616" s="78" t="s">
        <v>28</v>
      </c>
      <c r="G616" s="138">
        <f>SUM(G617:G622)</f>
        <v>23154162</v>
      </c>
      <c r="H616" s="138">
        <f>SUM(H617:H622)</f>
        <v>23150472</v>
      </c>
      <c r="I616" s="39">
        <f t="shared" ref="I616:I622" si="277">IF(G616&gt;0,H616/G616*100,"-")</f>
        <v>99.984063340318684</v>
      </c>
      <c r="J616" s="243">
        <f>SUM(J617:J622)</f>
        <v>0</v>
      </c>
      <c r="K616" s="138">
        <f>SUM(K617:K622)</f>
        <v>6690</v>
      </c>
      <c r="L616" s="138">
        <f>SUM(L617:L622)</f>
        <v>6690</v>
      </c>
      <c r="M616" s="38">
        <f>SUM(M617:M622)</f>
        <v>3000</v>
      </c>
      <c r="N616" s="39">
        <f t="shared" ref="N616:N622" si="278">IF(L616&gt;0,M616/L616*100,"-")</f>
        <v>44.843049327354265</v>
      </c>
      <c r="O616" s="402"/>
    </row>
    <row r="617" spans="1:15" s="95" customFormat="1" ht="11.1" customHeight="1" outlineLevel="1" x14ac:dyDescent="0.2">
      <c r="A617" s="391"/>
      <c r="B617" s="76" t="s">
        <v>10</v>
      </c>
      <c r="C617" s="77" t="s">
        <v>128</v>
      </c>
      <c r="D617" s="392"/>
      <c r="E617" s="392"/>
      <c r="F617" s="79" t="s">
        <v>15</v>
      </c>
      <c r="G617" s="139">
        <f t="shared" ref="G617:H622" si="279">G625+G633</f>
        <v>746435</v>
      </c>
      <c r="H617" s="139">
        <f t="shared" si="279"/>
        <v>742745</v>
      </c>
      <c r="I617" s="81">
        <f t="shared" si="277"/>
        <v>99.505650190572524</v>
      </c>
      <c r="J617" s="139">
        <f t="shared" ref="J617:M622" si="280">J625+J633</f>
        <v>0</v>
      </c>
      <c r="K617" s="139">
        <f t="shared" si="280"/>
        <v>6690</v>
      </c>
      <c r="L617" s="139">
        <f t="shared" si="280"/>
        <v>6690</v>
      </c>
      <c r="M617" s="80">
        <f t="shared" si="280"/>
        <v>3000</v>
      </c>
      <c r="N617" s="81">
        <f t="shared" si="278"/>
        <v>44.843049327354265</v>
      </c>
      <c r="O617" s="402"/>
    </row>
    <row r="618" spans="1:15" s="95" customFormat="1" ht="11.1" customHeight="1" outlineLevel="1" x14ac:dyDescent="0.2">
      <c r="A618" s="391"/>
      <c r="B618" s="76" t="s">
        <v>11</v>
      </c>
      <c r="C618" s="82" t="s">
        <v>129</v>
      </c>
      <c r="D618" s="392"/>
      <c r="E618" s="392"/>
      <c r="F618" s="79" t="s">
        <v>7</v>
      </c>
      <c r="G618" s="139">
        <f t="shared" si="279"/>
        <v>14958731</v>
      </c>
      <c r="H618" s="139">
        <f t="shared" si="279"/>
        <v>14958731</v>
      </c>
      <c r="I618" s="81">
        <f t="shared" si="277"/>
        <v>100</v>
      </c>
      <c r="J618" s="139">
        <f t="shared" si="280"/>
        <v>0</v>
      </c>
      <c r="K618" s="139">
        <f t="shared" si="280"/>
        <v>0</v>
      </c>
      <c r="L618" s="139">
        <f t="shared" si="280"/>
        <v>0</v>
      </c>
      <c r="M618" s="80">
        <f t="shared" si="280"/>
        <v>0</v>
      </c>
      <c r="N618" s="81" t="str">
        <f t="shared" si="278"/>
        <v>-</v>
      </c>
      <c r="O618" s="402"/>
    </row>
    <row r="619" spans="1:15" s="95" customFormat="1" ht="11.1" customHeight="1" outlineLevel="1" x14ac:dyDescent="0.2">
      <c r="A619" s="118"/>
      <c r="B619" s="76"/>
      <c r="C619" s="82" t="s">
        <v>130</v>
      </c>
      <c r="D619" s="109"/>
      <c r="E619" s="392"/>
      <c r="F619" s="79" t="s">
        <v>8</v>
      </c>
      <c r="G619" s="139">
        <f t="shared" si="279"/>
        <v>3515874</v>
      </c>
      <c r="H619" s="139">
        <f t="shared" si="279"/>
        <v>3515874</v>
      </c>
      <c r="I619" s="81">
        <f t="shared" si="277"/>
        <v>100</v>
      </c>
      <c r="J619" s="139">
        <f t="shared" si="280"/>
        <v>0</v>
      </c>
      <c r="K619" s="139">
        <f t="shared" si="280"/>
        <v>0</v>
      </c>
      <c r="L619" s="139">
        <f t="shared" si="280"/>
        <v>0</v>
      </c>
      <c r="M619" s="80">
        <f t="shared" si="280"/>
        <v>0</v>
      </c>
      <c r="N619" s="81" t="str">
        <f t="shared" si="278"/>
        <v>-</v>
      </c>
      <c r="O619" s="402"/>
    </row>
    <row r="620" spans="1:15" s="95" customFormat="1" ht="11.1" customHeight="1" outlineLevel="1" x14ac:dyDescent="0.2">
      <c r="A620" s="118"/>
      <c r="B620" s="76" t="s">
        <v>12</v>
      </c>
      <c r="C620" s="82" t="s">
        <v>214</v>
      </c>
      <c r="D620" s="109"/>
      <c r="E620" s="392"/>
      <c r="F620" s="79" t="s">
        <v>22</v>
      </c>
      <c r="G620" s="139">
        <f t="shared" si="279"/>
        <v>2639777</v>
      </c>
      <c r="H620" s="139">
        <f t="shared" si="279"/>
        <v>2639777</v>
      </c>
      <c r="I620" s="81">
        <f t="shared" si="277"/>
        <v>100</v>
      </c>
      <c r="J620" s="139">
        <f t="shared" si="280"/>
        <v>0</v>
      </c>
      <c r="K620" s="139">
        <f t="shared" si="280"/>
        <v>0</v>
      </c>
      <c r="L620" s="139">
        <f t="shared" si="280"/>
        <v>0</v>
      </c>
      <c r="M620" s="80">
        <f t="shared" si="280"/>
        <v>0</v>
      </c>
      <c r="N620" s="81" t="str">
        <f t="shared" si="278"/>
        <v>-</v>
      </c>
      <c r="O620" s="402"/>
    </row>
    <row r="621" spans="1:15" s="95" customFormat="1" ht="11.1" customHeight="1" outlineLevel="1" x14ac:dyDescent="0.2">
      <c r="A621" s="118"/>
      <c r="B621" s="76" t="s">
        <v>23</v>
      </c>
      <c r="C621" s="82" t="s">
        <v>131</v>
      </c>
      <c r="D621" s="109"/>
      <c r="E621" s="90"/>
      <c r="F621" s="79" t="s">
        <v>45</v>
      </c>
      <c r="G621" s="139">
        <f t="shared" si="279"/>
        <v>210078</v>
      </c>
      <c r="H621" s="139">
        <f t="shared" si="279"/>
        <v>210078</v>
      </c>
      <c r="I621" s="81">
        <f t="shared" si="277"/>
        <v>100</v>
      </c>
      <c r="J621" s="139">
        <f t="shared" si="280"/>
        <v>0</v>
      </c>
      <c r="K621" s="139">
        <f t="shared" si="280"/>
        <v>0</v>
      </c>
      <c r="L621" s="139">
        <f t="shared" si="280"/>
        <v>0</v>
      </c>
      <c r="M621" s="80">
        <f t="shared" si="280"/>
        <v>0</v>
      </c>
      <c r="N621" s="81" t="str">
        <f t="shared" si="278"/>
        <v>-</v>
      </c>
      <c r="O621" s="402"/>
    </row>
    <row r="622" spans="1:15" s="95" customFormat="1" ht="11.1" customHeight="1" outlineLevel="1" x14ac:dyDescent="0.2">
      <c r="A622" s="118"/>
      <c r="B622" s="76"/>
      <c r="C622" s="82"/>
      <c r="D622" s="109"/>
      <c r="E622" s="90"/>
      <c r="F622" s="79" t="s">
        <v>365</v>
      </c>
      <c r="G622" s="139">
        <f t="shared" si="279"/>
        <v>1083267</v>
      </c>
      <c r="H622" s="139">
        <f t="shared" si="279"/>
        <v>1083267</v>
      </c>
      <c r="I622" s="81">
        <f t="shared" si="277"/>
        <v>100</v>
      </c>
      <c r="J622" s="139">
        <f t="shared" si="280"/>
        <v>0</v>
      </c>
      <c r="K622" s="139">
        <f t="shared" si="280"/>
        <v>0</v>
      </c>
      <c r="L622" s="139">
        <f t="shared" si="280"/>
        <v>0</v>
      </c>
      <c r="M622" s="80">
        <f t="shared" si="280"/>
        <v>0</v>
      </c>
      <c r="N622" s="81" t="str">
        <f t="shared" si="278"/>
        <v>-</v>
      </c>
      <c r="O622" s="402"/>
    </row>
    <row r="623" spans="1:15" s="95" customFormat="1" ht="10.5" customHeight="1" outlineLevel="1" x14ac:dyDescent="0.2">
      <c r="A623" s="118"/>
      <c r="B623" s="76"/>
      <c r="C623" s="82"/>
      <c r="D623" s="109"/>
      <c r="E623" s="90"/>
      <c r="F623" s="106"/>
      <c r="G623" s="140"/>
      <c r="H623" s="140"/>
      <c r="I623" s="81"/>
      <c r="J623" s="140"/>
      <c r="K623" s="140"/>
      <c r="L623" s="139"/>
      <c r="M623" s="89"/>
      <c r="N623" s="81"/>
      <c r="O623" s="402"/>
    </row>
    <row r="624" spans="1:15" s="95" customFormat="1" ht="10.5" customHeight="1" outlineLevel="1" x14ac:dyDescent="0.2">
      <c r="A624" s="118"/>
      <c r="B624" s="76"/>
      <c r="C624" s="82"/>
      <c r="D624" s="109"/>
      <c r="E624" s="287"/>
      <c r="F624" s="106"/>
      <c r="G624" s="140"/>
      <c r="H624" s="140"/>
      <c r="I624" s="81"/>
      <c r="J624" s="140"/>
      <c r="K624" s="140"/>
      <c r="L624" s="139"/>
      <c r="M624" s="89"/>
      <c r="N624" s="81"/>
      <c r="O624" s="402"/>
    </row>
    <row r="625" spans="1:15" s="116" customFormat="1" ht="11.1" customHeight="1" outlineLevel="1" x14ac:dyDescent="0.2">
      <c r="A625" s="118"/>
      <c r="B625" s="110"/>
      <c r="C625" s="111"/>
      <c r="D625" s="112"/>
      <c r="E625" s="410" t="s">
        <v>132</v>
      </c>
      <c r="F625" s="113" t="s">
        <v>15</v>
      </c>
      <c r="G625" s="143">
        <v>0</v>
      </c>
      <c r="H625" s="143">
        <f>ROUNDUP(0+M625,0)</f>
        <v>0</v>
      </c>
      <c r="I625" s="81" t="str">
        <f t="shared" ref="I625:I630" si="281">IF(G625&gt;0,H625/G625*100,"-")</f>
        <v>-</v>
      </c>
      <c r="J625" s="143">
        <v>0</v>
      </c>
      <c r="K625" s="143">
        <f t="shared" ref="K625:K630" si="282">L625-J625</f>
        <v>0</v>
      </c>
      <c r="L625" s="143">
        <v>0</v>
      </c>
      <c r="M625" s="114">
        <v>0</v>
      </c>
      <c r="N625" s="81" t="str">
        <f t="shared" ref="N625:N630" si="283">IF(L625&gt;0,M625/L625*100,"-")</f>
        <v>-</v>
      </c>
      <c r="O625" s="402"/>
    </row>
    <row r="626" spans="1:15" s="116" customFormat="1" ht="11.1" customHeight="1" outlineLevel="1" x14ac:dyDescent="0.2">
      <c r="A626" s="118"/>
      <c r="B626" s="110"/>
      <c r="C626" s="111"/>
      <c r="D626" s="112"/>
      <c r="E626" s="410"/>
      <c r="F626" s="113" t="s">
        <v>7</v>
      </c>
      <c r="G626" s="244">
        <v>14526459</v>
      </c>
      <c r="H626" s="143">
        <f>ROUNDUP(14526459+M626,0)</f>
        <v>14526459</v>
      </c>
      <c r="I626" s="81">
        <f t="shared" si="281"/>
        <v>100</v>
      </c>
      <c r="J626" s="143">
        <v>0</v>
      </c>
      <c r="K626" s="143">
        <f t="shared" si="282"/>
        <v>0</v>
      </c>
      <c r="L626" s="143">
        <v>0</v>
      </c>
      <c r="M626" s="114">
        <v>0</v>
      </c>
      <c r="N626" s="81" t="str">
        <f t="shared" si="283"/>
        <v>-</v>
      </c>
      <c r="O626" s="402"/>
    </row>
    <row r="627" spans="1:15" s="116" customFormat="1" ht="11.1" customHeight="1" outlineLevel="1" x14ac:dyDescent="0.2">
      <c r="A627" s="118"/>
      <c r="B627" s="110"/>
      <c r="C627" s="111"/>
      <c r="D627" s="112"/>
      <c r="E627" s="410"/>
      <c r="F627" s="113" t="s">
        <v>8</v>
      </c>
      <c r="G627" s="244">
        <v>3015874</v>
      </c>
      <c r="H627" s="143">
        <f>ROUNDUP(3015874+M627,0)</f>
        <v>3015874</v>
      </c>
      <c r="I627" s="81">
        <f t="shared" si="281"/>
        <v>100</v>
      </c>
      <c r="J627" s="143">
        <v>0</v>
      </c>
      <c r="K627" s="143">
        <f t="shared" si="282"/>
        <v>0</v>
      </c>
      <c r="L627" s="143">
        <v>0</v>
      </c>
      <c r="M627" s="114">
        <v>0</v>
      </c>
      <c r="N627" s="81" t="str">
        <f t="shared" si="283"/>
        <v>-</v>
      </c>
      <c r="O627" s="402"/>
    </row>
    <row r="628" spans="1:15" s="116" customFormat="1" ht="11.1" customHeight="1" outlineLevel="1" x14ac:dyDescent="0.2">
      <c r="A628" s="118"/>
      <c r="B628" s="110"/>
      <c r="C628" s="111"/>
      <c r="D628" s="112"/>
      <c r="E628" s="191"/>
      <c r="F628" s="113" t="s">
        <v>22</v>
      </c>
      <c r="G628" s="244">
        <v>2563494</v>
      </c>
      <c r="H628" s="143">
        <f>ROUNDUP(2563494+M628,0)</f>
        <v>2563494</v>
      </c>
      <c r="I628" s="81">
        <f t="shared" si="281"/>
        <v>100</v>
      </c>
      <c r="J628" s="143">
        <v>0</v>
      </c>
      <c r="K628" s="143">
        <f t="shared" si="282"/>
        <v>0</v>
      </c>
      <c r="L628" s="143">
        <v>0</v>
      </c>
      <c r="M628" s="114">
        <v>0</v>
      </c>
      <c r="N628" s="81" t="str">
        <f t="shared" si="283"/>
        <v>-</v>
      </c>
      <c r="O628" s="402"/>
    </row>
    <row r="629" spans="1:15" s="116" customFormat="1" ht="11.1" customHeight="1" outlineLevel="1" x14ac:dyDescent="0.2">
      <c r="A629" s="118"/>
      <c r="B629" s="110"/>
      <c r="C629" s="111"/>
      <c r="D629" s="112"/>
      <c r="E629" s="191"/>
      <c r="F629" s="113" t="s">
        <v>45</v>
      </c>
      <c r="G629" s="244">
        <v>210078</v>
      </c>
      <c r="H629" s="143">
        <f>ROUNDUP(210078+M629,0)</f>
        <v>210078</v>
      </c>
      <c r="I629" s="81">
        <f t="shared" si="281"/>
        <v>100</v>
      </c>
      <c r="J629" s="143">
        <v>0</v>
      </c>
      <c r="K629" s="143">
        <f t="shared" si="282"/>
        <v>0</v>
      </c>
      <c r="L629" s="143">
        <v>0</v>
      </c>
      <c r="M629" s="114">
        <v>0</v>
      </c>
      <c r="N629" s="81" t="str">
        <f t="shared" si="283"/>
        <v>-</v>
      </c>
      <c r="O629" s="402"/>
    </row>
    <row r="630" spans="1:15" s="116" customFormat="1" ht="11.1" customHeight="1" outlineLevel="1" x14ac:dyDescent="0.2">
      <c r="A630" s="118"/>
      <c r="B630" s="110"/>
      <c r="C630" s="111"/>
      <c r="D630" s="112"/>
      <c r="E630" s="191"/>
      <c r="F630" s="113" t="s">
        <v>365</v>
      </c>
      <c r="G630" s="143">
        <v>1083267</v>
      </c>
      <c r="H630" s="143">
        <f>ROUNDUP(1083267+M630,0)</f>
        <v>1083267</v>
      </c>
      <c r="I630" s="81">
        <f t="shared" si="281"/>
        <v>100</v>
      </c>
      <c r="J630" s="143">
        <v>0</v>
      </c>
      <c r="K630" s="143">
        <f t="shared" si="282"/>
        <v>0</v>
      </c>
      <c r="L630" s="143">
        <v>0</v>
      </c>
      <c r="M630" s="114">
        <v>0</v>
      </c>
      <c r="N630" s="81" t="str">
        <f t="shared" si="283"/>
        <v>-</v>
      </c>
      <c r="O630" s="402"/>
    </row>
    <row r="631" spans="1:15" s="116" customFormat="1" ht="3.95" customHeight="1" outlineLevel="1" x14ac:dyDescent="0.2">
      <c r="A631" s="118"/>
      <c r="B631" s="110"/>
      <c r="C631" s="111"/>
      <c r="D631" s="288"/>
      <c r="E631" s="191"/>
      <c r="F631" s="117"/>
      <c r="G631" s="143"/>
      <c r="H631" s="143"/>
      <c r="I631" s="81"/>
      <c r="J631" s="143"/>
      <c r="K631" s="143"/>
      <c r="L631" s="144"/>
      <c r="M631" s="115"/>
      <c r="N631" s="81"/>
      <c r="O631" s="402"/>
    </row>
    <row r="632" spans="1:15" s="116" customFormat="1" ht="3.95" customHeight="1" outlineLevel="1" x14ac:dyDescent="0.2">
      <c r="A632" s="118"/>
      <c r="B632" s="110"/>
      <c r="C632" s="111"/>
      <c r="D632" s="112"/>
      <c r="E632" s="112"/>
      <c r="F632" s="117"/>
      <c r="G632" s="143"/>
      <c r="H632" s="143"/>
      <c r="I632" s="81"/>
      <c r="J632" s="143"/>
      <c r="K632" s="143"/>
      <c r="L632" s="144"/>
      <c r="M632" s="115"/>
      <c r="N632" s="81"/>
      <c r="O632" s="402"/>
    </row>
    <row r="633" spans="1:15" s="116" customFormat="1" ht="11.1" customHeight="1" outlineLevel="1" x14ac:dyDescent="0.2">
      <c r="A633" s="118"/>
      <c r="B633" s="110"/>
      <c r="C633" s="111"/>
      <c r="D633" s="112"/>
      <c r="E633" s="410" t="s">
        <v>52</v>
      </c>
      <c r="F633" s="113" t="s">
        <v>15</v>
      </c>
      <c r="G633" s="143">
        <v>746435</v>
      </c>
      <c r="H633" s="143">
        <f>ROUNDUP(739745+M633,0)</f>
        <v>742745</v>
      </c>
      <c r="I633" s="81">
        <f t="shared" ref="I633:I638" si="284">IF(G633&gt;0,H633/G633*100,"-")</f>
        <v>99.505650190572524</v>
      </c>
      <c r="J633" s="143">
        <v>0</v>
      </c>
      <c r="K633" s="143">
        <f t="shared" ref="K633:K638" si="285">L633-J633</f>
        <v>6690</v>
      </c>
      <c r="L633" s="143">
        <v>6690</v>
      </c>
      <c r="M633" s="114">
        <v>3000</v>
      </c>
      <c r="N633" s="81">
        <f t="shared" ref="N633:N638" si="286">IF(L633&gt;0,M633/L633*100,"-")</f>
        <v>44.843049327354265</v>
      </c>
      <c r="O633" s="402"/>
    </row>
    <row r="634" spans="1:15" s="116" customFormat="1" ht="11.1" customHeight="1" outlineLevel="1" x14ac:dyDescent="0.2">
      <c r="A634" s="118"/>
      <c r="B634" s="110"/>
      <c r="C634" s="111"/>
      <c r="D634" s="112"/>
      <c r="E634" s="410"/>
      <c r="F634" s="113" t="s">
        <v>7</v>
      </c>
      <c r="G634" s="143">
        <v>432272</v>
      </c>
      <c r="H634" s="143">
        <f>ROUNDUP(432272+M634,0)</f>
        <v>432272</v>
      </c>
      <c r="I634" s="81">
        <f t="shared" si="284"/>
        <v>100</v>
      </c>
      <c r="J634" s="143">
        <v>0</v>
      </c>
      <c r="K634" s="143">
        <f t="shared" si="285"/>
        <v>0</v>
      </c>
      <c r="L634" s="143">
        <v>0</v>
      </c>
      <c r="M634" s="114">
        <v>0</v>
      </c>
      <c r="N634" s="81" t="str">
        <f t="shared" si="286"/>
        <v>-</v>
      </c>
      <c r="O634" s="402"/>
    </row>
    <row r="635" spans="1:15" s="116" customFormat="1" ht="11.1" customHeight="1" outlineLevel="1" x14ac:dyDescent="0.2">
      <c r="A635" s="118"/>
      <c r="B635" s="110"/>
      <c r="C635" s="111"/>
      <c r="D635" s="112"/>
      <c r="E635" s="410"/>
      <c r="F635" s="113" t="s">
        <v>8</v>
      </c>
      <c r="G635" s="143">
        <v>500000</v>
      </c>
      <c r="H635" s="143">
        <f>ROUNDUP(500000+M635,0)</f>
        <v>500000</v>
      </c>
      <c r="I635" s="81">
        <f t="shared" si="284"/>
        <v>100</v>
      </c>
      <c r="J635" s="143">
        <v>0</v>
      </c>
      <c r="K635" s="143">
        <f t="shared" si="285"/>
        <v>0</v>
      </c>
      <c r="L635" s="143">
        <v>0</v>
      </c>
      <c r="M635" s="114">
        <v>0</v>
      </c>
      <c r="N635" s="81" t="str">
        <f t="shared" si="286"/>
        <v>-</v>
      </c>
      <c r="O635" s="402"/>
    </row>
    <row r="636" spans="1:15" s="116" customFormat="1" ht="11.1" customHeight="1" outlineLevel="1" x14ac:dyDescent="0.2">
      <c r="A636" s="118"/>
      <c r="B636" s="110"/>
      <c r="C636" s="111"/>
      <c r="D636" s="112"/>
      <c r="E636" s="191"/>
      <c r="F636" s="113" t="s">
        <v>22</v>
      </c>
      <c r="G636" s="143">
        <v>76283</v>
      </c>
      <c r="H636" s="143">
        <f>ROUNDUP(76283+M636,0)</f>
        <v>76283</v>
      </c>
      <c r="I636" s="81">
        <f t="shared" si="284"/>
        <v>100</v>
      </c>
      <c r="J636" s="143">
        <v>0</v>
      </c>
      <c r="K636" s="143">
        <f t="shared" si="285"/>
        <v>0</v>
      </c>
      <c r="L636" s="143">
        <v>0</v>
      </c>
      <c r="M636" s="114">
        <v>0</v>
      </c>
      <c r="N636" s="81" t="str">
        <f t="shared" si="286"/>
        <v>-</v>
      </c>
      <c r="O636" s="402"/>
    </row>
    <row r="637" spans="1:15" s="116" customFormat="1" ht="11.1" customHeight="1" outlineLevel="1" x14ac:dyDescent="0.2">
      <c r="A637" s="118"/>
      <c r="B637" s="110"/>
      <c r="C637" s="111"/>
      <c r="D637" s="112"/>
      <c r="E637" s="191"/>
      <c r="F637" s="113" t="s">
        <v>45</v>
      </c>
      <c r="G637" s="143">
        <v>0</v>
      </c>
      <c r="H637" s="143">
        <f>ROUNDUP(0+M637,0)</f>
        <v>0</v>
      </c>
      <c r="I637" s="81" t="str">
        <f t="shared" si="284"/>
        <v>-</v>
      </c>
      <c r="J637" s="143">
        <v>0</v>
      </c>
      <c r="K637" s="143">
        <f t="shared" si="285"/>
        <v>0</v>
      </c>
      <c r="L637" s="143">
        <v>0</v>
      </c>
      <c r="M637" s="114">
        <v>0</v>
      </c>
      <c r="N637" s="81" t="str">
        <f t="shared" si="286"/>
        <v>-</v>
      </c>
      <c r="O637" s="402"/>
    </row>
    <row r="638" spans="1:15" s="116" customFormat="1" ht="11.1" customHeight="1" outlineLevel="1" x14ac:dyDescent="0.2">
      <c r="A638" s="118"/>
      <c r="B638" s="110"/>
      <c r="C638" s="111"/>
      <c r="D638" s="112"/>
      <c r="E638" s="191"/>
      <c r="F638" s="113" t="s">
        <v>365</v>
      </c>
      <c r="G638" s="143">
        <v>0</v>
      </c>
      <c r="H638" s="143">
        <f>ROUNDUP(0+M638,0)</f>
        <v>0</v>
      </c>
      <c r="I638" s="81" t="str">
        <f t="shared" si="284"/>
        <v>-</v>
      </c>
      <c r="J638" s="143">
        <v>0</v>
      </c>
      <c r="K638" s="143">
        <f t="shared" si="285"/>
        <v>0</v>
      </c>
      <c r="L638" s="143">
        <v>0</v>
      </c>
      <c r="M638" s="114">
        <v>0</v>
      </c>
      <c r="N638" s="81" t="str">
        <f t="shared" si="286"/>
        <v>-</v>
      </c>
      <c r="O638" s="402"/>
    </row>
    <row r="639" spans="1:15" s="95" customFormat="1" ht="3.95" customHeight="1" outlineLevel="1" x14ac:dyDescent="0.2">
      <c r="A639" s="119"/>
      <c r="B639" s="85"/>
      <c r="C639" s="86"/>
      <c r="D639" s="84"/>
      <c r="E639" s="84"/>
      <c r="F639" s="85"/>
      <c r="G639" s="141"/>
      <c r="H639" s="141"/>
      <c r="I639" s="88"/>
      <c r="J639" s="141"/>
      <c r="K639" s="141"/>
      <c r="L639" s="142"/>
      <c r="M639" s="87"/>
      <c r="N639" s="88"/>
      <c r="O639" s="403"/>
    </row>
    <row r="640" spans="1:15" ht="3.95" customHeight="1" x14ac:dyDescent="0.2">
      <c r="A640" s="59"/>
      <c r="B640" s="60"/>
      <c r="C640" s="61"/>
      <c r="D640" s="62"/>
      <c r="E640" s="62"/>
      <c r="F640" s="59"/>
      <c r="G640" s="132"/>
      <c r="H640" s="132"/>
      <c r="I640" s="59"/>
      <c r="J640" s="132"/>
      <c r="K640" s="132"/>
      <c r="L640" s="132"/>
      <c r="M640" s="63"/>
      <c r="N640" s="64"/>
      <c r="O640" s="323"/>
    </row>
    <row r="641" spans="1:15" ht="11.45" customHeight="1" x14ac:dyDescent="0.2">
      <c r="A641" s="28" t="s">
        <v>59</v>
      </c>
      <c r="B641" s="397" t="s">
        <v>48</v>
      </c>
      <c r="C641" s="398"/>
      <c r="D641" s="29"/>
      <c r="E641" s="29"/>
      <c r="F641" s="30"/>
      <c r="G641" s="133">
        <f>SUM(G642:G647)</f>
        <v>72305877</v>
      </c>
      <c r="H641" s="133">
        <f>SUM(H642:H647)</f>
        <v>72293719</v>
      </c>
      <c r="I641" s="32">
        <f>IF(G641&gt;0,H641/G641*100,"-")</f>
        <v>99.983185322543008</v>
      </c>
      <c r="J641" s="133">
        <f>SUM(J642:J647)</f>
        <v>0</v>
      </c>
      <c r="K641" s="133">
        <f>SUM(K642:K647)</f>
        <v>180000</v>
      </c>
      <c r="L641" s="133">
        <f>SUM(L642:L647)</f>
        <v>180000</v>
      </c>
      <c r="M641" s="31">
        <f>SUM(M642:M647)</f>
        <v>167841.8</v>
      </c>
      <c r="N641" s="32">
        <f t="shared" ref="N641:N647" si="287">IF(L641&gt;0,M641/L641*100,"-")</f>
        <v>93.245444444444431</v>
      </c>
      <c r="O641" s="324"/>
    </row>
    <row r="642" spans="1:15" ht="11.45" customHeight="1" x14ac:dyDescent="0.2">
      <c r="A642" s="30"/>
      <c r="B642" s="33"/>
      <c r="C642" s="34"/>
      <c r="D642" s="29"/>
      <c r="E642" s="29"/>
      <c r="F642" s="35" t="s">
        <v>15</v>
      </c>
      <c r="G642" s="134">
        <f t="shared" ref="G642:H647" si="288">G651</f>
        <v>4268815</v>
      </c>
      <c r="H642" s="134">
        <f t="shared" si="288"/>
        <v>4256657</v>
      </c>
      <c r="I642" s="37">
        <f t="shared" ref="I642:I647" si="289">IF(G642&gt;0,H642/G642*100,"-")</f>
        <v>99.715190281143592</v>
      </c>
      <c r="J642" s="134">
        <f t="shared" ref="J642:M647" si="290">J651</f>
        <v>0</v>
      </c>
      <c r="K642" s="134">
        <f t="shared" si="290"/>
        <v>180000</v>
      </c>
      <c r="L642" s="134">
        <f t="shared" si="290"/>
        <v>180000</v>
      </c>
      <c r="M642" s="36">
        <f t="shared" si="290"/>
        <v>167841.8</v>
      </c>
      <c r="N642" s="37">
        <f t="shared" si="287"/>
        <v>93.245444444444431</v>
      </c>
      <c r="O642" s="324"/>
    </row>
    <row r="643" spans="1:15" ht="11.45" customHeight="1" x14ac:dyDescent="0.2">
      <c r="A643" s="30"/>
      <c r="B643" s="33"/>
      <c r="C643" s="34"/>
      <c r="D643" s="29"/>
      <c r="E643" s="29"/>
      <c r="F643" s="35" t="s">
        <v>7</v>
      </c>
      <c r="G643" s="134">
        <f t="shared" si="288"/>
        <v>54495488</v>
      </c>
      <c r="H643" s="134">
        <f t="shared" si="288"/>
        <v>54495488</v>
      </c>
      <c r="I643" s="37">
        <f t="shared" si="289"/>
        <v>100</v>
      </c>
      <c r="J643" s="134">
        <f t="shared" si="290"/>
        <v>0</v>
      </c>
      <c r="K643" s="134">
        <f t="shared" si="290"/>
        <v>0</v>
      </c>
      <c r="L643" s="134">
        <f t="shared" si="290"/>
        <v>0</v>
      </c>
      <c r="M643" s="36">
        <f t="shared" si="290"/>
        <v>0</v>
      </c>
      <c r="N643" s="37" t="str">
        <f t="shared" si="287"/>
        <v>-</v>
      </c>
      <c r="O643" s="324"/>
    </row>
    <row r="644" spans="1:15" ht="11.45" customHeight="1" x14ac:dyDescent="0.2">
      <c r="A644" s="30"/>
      <c r="B644" s="33"/>
      <c r="C644" s="34"/>
      <c r="D644" s="29"/>
      <c r="E644" s="29"/>
      <c r="F644" s="35" t="s">
        <v>8</v>
      </c>
      <c r="G644" s="134">
        <f t="shared" si="288"/>
        <v>12362168</v>
      </c>
      <c r="H644" s="134">
        <f t="shared" si="288"/>
        <v>12362168</v>
      </c>
      <c r="I644" s="37">
        <f t="shared" si="289"/>
        <v>100</v>
      </c>
      <c r="J644" s="134">
        <f t="shared" si="290"/>
        <v>0</v>
      </c>
      <c r="K644" s="134">
        <f t="shared" si="290"/>
        <v>0</v>
      </c>
      <c r="L644" s="134">
        <f t="shared" si="290"/>
        <v>0</v>
      </c>
      <c r="M644" s="36">
        <f t="shared" si="290"/>
        <v>0</v>
      </c>
      <c r="N644" s="37" t="str">
        <f t="shared" si="287"/>
        <v>-</v>
      </c>
      <c r="O644" s="324"/>
    </row>
    <row r="645" spans="1:15" ht="11.45" customHeight="1" x14ac:dyDescent="0.2">
      <c r="A645" s="30"/>
      <c r="B645" s="33"/>
      <c r="C645" s="34"/>
      <c r="D645" s="29"/>
      <c r="E645" s="29"/>
      <c r="F645" s="35" t="s">
        <v>22</v>
      </c>
      <c r="G645" s="134">
        <f t="shared" si="288"/>
        <v>494272</v>
      </c>
      <c r="H645" s="134">
        <f t="shared" si="288"/>
        <v>494272</v>
      </c>
      <c r="I645" s="37">
        <f t="shared" si="289"/>
        <v>100</v>
      </c>
      <c r="J645" s="134">
        <f t="shared" si="290"/>
        <v>0</v>
      </c>
      <c r="K645" s="134">
        <f t="shared" si="290"/>
        <v>0</v>
      </c>
      <c r="L645" s="134">
        <f t="shared" si="290"/>
        <v>0</v>
      </c>
      <c r="M645" s="36">
        <f t="shared" si="290"/>
        <v>0</v>
      </c>
      <c r="N645" s="37" t="str">
        <f t="shared" si="287"/>
        <v>-</v>
      </c>
      <c r="O645" s="324"/>
    </row>
    <row r="646" spans="1:15" ht="11.45" customHeight="1" x14ac:dyDescent="0.2">
      <c r="A646" s="30"/>
      <c r="B646" s="33"/>
      <c r="C646" s="34"/>
      <c r="D646" s="29"/>
      <c r="E646" s="29"/>
      <c r="F646" s="35" t="s">
        <v>45</v>
      </c>
      <c r="G646" s="134">
        <f t="shared" si="288"/>
        <v>685134</v>
      </c>
      <c r="H646" s="134">
        <f t="shared" si="288"/>
        <v>685134</v>
      </c>
      <c r="I646" s="37">
        <f t="shared" si="289"/>
        <v>100</v>
      </c>
      <c r="J646" s="134">
        <f t="shared" si="290"/>
        <v>0</v>
      </c>
      <c r="K646" s="134">
        <f t="shared" si="290"/>
        <v>0</v>
      </c>
      <c r="L646" s="134">
        <f t="shared" si="290"/>
        <v>0</v>
      </c>
      <c r="M646" s="36">
        <f t="shared" si="290"/>
        <v>0</v>
      </c>
      <c r="N646" s="37" t="str">
        <f t="shared" si="287"/>
        <v>-</v>
      </c>
      <c r="O646" s="324"/>
    </row>
    <row r="647" spans="1:15" ht="11.45" customHeight="1" x14ac:dyDescent="0.2">
      <c r="A647" s="30"/>
      <c r="B647" s="33"/>
      <c r="C647" s="34"/>
      <c r="D647" s="29"/>
      <c r="E647" s="29"/>
      <c r="F647" s="35" t="s">
        <v>365</v>
      </c>
      <c r="G647" s="134">
        <f t="shared" si="288"/>
        <v>0</v>
      </c>
      <c r="H647" s="134">
        <f t="shared" si="288"/>
        <v>0</v>
      </c>
      <c r="I647" s="37" t="str">
        <f t="shared" si="289"/>
        <v>-</v>
      </c>
      <c r="J647" s="134">
        <f t="shared" si="290"/>
        <v>0</v>
      </c>
      <c r="K647" s="134">
        <f t="shared" si="290"/>
        <v>0</v>
      </c>
      <c r="L647" s="134">
        <f t="shared" si="290"/>
        <v>0</v>
      </c>
      <c r="M647" s="36">
        <f t="shared" si="290"/>
        <v>0</v>
      </c>
      <c r="N647" s="37" t="str">
        <f t="shared" si="287"/>
        <v>-</v>
      </c>
      <c r="O647" s="324"/>
    </row>
    <row r="648" spans="1:15" ht="3.2" customHeight="1" x14ac:dyDescent="0.2">
      <c r="A648" s="65"/>
      <c r="B648" s="66"/>
      <c r="C648" s="67"/>
      <c r="D648" s="68"/>
      <c r="E648" s="68"/>
      <c r="F648" s="65"/>
      <c r="G648" s="135"/>
      <c r="H648" s="135"/>
      <c r="I648" s="70"/>
      <c r="J648" s="135"/>
      <c r="K648" s="135"/>
      <c r="L648" s="135"/>
      <c r="M648" s="69"/>
      <c r="N648" s="70"/>
      <c r="O648" s="325"/>
    </row>
    <row r="649" spans="1:15" s="95" customFormat="1" ht="3.2" customHeight="1" outlineLevel="1" x14ac:dyDescent="0.2">
      <c r="A649" s="153"/>
      <c r="B649" s="72"/>
      <c r="C649" s="73"/>
      <c r="D649" s="71"/>
      <c r="E649" s="71"/>
      <c r="F649" s="72"/>
      <c r="G649" s="136"/>
      <c r="H649" s="136"/>
      <c r="I649" s="75"/>
      <c r="J649" s="136"/>
      <c r="K649" s="136"/>
      <c r="L649" s="137"/>
      <c r="M649" s="74"/>
      <c r="N649" s="75"/>
      <c r="O649" s="400" t="s">
        <v>497</v>
      </c>
    </row>
    <row r="650" spans="1:15" s="95" customFormat="1" ht="11.1" customHeight="1" outlineLevel="1" x14ac:dyDescent="0.2">
      <c r="A650" s="391" t="s">
        <v>61</v>
      </c>
      <c r="B650" s="76" t="s">
        <v>9</v>
      </c>
      <c r="C650" s="77" t="s">
        <v>90</v>
      </c>
      <c r="D650" s="392" t="s">
        <v>337</v>
      </c>
      <c r="E650" s="392" t="s">
        <v>52</v>
      </c>
      <c r="F650" s="78" t="s">
        <v>28</v>
      </c>
      <c r="G650" s="243">
        <f>SUM(G651:G656)</f>
        <v>72305877</v>
      </c>
      <c r="H650" s="243">
        <f>SUM(H651:H656)</f>
        <v>72293719</v>
      </c>
      <c r="I650" s="39">
        <f t="shared" ref="I650:I656" si="291">IF(G650&gt;0,H650/G650*100,"-")</f>
        <v>99.983185322543008</v>
      </c>
      <c r="J650" s="138">
        <f>SUM(J651:J656)</f>
        <v>0</v>
      </c>
      <c r="K650" s="138">
        <f>SUM(K651:K656)</f>
        <v>180000</v>
      </c>
      <c r="L650" s="138">
        <f>SUM(L651:L656)</f>
        <v>180000</v>
      </c>
      <c r="M650" s="38">
        <f>SUM(M651:M656)</f>
        <v>167841.8</v>
      </c>
      <c r="N650" s="39">
        <f t="shared" ref="N650:N656" si="292">IF(L650&gt;0,M650/L650*100,"-")</f>
        <v>93.245444444444431</v>
      </c>
      <c r="O650" s="389"/>
    </row>
    <row r="651" spans="1:15" s="95" customFormat="1" ht="11.1" customHeight="1" outlineLevel="1" x14ac:dyDescent="0.2">
      <c r="A651" s="391"/>
      <c r="B651" s="76" t="s">
        <v>10</v>
      </c>
      <c r="C651" s="77" t="s">
        <v>133</v>
      </c>
      <c r="D651" s="392"/>
      <c r="E651" s="392"/>
      <c r="F651" s="79" t="s">
        <v>15</v>
      </c>
      <c r="G651" s="139">
        <v>4268815</v>
      </c>
      <c r="H651" s="139">
        <f>ROUNDUP(4088815+M651,0)</f>
        <v>4256657</v>
      </c>
      <c r="I651" s="81">
        <f t="shared" si="291"/>
        <v>99.715190281143592</v>
      </c>
      <c r="J651" s="139">
        <v>0</v>
      </c>
      <c r="K651" s="139">
        <f t="shared" ref="K651:K656" si="293">L651-J651</f>
        <v>180000</v>
      </c>
      <c r="L651" s="139">
        <v>180000</v>
      </c>
      <c r="M651" s="80">
        <v>167841.8</v>
      </c>
      <c r="N651" s="81">
        <f t="shared" si="292"/>
        <v>93.245444444444431</v>
      </c>
      <c r="O651" s="389"/>
    </row>
    <row r="652" spans="1:15" s="95" customFormat="1" ht="11.1" customHeight="1" outlineLevel="1" x14ac:dyDescent="0.2">
      <c r="A652" s="391"/>
      <c r="B652" s="76" t="s">
        <v>11</v>
      </c>
      <c r="C652" s="82" t="s">
        <v>134</v>
      </c>
      <c r="D652" s="392"/>
      <c r="E652" s="392"/>
      <c r="F652" s="79" t="s">
        <v>7</v>
      </c>
      <c r="G652" s="139">
        <v>54495488</v>
      </c>
      <c r="H652" s="139">
        <f>ROUNDUP(54495488+M652,0)</f>
        <v>54495488</v>
      </c>
      <c r="I652" s="81">
        <f t="shared" si="291"/>
        <v>100</v>
      </c>
      <c r="J652" s="139">
        <v>0</v>
      </c>
      <c r="K652" s="139">
        <f t="shared" si="293"/>
        <v>0</v>
      </c>
      <c r="L652" s="139">
        <v>0</v>
      </c>
      <c r="M652" s="80">
        <v>0</v>
      </c>
      <c r="N652" s="81" t="str">
        <f t="shared" si="292"/>
        <v>-</v>
      </c>
      <c r="O652" s="389"/>
    </row>
    <row r="653" spans="1:15" s="95" customFormat="1" ht="11.1" customHeight="1" outlineLevel="1" x14ac:dyDescent="0.2">
      <c r="A653" s="118"/>
      <c r="B653" s="76" t="s">
        <v>12</v>
      </c>
      <c r="C653" s="82" t="s">
        <v>191</v>
      </c>
      <c r="D653" s="109"/>
      <c r="E653" s="109"/>
      <c r="F653" s="79" t="s">
        <v>8</v>
      </c>
      <c r="G653" s="139">
        <v>12362168</v>
      </c>
      <c r="H653" s="139">
        <f>ROUNDUP(12362168+M653,0)</f>
        <v>12362168</v>
      </c>
      <c r="I653" s="81">
        <f t="shared" si="291"/>
        <v>100</v>
      </c>
      <c r="J653" s="139">
        <v>0</v>
      </c>
      <c r="K653" s="139">
        <f t="shared" si="293"/>
        <v>0</v>
      </c>
      <c r="L653" s="139">
        <v>0</v>
      </c>
      <c r="M653" s="80">
        <v>0</v>
      </c>
      <c r="N653" s="81" t="str">
        <f t="shared" si="292"/>
        <v>-</v>
      </c>
      <c r="O653" s="389"/>
    </row>
    <row r="654" spans="1:15" s="95" customFormat="1" ht="11.1" customHeight="1" outlineLevel="1" x14ac:dyDescent="0.2">
      <c r="A654" s="118"/>
      <c r="B654" s="76" t="s">
        <v>23</v>
      </c>
      <c r="C654" s="82" t="s">
        <v>135</v>
      </c>
      <c r="D654" s="109"/>
      <c r="E654" s="109"/>
      <c r="F654" s="79" t="s">
        <v>22</v>
      </c>
      <c r="G654" s="139">
        <v>494272</v>
      </c>
      <c r="H654" s="139">
        <f>ROUNDUP(494272+M654,0)</f>
        <v>494272</v>
      </c>
      <c r="I654" s="81">
        <f t="shared" si="291"/>
        <v>100</v>
      </c>
      <c r="J654" s="139">
        <v>0</v>
      </c>
      <c r="K654" s="139">
        <f t="shared" si="293"/>
        <v>0</v>
      </c>
      <c r="L654" s="139">
        <v>0</v>
      </c>
      <c r="M654" s="80">
        <v>0</v>
      </c>
      <c r="N654" s="81" t="str">
        <f t="shared" si="292"/>
        <v>-</v>
      </c>
      <c r="O654" s="389"/>
    </row>
    <row r="655" spans="1:15" s="95" customFormat="1" ht="11.1" customHeight="1" outlineLevel="1" x14ac:dyDescent="0.2">
      <c r="A655" s="118"/>
      <c r="B655" s="76"/>
      <c r="C655" s="82" t="s">
        <v>257</v>
      </c>
      <c r="D655" s="109"/>
      <c r="E655" s="109"/>
      <c r="F655" s="79" t="s">
        <v>45</v>
      </c>
      <c r="G655" s="140">
        <v>685134</v>
      </c>
      <c r="H655" s="139">
        <f>ROUNDUP(685134+M655,0)</f>
        <v>685134</v>
      </c>
      <c r="I655" s="81">
        <f t="shared" si="291"/>
        <v>100</v>
      </c>
      <c r="J655" s="139">
        <v>0</v>
      </c>
      <c r="K655" s="139">
        <f t="shared" si="293"/>
        <v>0</v>
      </c>
      <c r="L655" s="139">
        <v>0</v>
      </c>
      <c r="M655" s="80">
        <v>0</v>
      </c>
      <c r="N655" s="81" t="str">
        <f t="shared" si="292"/>
        <v>-</v>
      </c>
      <c r="O655" s="389"/>
    </row>
    <row r="656" spans="1:15" s="95" customFormat="1" ht="11.1" customHeight="1" outlineLevel="1" x14ac:dyDescent="0.2">
      <c r="A656" s="118"/>
      <c r="B656" s="76"/>
      <c r="C656" s="82"/>
      <c r="D656" s="109"/>
      <c r="E656" s="109"/>
      <c r="F656" s="79" t="s">
        <v>365</v>
      </c>
      <c r="G656" s="140">
        <v>0</v>
      </c>
      <c r="H656" s="139">
        <f>ROUNDUP(0+M656,0)</f>
        <v>0</v>
      </c>
      <c r="I656" s="81" t="str">
        <f t="shared" si="291"/>
        <v>-</v>
      </c>
      <c r="J656" s="139">
        <v>0</v>
      </c>
      <c r="K656" s="139">
        <f t="shared" si="293"/>
        <v>0</v>
      </c>
      <c r="L656" s="139">
        <v>0</v>
      </c>
      <c r="M656" s="80">
        <v>0</v>
      </c>
      <c r="N656" s="81" t="str">
        <f t="shared" si="292"/>
        <v>-</v>
      </c>
      <c r="O656" s="389"/>
    </row>
    <row r="657" spans="1:15" s="95" customFormat="1" ht="41.25" customHeight="1" outlineLevel="1" x14ac:dyDescent="0.2">
      <c r="A657" s="118"/>
      <c r="B657" s="76"/>
      <c r="C657" s="82"/>
      <c r="D657" s="109"/>
      <c r="E657" s="109"/>
      <c r="F657" s="106"/>
      <c r="G657" s="140"/>
      <c r="H657" s="140"/>
      <c r="I657" s="81"/>
      <c r="J657" s="140"/>
      <c r="K657" s="140"/>
      <c r="L657" s="139"/>
      <c r="M657" s="89"/>
      <c r="N657" s="81"/>
      <c r="O657" s="389"/>
    </row>
    <row r="658" spans="1:15" s="95" customFormat="1" ht="3.2" customHeight="1" outlineLevel="1" x14ac:dyDescent="0.2">
      <c r="A658" s="119"/>
      <c r="B658" s="85"/>
      <c r="C658" s="86"/>
      <c r="D658" s="84"/>
      <c r="E658" s="84"/>
      <c r="F658" s="85"/>
      <c r="G658" s="141"/>
      <c r="H658" s="141"/>
      <c r="I658" s="88"/>
      <c r="J658" s="141"/>
      <c r="K658" s="141"/>
      <c r="L658" s="142"/>
      <c r="M658" s="87"/>
      <c r="N658" s="88"/>
      <c r="O658" s="390"/>
    </row>
    <row r="659" spans="1:15" ht="3.2" customHeight="1" x14ac:dyDescent="0.2">
      <c r="A659" s="59"/>
      <c r="B659" s="60"/>
      <c r="C659" s="61"/>
      <c r="D659" s="62"/>
      <c r="E659" s="62"/>
      <c r="F659" s="59"/>
      <c r="G659" s="132"/>
      <c r="H659" s="132"/>
      <c r="I659" s="64"/>
      <c r="J659" s="132"/>
      <c r="K659" s="132"/>
      <c r="L659" s="132"/>
      <c r="M659" s="63"/>
      <c r="N659" s="64"/>
      <c r="O659" s="323"/>
    </row>
    <row r="660" spans="1:15" ht="11.45" customHeight="1" x14ac:dyDescent="0.2">
      <c r="A660" s="28" t="s">
        <v>61</v>
      </c>
      <c r="B660" s="393" t="s">
        <v>136</v>
      </c>
      <c r="C660" s="394"/>
      <c r="D660" s="29"/>
      <c r="E660" s="29"/>
      <c r="F660" s="30"/>
      <c r="G660" s="133">
        <f>SUM(G661:G666)</f>
        <v>585644899</v>
      </c>
      <c r="H660" s="133">
        <f>SUM(H661:H666)</f>
        <v>258464626</v>
      </c>
      <c r="I660" s="32">
        <f>IF(G660&gt;0,H660/G660*100,"-")</f>
        <v>44.133335138978133</v>
      </c>
      <c r="J660" s="133">
        <f>SUM(J661:J666)</f>
        <v>148371877</v>
      </c>
      <c r="K660" s="133">
        <f>SUM(K661:K666)</f>
        <v>32987305</v>
      </c>
      <c r="L660" s="133">
        <f>SUM(L661:L666)</f>
        <v>181359182</v>
      </c>
      <c r="M660" s="31">
        <f>SUM(M661:M666)</f>
        <v>33201880.66</v>
      </c>
      <c r="N660" s="32">
        <f t="shared" ref="N660:N666" si="294">IF(L660&gt;0,M660/L660*100,"-")</f>
        <v>18.307250999841852</v>
      </c>
      <c r="O660" s="324"/>
    </row>
    <row r="661" spans="1:15" ht="11.45" customHeight="1" x14ac:dyDescent="0.2">
      <c r="A661" s="30"/>
      <c r="B661" s="33"/>
      <c r="C661" s="34"/>
      <c r="D661" s="29"/>
      <c r="E661" s="29"/>
      <c r="F661" s="35" t="s">
        <v>15</v>
      </c>
      <c r="G661" s="134">
        <f t="shared" ref="G661:H666" si="295">G670+G679+G688+G698+G707+G716+G725+G734+G744+G755</f>
        <v>112874011</v>
      </c>
      <c r="H661" s="134">
        <f t="shared" si="295"/>
        <v>21982231</v>
      </c>
      <c r="I661" s="37">
        <f t="shared" ref="I661:I666" si="296">IF(G661&gt;0,H661/G661*100,"-")</f>
        <v>19.475015377986345</v>
      </c>
      <c r="J661" s="134">
        <f t="shared" ref="J661:M666" si="297">J670+J679+J688+J698+J707+J716+J725+J734+J744+J755</f>
        <v>3350292</v>
      </c>
      <c r="K661" s="134">
        <f t="shared" si="297"/>
        <v>25216616</v>
      </c>
      <c r="L661" s="134">
        <f t="shared" si="297"/>
        <v>28566908</v>
      </c>
      <c r="M661" s="36">
        <f t="shared" si="297"/>
        <v>1574331.04</v>
      </c>
      <c r="N661" s="37">
        <f t="shared" si="294"/>
        <v>5.5110305952607828</v>
      </c>
      <c r="O661" s="324"/>
    </row>
    <row r="662" spans="1:15" ht="11.45" customHeight="1" x14ac:dyDescent="0.2">
      <c r="A662" s="30"/>
      <c r="B662" s="33"/>
      <c r="C662" s="34"/>
      <c r="D662" s="29"/>
      <c r="E662" s="29"/>
      <c r="F662" s="35" t="s">
        <v>7</v>
      </c>
      <c r="G662" s="134">
        <f t="shared" si="295"/>
        <v>309207885</v>
      </c>
      <c r="H662" s="134">
        <f t="shared" si="295"/>
        <v>123366208</v>
      </c>
      <c r="I662" s="37">
        <f t="shared" si="296"/>
        <v>39.897497439303656</v>
      </c>
      <c r="J662" s="134">
        <f t="shared" si="297"/>
        <v>93004639</v>
      </c>
      <c r="K662" s="134">
        <f t="shared" si="297"/>
        <v>-5938060</v>
      </c>
      <c r="L662" s="134">
        <f t="shared" si="297"/>
        <v>87066579</v>
      </c>
      <c r="M662" s="36">
        <f t="shared" si="297"/>
        <v>15879955.279999999</v>
      </c>
      <c r="N662" s="37">
        <f t="shared" si="294"/>
        <v>18.238864398244015</v>
      </c>
      <c r="O662" s="324"/>
    </row>
    <row r="663" spans="1:15" ht="11.45" customHeight="1" x14ac:dyDescent="0.2">
      <c r="A663" s="30"/>
      <c r="B663" s="33"/>
      <c r="C663" s="34"/>
      <c r="D663" s="29"/>
      <c r="E663" s="29"/>
      <c r="F663" s="35" t="s">
        <v>8</v>
      </c>
      <c r="G663" s="134">
        <f t="shared" si="295"/>
        <v>151031411</v>
      </c>
      <c r="H663" s="134">
        <f t="shared" si="295"/>
        <v>109044237</v>
      </c>
      <c r="I663" s="37">
        <f t="shared" si="296"/>
        <v>72.19970751647152</v>
      </c>
      <c r="J663" s="134">
        <f t="shared" si="297"/>
        <v>43151194</v>
      </c>
      <c r="K663" s="134">
        <f t="shared" si="297"/>
        <v>11932525</v>
      </c>
      <c r="L663" s="134">
        <f t="shared" si="297"/>
        <v>55083719</v>
      </c>
      <c r="M663" s="36">
        <f t="shared" si="297"/>
        <v>13096543.030000001</v>
      </c>
      <c r="N663" s="37">
        <f t="shared" si="294"/>
        <v>23.775705903227053</v>
      </c>
      <c r="O663" s="324"/>
    </row>
    <row r="664" spans="1:15" ht="11.45" customHeight="1" x14ac:dyDescent="0.2">
      <c r="A664" s="30"/>
      <c r="B664" s="33"/>
      <c r="C664" s="34"/>
      <c r="D664" s="29"/>
      <c r="E664" s="29"/>
      <c r="F664" s="35" t="s">
        <v>22</v>
      </c>
      <c r="G664" s="134">
        <f t="shared" si="295"/>
        <v>3199753</v>
      </c>
      <c r="H664" s="134">
        <f t="shared" si="295"/>
        <v>11426</v>
      </c>
      <c r="I664" s="37">
        <f t="shared" si="296"/>
        <v>0.35709006288922923</v>
      </c>
      <c r="J664" s="134">
        <f t="shared" si="297"/>
        <v>2921711</v>
      </c>
      <c r="K664" s="134">
        <f t="shared" si="297"/>
        <v>0</v>
      </c>
      <c r="L664" s="134">
        <f t="shared" si="297"/>
        <v>2921711</v>
      </c>
      <c r="M664" s="36">
        <f t="shared" si="297"/>
        <v>2105.27</v>
      </c>
      <c r="N664" s="37">
        <f t="shared" si="294"/>
        <v>7.2056065777895209E-2</v>
      </c>
      <c r="O664" s="324"/>
    </row>
    <row r="665" spans="1:15" ht="11.45" customHeight="1" x14ac:dyDescent="0.2">
      <c r="A665" s="30"/>
      <c r="B665" s="33"/>
      <c r="C665" s="34"/>
      <c r="D665" s="29"/>
      <c r="E665" s="29"/>
      <c r="F665" s="35" t="s">
        <v>45</v>
      </c>
      <c r="G665" s="134">
        <f t="shared" si="295"/>
        <v>9331839</v>
      </c>
      <c r="H665" s="134">
        <f t="shared" si="295"/>
        <v>4060524</v>
      </c>
      <c r="I665" s="37">
        <f t="shared" si="296"/>
        <v>43.512580960730247</v>
      </c>
      <c r="J665" s="134">
        <f t="shared" si="297"/>
        <v>5944041</v>
      </c>
      <c r="K665" s="134">
        <f t="shared" si="297"/>
        <v>1776224</v>
      </c>
      <c r="L665" s="134">
        <f t="shared" si="297"/>
        <v>7720265</v>
      </c>
      <c r="M665" s="36">
        <f t="shared" si="297"/>
        <v>2648946.04</v>
      </c>
      <c r="N665" s="37">
        <f t="shared" si="294"/>
        <v>34.311594744480921</v>
      </c>
      <c r="O665" s="324"/>
    </row>
    <row r="666" spans="1:15" ht="11.45" customHeight="1" x14ac:dyDescent="0.2">
      <c r="A666" s="30"/>
      <c r="B666" s="33"/>
      <c r="C666" s="34"/>
      <c r="D666" s="29"/>
      <c r="E666" s="29"/>
      <c r="F666" s="35" t="s">
        <v>365</v>
      </c>
      <c r="G666" s="134">
        <f t="shared" si="295"/>
        <v>0</v>
      </c>
      <c r="H666" s="134">
        <f t="shared" si="295"/>
        <v>0</v>
      </c>
      <c r="I666" s="37" t="str">
        <f t="shared" si="296"/>
        <v>-</v>
      </c>
      <c r="J666" s="134">
        <f t="shared" si="297"/>
        <v>0</v>
      </c>
      <c r="K666" s="134">
        <f t="shared" si="297"/>
        <v>0</v>
      </c>
      <c r="L666" s="134">
        <f t="shared" si="297"/>
        <v>0</v>
      </c>
      <c r="M666" s="36">
        <f t="shared" si="297"/>
        <v>0</v>
      </c>
      <c r="N666" s="37" t="str">
        <f t="shared" si="294"/>
        <v>-</v>
      </c>
      <c r="O666" s="324"/>
    </row>
    <row r="667" spans="1:15" ht="3.2" customHeight="1" x14ac:dyDescent="0.2">
      <c r="A667" s="65"/>
      <c r="B667" s="66"/>
      <c r="C667" s="67"/>
      <c r="D667" s="68"/>
      <c r="E667" s="68"/>
      <c r="F667" s="65"/>
      <c r="G667" s="135"/>
      <c r="H667" s="135"/>
      <c r="I667" s="70"/>
      <c r="J667" s="135"/>
      <c r="K667" s="135"/>
      <c r="L667" s="134"/>
      <c r="M667" s="69"/>
      <c r="N667" s="70"/>
      <c r="O667" s="325"/>
    </row>
    <row r="668" spans="1:15" ht="3.95" customHeight="1" outlineLevel="1" x14ac:dyDescent="0.2">
      <c r="A668" s="153"/>
      <c r="B668" s="72"/>
      <c r="C668" s="73"/>
      <c r="D668" s="71"/>
      <c r="E668" s="71"/>
      <c r="F668" s="72"/>
      <c r="G668" s="136"/>
      <c r="H668" s="136"/>
      <c r="I668" s="75"/>
      <c r="J668" s="136"/>
      <c r="K668" s="136"/>
      <c r="L668" s="137"/>
      <c r="M668" s="74"/>
      <c r="N668" s="75"/>
      <c r="O668" s="326"/>
    </row>
    <row r="669" spans="1:15" ht="11.1" customHeight="1" outlineLevel="1" x14ac:dyDescent="0.2">
      <c r="A669" s="391" t="s">
        <v>76</v>
      </c>
      <c r="B669" s="76" t="s">
        <v>9</v>
      </c>
      <c r="C669" s="149" t="s">
        <v>246</v>
      </c>
      <c r="D669" s="392" t="s">
        <v>140</v>
      </c>
      <c r="E669" s="392" t="s">
        <v>141</v>
      </c>
      <c r="F669" s="78" t="s">
        <v>28</v>
      </c>
      <c r="G669" s="138">
        <f>SUM(G670:G675)</f>
        <v>160933219</v>
      </c>
      <c r="H669" s="138">
        <f>SUM(H670:H675)</f>
        <v>22884988</v>
      </c>
      <c r="I669" s="39">
        <f t="shared" ref="I669:I675" si="298">IF(G669&gt;0,H669/G669*100,"-")</f>
        <v>14.220176631152825</v>
      </c>
      <c r="J669" s="138">
        <f>SUM(J670:J675)</f>
        <v>49343000</v>
      </c>
      <c r="K669" s="138">
        <f>SUM(K670:K675)</f>
        <v>-4657922</v>
      </c>
      <c r="L669" s="138">
        <f>SUM(L670:L675)</f>
        <v>44685078</v>
      </c>
      <c r="M669" s="38">
        <f>SUM(M670:M675)</f>
        <v>1750139.65</v>
      </c>
      <c r="N669" s="39">
        <f t="shared" ref="N669:N675" si="299">IF(L669&gt;0,M669/L669*100,"-")</f>
        <v>3.9166086942938758</v>
      </c>
      <c r="O669" s="388" t="s">
        <v>418</v>
      </c>
    </row>
    <row r="670" spans="1:15" ht="11.1" customHeight="1" outlineLevel="1" x14ac:dyDescent="0.2">
      <c r="A670" s="391"/>
      <c r="B670" s="76" t="s">
        <v>10</v>
      </c>
      <c r="C670" s="149" t="s">
        <v>416</v>
      </c>
      <c r="D670" s="392"/>
      <c r="E670" s="392"/>
      <c r="F670" s="79" t="s">
        <v>15</v>
      </c>
      <c r="G670" s="139">
        <v>31301649</v>
      </c>
      <c r="H670" s="139">
        <f>ROUNDUP(14584377+M670,0)</f>
        <v>16029145</v>
      </c>
      <c r="I670" s="81">
        <f t="shared" si="298"/>
        <v>51.20862801828747</v>
      </c>
      <c r="J670" s="139">
        <v>150000</v>
      </c>
      <c r="K670" s="139">
        <f t="shared" ref="K670:K675" si="300">L670-J670</f>
        <v>8567272</v>
      </c>
      <c r="L670" s="139">
        <v>8717272</v>
      </c>
      <c r="M670" s="80">
        <v>1444767.92</v>
      </c>
      <c r="N670" s="81">
        <f t="shared" si="299"/>
        <v>16.573624409104131</v>
      </c>
      <c r="O670" s="388"/>
    </row>
    <row r="671" spans="1:15" ht="11.1" customHeight="1" outlineLevel="1" x14ac:dyDescent="0.2">
      <c r="A671" s="391"/>
      <c r="C671" s="15" t="s">
        <v>417</v>
      </c>
      <c r="D671" s="392"/>
      <c r="E671" s="392"/>
      <c r="F671" s="79" t="s">
        <v>7</v>
      </c>
      <c r="G671" s="139">
        <v>122702849</v>
      </c>
      <c r="H671" s="245">
        <f>ROUNDUP(0+M671,0)</f>
        <v>50858</v>
      </c>
      <c r="I671" s="81">
        <f t="shared" si="298"/>
        <v>4.1448100361549063E-2</v>
      </c>
      <c r="J671" s="139">
        <v>48943000</v>
      </c>
      <c r="K671" s="139">
        <f t="shared" si="300"/>
        <v>-13353444</v>
      </c>
      <c r="L671" s="139">
        <v>35589556</v>
      </c>
      <c r="M671" s="80">
        <v>50857.88</v>
      </c>
      <c r="N671" s="81">
        <f t="shared" si="299"/>
        <v>0.14290113650195579</v>
      </c>
      <c r="O671" s="388"/>
    </row>
    <row r="672" spans="1:15" ht="11.1" customHeight="1" outlineLevel="1" x14ac:dyDescent="0.2">
      <c r="A672" s="118"/>
      <c r="B672" s="76" t="s">
        <v>11</v>
      </c>
      <c r="C672" s="82" t="s">
        <v>415</v>
      </c>
      <c r="D672" s="109"/>
      <c r="E672" s="109"/>
      <c r="F672" s="79" t="s">
        <v>8</v>
      </c>
      <c r="G672" s="139">
        <v>6407928</v>
      </c>
      <c r="H672" s="139">
        <f>ROUNDUP(6407928+M672,0)</f>
        <v>6407928</v>
      </c>
      <c r="I672" s="81">
        <f t="shared" si="298"/>
        <v>100</v>
      </c>
      <c r="J672" s="139">
        <v>0</v>
      </c>
      <c r="K672" s="139">
        <f t="shared" si="300"/>
        <v>0</v>
      </c>
      <c r="L672" s="139">
        <v>0</v>
      </c>
      <c r="M672" s="80">
        <v>0</v>
      </c>
      <c r="N672" s="81" t="str">
        <f t="shared" si="299"/>
        <v>-</v>
      </c>
      <c r="O672" s="388"/>
    </row>
    <row r="673" spans="1:15" ht="11.1" customHeight="1" outlineLevel="1" x14ac:dyDescent="0.2">
      <c r="A673" s="118"/>
      <c r="B673" s="76" t="s">
        <v>12</v>
      </c>
      <c r="C673" s="149" t="s">
        <v>215</v>
      </c>
      <c r="D673" s="109"/>
      <c r="E673" s="109"/>
      <c r="F673" s="79" t="s">
        <v>22</v>
      </c>
      <c r="G673" s="140">
        <v>0</v>
      </c>
      <c r="H673" s="245">
        <f>ROUNDUP(0+M673,0)</f>
        <v>0</v>
      </c>
      <c r="I673" s="81" t="str">
        <f t="shared" si="298"/>
        <v>-</v>
      </c>
      <c r="J673" s="139">
        <v>0</v>
      </c>
      <c r="K673" s="139">
        <f t="shared" si="300"/>
        <v>0</v>
      </c>
      <c r="L673" s="139">
        <v>0</v>
      </c>
      <c r="M673" s="80">
        <v>0</v>
      </c>
      <c r="N673" s="81" t="str">
        <f t="shared" si="299"/>
        <v>-</v>
      </c>
      <c r="O673" s="388"/>
    </row>
    <row r="674" spans="1:15" ht="11.1" customHeight="1" outlineLevel="1" x14ac:dyDescent="0.2">
      <c r="A674" s="118"/>
      <c r="B674" s="76" t="s">
        <v>23</v>
      </c>
      <c r="C674" s="149" t="s">
        <v>137</v>
      </c>
      <c r="D674" s="109"/>
      <c r="E674" s="109"/>
      <c r="F674" s="79" t="s">
        <v>45</v>
      </c>
      <c r="G674" s="140">
        <v>520793</v>
      </c>
      <c r="H674" s="245">
        <f>ROUNDUP(142543+M674,0)</f>
        <v>397057</v>
      </c>
      <c r="I674" s="81">
        <f t="shared" si="298"/>
        <v>76.240848091276192</v>
      </c>
      <c r="J674" s="139">
        <v>250000</v>
      </c>
      <c r="K674" s="139">
        <f t="shared" si="300"/>
        <v>128250</v>
      </c>
      <c r="L674" s="139">
        <v>378250</v>
      </c>
      <c r="M674" s="80">
        <v>254513.85</v>
      </c>
      <c r="N674" s="81">
        <f t="shared" si="299"/>
        <v>67.287204230006608</v>
      </c>
      <c r="O674" s="388"/>
    </row>
    <row r="675" spans="1:15" ht="11.1" customHeight="1" outlineLevel="1" x14ac:dyDescent="0.2">
      <c r="A675" s="118"/>
      <c r="B675" s="76"/>
      <c r="C675" s="149"/>
      <c r="D675" s="109"/>
      <c r="E675" s="109"/>
      <c r="F675" s="79" t="s">
        <v>365</v>
      </c>
      <c r="G675" s="140">
        <v>0</v>
      </c>
      <c r="H675" s="245">
        <f>ROUNDUP(0+M675,0)</f>
        <v>0</v>
      </c>
      <c r="I675" s="81" t="str">
        <f t="shared" si="298"/>
        <v>-</v>
      </c>
      <c r="J675" s="139"/>
      <c r="K675" s="139">
        <f t="shared" si="300"/>
        <v>0</v>
      </c>
      <c r="L675" s="139">
        <v>0</v>
      </c>
      <c r="M675" s="80">
        <v>0</v>
      </c>
      <c r="N675" s="81" t="str">
        <f t="shared" si="299"/>
        <v>-</v>
      </c>
      <c r="O675" s="388"/>
    </row>
    <row r="676" spans="1:15" ht="3.95" customHeight="1" outlineLevel="1" x14ac:dyDescent="0.2">
      <c r="A676" s="119"/>
      <c r="B676" s="85"/>
      <c r="C676" s="367"/>
      <c r="D676" s="84"/>
      <c r="E676" s="84"/>
      <c r="F676" s="85"/>
      <c r="G676" s="141"/>
      <c r="H676" s="141"/>
      <c r="I676" s="85"/>
      <c r="J676" s="141"/>
      <c r="K676" s="141"/>
      <c r="L676" s="142"/>
      <c r="M676" s="87"/>
      <c r="N676" s="88"/>
      <c r="O676" s="327"/>
    </row>
    <row r="677" spans="1:15" ht="3.95" customHeight="1" outlineLevel="1" x14ac:dyDescent="0.2">
      <c r="A677" s="153"/>
      <c r="B677" s="72"/>
      <c r="C677" s="352"/>
      <c r="D677" s="71"/>
      <c r="E677" s="71"/>
      <c r="F677" s="72"/>
      <c r="G677" s="136"/>
      <c r="H677" s="136"/>
      <c r="I677" s="75"/>
      <c r="J677" s="136"/>
      <c r="K677" s="136"/>
      <c r="L677" s="137"/>
      <c r="M677" s="74"/>
      <c r="N677" s="75"/>
      <c r="O677" s="326"/>
    </row>
    <row r="678" spans="1:15" ht="11.1" customHeight="1" outlineLevel="1" x14ac:dyDescent="0.2">
      <c r="A678" s="391" t="s">
        <v>77</v>
      </c>
      <c r="B678" s="76" t="s">
        <v>9</v>
      </c>
      <c r="C678" s="357" t="s">
        <v>428</v>
      </c>
      <c r="D678" s="392" t="s">
        <v>395</v>
      </c>
      <c r="E678" s="392" t="s">
        <v>141</v>
      </c>
      <c r="F678" s="78" t="s">
        <v>28</v>
      </c>
      <c r="G678" s="138">
        <f>SUM(G679:G684)</f>
        <v>3600000</v>
      </c>
      <c r="H678" s="138">
        <f>SUM(H679:H684)</f>
        <v>0</v>
      </c>
      <c r="I678" s="39">
        <f t="shared" ref="I678:I684" si="301">IF(G678&gt;0,H678/G678*100,"-")</f>
        <v>0</v>
      </c>
      <c r="J678" s="138">
        <f>SUM(J679:J684)</f>
        <v>100000</v>
      </c>
      <c r="K678" s="138">
        <f>SUM(K679:K684)</f>
        <v>0</v>
      </c>
      <c r="L678" s="138">
        <f>SUM(L679:L684)</f>
        <v>100000</v>
      </c>
      <c r="M678" s="38">
        <f>SUM(M679:M684)</f>
        <v>0</v>
      </c>
      <c r="N678" s="39">
        <f t="shared" ref="N678:N684" si="302">IF(L678&gt;0,M678/L678*100,"-")</f>
        <v>0</v>
      </c>
      <c r="O678" s="388" t="s">
        <v>480</v>
      </c>
    </row>
    <row r="679" spans="1:15" ht="11.1" customHeight="1" outlineLevel="1" x14ac:dyDescent="0.2">
      <c r="A679" s="391"/>
      <c r="B679" s="76" t="s">
        <v>10</v>
      </c>
      <c r="C679" s="357" t="s">
        <v>91</v>
      </c>
      <c r="D679" s="392"/>
      <c r="E679" s="392"/>
      <c r="F679" s="79" t="s">
        <v>15</v>
      </c>
      <c r="G679" s="139">
        <v>30000</v>
      </c>
      <c r="H679" s="245">
        <f t="shared" ref="H679:H684" si="303">ROUNDUP(0+M679,0)</f>
        <v>0</v>
      </c>
      <c r="I679" s="81">
        <f t="shared" si="301"/>
        <v>0</v>
      </c>
      <c r="J679" s="139">
        <v>0</v>
      </c>
      <c r="K679" s="139">
        <f t="shared" ref="K679:K682" si="304">L679-J679</f>
        <v>0</v>
      </c>
      <c r="L679" s="139">
        <v>0</v>
      </c>
      <c r="M679" s="80">
        <v>0</v>
      </c>
      <c r="N679" s="81" t="str">
        <f t="shared" si="302"/>
        <v>-</v>
      </c>
      <c r="O679" s="388"/>
    </row>
    <row r="680" spans="1:15" ht="11.1" customHeight="1" outlineLevel="1" x14ac:dyDescent="0.2">
      <c r="A680" s="391"/>
      <c r="B680" s="76" t="s">
        <v>11</v>
      </c>
      <c r="C680" s="149" t="s">
        <v>92</v>
      </c>
      <c r="D680" s="392"/>
      <c r="E680" s="392"/>
      <c r="F680" s="79" t="s">
        <v>7</v>
      </c>
      <c r="G680" s="139">
        <v>3470000</v>
      </c>
      <c r="H680" s="245">
        <f t="shared" si="303"/>
        <v>0</v>
      </c>
      <c r="I680" s="81">
        <f t="shared" si="301"/>
        <v>0</v>
      </c>
      <c r="J680" s="139">
        <v>0</v>
      </c>
      <c r="K680" s="139">
        <f t="shared" si="304"/>
        <v>0</v>
      </c>
      <c r="L680" s="139">
        <v>0</v>
      </c>
      <c r="M680" s="80">
        <v>0</v>
      </c>
      <c r="N680" s="81" t="str">
        <f t="shared" si="302"/>
        <v>-</v>
      </c>
      <c r="O680" s="388"/>
    </row>
    <row r="681" spans="1:15" ht="11.1" customHeight="1" outlineLevel="1" x14ac:dyDescent="0.2">
      <c r="A681" s="118"/>
      <c r="B681" s="76" t="s">
        <v>12</v>
      </c>
      <c r="C681" s="149" t="s">
        <v>419</v>
      </c>
      <c r="D681" s="109"/>
      <c r="E681" s="109"/>
      <c r="F681" s="79" t="s">
        <v>8</v>
      </c>
      <c r="G681" s="139">
        <v>0</v>
      </c>
      <c r="H681" s="245">
        <f t="shared" si="303"/>
        <v>0</v>
      </c>
      <c r="I681" s="81" t="str">
        <f t="shared" si="301"/>
        <v>-</v>
      </c>
      <c r="J681" s="139">
        <v>0</v>
      </c>
      <c r="K681" s="139">
        <f t="shared" si="304"/>
        <v>0</v>
      </c>
      <c r="L681" s="139">
        <v>0</v>
      </c>
      <c r="M681" s="80">
        <v>0</v>
      </c>
      <c r="N681" s="81" t="str">
        <f t="shared" si="302"/>
        <v>-</v>
      </c>
      <c r="O681" s="388"/>
    </row>
    <row r="682" spans="1:15" ht="11.1" customHeight="1" outlineLevel="1" x14ac:dyDescent="0.2">
      <c r="A682" s="118"/>
      <c r="B682" s="76"/>
      <c r="C682" s="149" t="s">
        <v>420</v>
      </c>
      <c r="D682" s="109"/>
      <c r="E682" s="109"/>
      <c r="F682" s="79" t="s">
        <v>22</v>
      </c>
      <c r="G682" s="140">
        <v>0</v>
      </c>
      <c r="H682" s="245">
        <f t="shared" si="303"/>
        <v>0</v>
      </c>
      <c r="I682" s="81" t="str">
        <f t="shared" si="301"/>
        <v>-</v>
      </c>
      <c r="J682" s="139">
        <v>0</v>
      </c>
      <c r="K682" s="139">
        <f t="shared" si="304"/>
        <v>0</v>
      </c>
      <c r="L682" s="139">
        <v>0</v>
      </c>
      <c r="M682" s="80">
        <v>0</v>
      </c>
      <c r="N682" s="81" t="str">
        <f t="shared" si="302"/>
        <v>-</v>
      </c>
      <c r="O682" s="388"/>
    </row>
    <row r="683" spans="1:15" ht="11.1" customHeight="1" outlineLevel="1" x14ac:dyDescent="0.2">
      <c r="A683" s="118"/>
      <c r="B683" s="76"/>
      <c r="C683" s="149" t="s">
        <v>421</v>
      </c>
      <c r="D683" s="109"/>
      <c r="E683" s="109"/>
      <c r="F683" s="79" t="s">
        <v>45</v>
      </c>
      <c r="G683" s="140">
        <v>100000</v>
      </c>
      <c r="H683" s="245">
        <f t="shared" si="303"/>
        <v>0</v>
      </c>
      <c r="I683" s="81">
        <f t="shared" si="301"/>
        <v>0</v>
      </c>
      <c r="J683" s="139">
        <v>100000</v>
      </c>
      <c r="K683" s="139">
        <f t="shared" ref="K683:K684" si="305">L683-J683</f>
        <v>0</v>
      </c>
      <c r="L683" s="139">
        <v>100000</v>
      </c>
      <c r="M683" s="80">
        <v>0</v>
      </c>
      <c r="N683" s="81">
        <f t="shared" si="302"/>
        <v>0</v>
      </c>
      <c r="O683" s="388"/>
    </row>
    <row r="684" spans="1:15" ht="11.1" customHeight="1" outlineLevel="1" x14ac:dyDescent="0.2">
      <c r="A684" s="118"/>
      <c r="B684" s="76" t="s">
        <v>23</v>
      </c>
      <c r="C684" s="149" t="s">
        <v>137</v>
      </c>
      <c r="D684" s="109"/>
      <c r="E684" s="109"/>
      <c r="F684" s="79" t="s">
        <v>365</v>
      </c>
      <c r="G684" s="140">
        <v>0</v>
      </c>
      <c r="H684" s="245">
        <f t="shared" si="303"/>
        <v>0</v>
      </c>
      <c r="I684" s="81" t="str">
        <f t="shared" si="301"/>
        <v>-</v>
      </c>
      <c r="J684" s="139">
        <v>0</v>
      </c>
      <c r="K684" s="139">
        <f t="shared" si="305"/>
        <v>0</v>
      </c>
      <c r="L684" s="139">
        <v>0</v>
      </c>
      <c r="M684" s="80">
        <v>0</v>
      </c>
      <c r="N684" s="81" t="str">
        <f t="shared" si="302"/>
        <v>-</v>
      </c>
      <c r="O684" s="388"/>
    </row>
    <row r="685" spans="1:15" ht="3.95" customHeight="1" outlineLevel="1" x14ac:dyDescent="0.2">
      <c r="A685" s="119"/>
      <c r="B685" s="85"/>
      <c r="C685" s="367"/>
      <c r="D685" s="84"/>
      <c r="E685" s="84"/>
      <c r="F685" s="85"/>
      <c r="G685" s="141"/>
      <c r="H685" s="141"/>
      <c r="I685" s="85"/>
      <c r="J685" s="141"/>
      <c r="K685" s="141"/>
      <c r="L685" s="142"/>
      <c r="M685" s="87"/>
      <c r="N685" s="88"/>
      <c r="O685" s="327"/>
    </row>
    <row r="686" spans="1:15" ht="3.95" customHeight="1" outlineLevel="1" x14ac:dyDescent="0.2">
      <c r="A686" s="153"/>
      <c r="B686" s="72"/>
      <c r="C686" s="352"/>
      <c r="D686" s="71"/>
      <c r="E686" s="71"/>
      <c r="F686" s="72"/>
      <c r="G686" s="136"/>
      <c r="H686" s="136"/>
      <c r="I686" s="75"/>
      <c r="J686" s="136"/>
      <c r="K686" s="136"/>
      <c r="L686" s="137"/>
      <c r="M686" s="74"/>
      <c r="N686" s="75"/>
      <c r="O686" s="326"/>
    </row>
    <row r="687" spans="1:15" ht="11.1" customHeight="1" outlineLevel="1" x14ac:dyDescent="0.2">
      <c r="A687" s="391" t="s">
        <v>79</v>
      </c>
      <c r="B687" s="76" t="s">
        <v>9</v>
      </c>
      <c r="C687" s="357" t="s">
        <v>428</v>
      </c>
      <c r="D687" s="392" t="s">
        <v>281</v>
      </c>
      <c r="E687" s="392" t="s">
        <v>141</v>
      </c>
      <c r="F687" s="78" t="s">
        <v>28</v>
      </c>
      <c r="G687" s="138">
        <f>SUM(G688:G693)</f>
        <v>52654751</v>
      </c>
      <c r="H687" s="138">
        <f>SUM(H688:H693)</f>
        <v>106127</v>
      </c>
      <c r="I687" s="39">
        <f t="shared" ref="I687:I693" si="306">IF(G687&gt;0,H687/G687*100,"-")</f>
        <v>0.20155256265479254</v>
      </c>
      <c r="J687" s="138">
        <f>SUM(J688:J693)</f>
        <v>1270000</v>
      </c>
      <c r="K687" s="138">
        <f>SUM(K688:K693)</f>
        <v>2000000</v>
      </c>
      <c r="L687" s="138">
        <f>SUM(L688:L693)</f>
        <v>3270000</v>
      </c>
      <c r="M687" s="38">
        <f>SUM(M688:M693)</f>
        <v>21375.66</v>
      </c>
      <c r="N687" s="39">
        <f t="shared" ref="N687:N693" si="307">IF(L687&gt;0,M687/L687*100,"-")</f>
        <v>0.65368990825688078</v>
      </c>
      <c r="O687" s="388" t="s">
        <v>482</v>
      </c>
    </row>
    <row r="688" spans="1:15" ht="11.1" customHeight="1" outlineLevel="1" x14ac:dyDescent="0.2">
      <c r="A688" s="391"/>
      <c r="B688" s="76" t="s">
        <v>10</v>
      </c>
      <c r="C688" s="357" t="s">
        <v>91</v>
      </c>
      <c r="D688" s="392"/>
      <c r="E688" s="392"/>
      <c r="F688" s="79" t="s">
        <v>15</v>
      </c>
      <c r="G688" s="139">
        <v>42753290</v>
      </c>
      <c r="H688" s="245">
        <f>ROUNDUP(28290+M688,0)</f>
        <v>28290</v>
      </c>
      <c r="I688" s="81">
        <f t="shared" si="306"/>
        <v>6.6170346188562337E-2</v>
      </c>
      <c r="J688" s="139">
        <v>400000</v>
      </c>
      <c r="K688" s="139">
        <f t="shared" ref="K688:K693" si="308">L688-J688</f>
        <v>2600000</v>
      </c>
      <c r="L688" s="139">
        <v>3000000</v>
      </c>
      <c r="M688" s="80">
        <v>0</v>
      </c>
      <c r="N688" s="81">
        <f t="shared" si="307"/>
        <v>0</v>
      </c>
      <c r="O688" s="388"/>
    </row>
    <row r="689" spans="1:15" ht="11.1" customHeight="1" outlineLevel="1" x14ac:dyDescent="0.2">
      <c r="A689" s="391"/>
      <c r="B689" s="76" t="s">
        <v>11</v>
      </c>
      <c r="C689" s="149" t="s">
        <v>92</v>
      </c>
      <c r="D689" s="392"/>
      <c r="E689" s="392"/>
      <c r="F689" s="79" t="s">
        <v>7</v>
      </c>
      <c r="G689" s="139">
        <v>9575000</v>
      </c>
      <c r="H689" s="245">
        <f>ROUNDUP(0+M689,0)</f>
        <v>0</v>
      </c>
      <c r="I689" s="81">
        <f t="shared" si="306"/>
        <v>0</v>
      </c>
      <c r="J689" s="139">
        <v>800000</v>
      </c>
      <c r="K689" s="139">
        <f t="shared" si="308"/>
        <v>-800000</v>
      </c>
      <c r="L689" s="139">
        <v>0</v>
      </c>
      <c r="M689" s="80">
        <v>0</v>
      </c>
      <c r="N689" s="81" t="str">
        <f t="shared" si="307"/>
        <v>-</v>
      </c>
      <c r="O689" s="388"/>
    </row>
    <row r="690" spans="1:15" ht="11.1" customHeight="1" outlineLevel="1" x14ac:dyDescent="0.2">
      <c r="A690" s="118"/>
      <c r="B690" s="76" t="s">
        <v>12</v>
      </c>
      <c r="C690" s="149" t="s">
        <v>302</v>
      </c>
      <c r="D690" s="109"/>
      <c r="E690" s="109"/>
      <c r="F690" s="79" t="s">
        <v>8</v>
      </c>
      <c r="G690" s="139">
        <v>0</v>
      </c>
      <c r="H690" s="245">
        <f t="shared" ref="H690:H693" si="309">ROUNDUP(0+M690,0)</f>
        <v>0</v>
      </c>
      <c r="I690" s="81" t="str">
        <f t="shared" si="306"/>
        <v>-</v>
      </c>
      <c r="J690" s="139">
        <v>0</v>
      </c>
      <c r="K690" s="139">
        <f t="shared" si="308"/>
        <v>0</v>
      </c>
      <c r="L690" s="139">
        <v>0</v>
      </c>
      <c r="M690" s="80">
        <v>0</v>
      </c>
      <c r="N690" s="81" t="str">
        <f t="shared" si="307"/>
        <v>-</v>
      </c>
      <c r="O690" s="388"/>
    </row>
    <row r="691" spans="1:15" ht="11.1" customHeight="1" outlineLevel="1" x14ac:dyDescent="0.2">
      <c r="A691" s="118"/>
      <c r="B691" s="76"/>
      <c r="C691" s="149" t="s">
        <v>423</v>
      </c>
      <c r="D691" s="109"/>
      <c r="E691" s="109"/>
      <c r="F691" s="79" t="s">
        <v>22</v>
      </c>
      <c r="G691" s="140">
        <v>0</v>
      </c>
      <c r="H691" s="245">
        <f t="shared" si="309"/>
        <v>0</v>
      </c>
      <c r="I691" s="81" t="str">
        <f t="shared" si="306"/>
        <v>-</v>
      </c>
      <c r="J691" s="139">
        <v>0</v>
      </c>
      <c r="K691" s="139">
        <f t="shared" si="308"/>
        <v>0</v>
      </c>
      <c r="L691" s="139">
        <v>0</v>
      </c>
      <c r="M691" s="80">
        <v>0</v>
      </c>
      <c r="N691" s="81" t="str">
        <f t="shared" si="307"/>
        <v>-</v>
      </c>
      <c r="O691" s="388"/>
    </row>
    <row r="692" spans="1:15" ht="11.1" customHeight="1" outlineLevel="1" x14ac:dyDescent="0.2">
      <c r="A692" s="118"/>
      <c r="B692" s="76"/>
      <c r="C692" s="149" t="s">
        <v>424</v>
      </c>
      <c r="D692" s="109"/>
      <c r="E692" s="109"/>
      <c r="F692" s="79" t="s">
        <v>45</v>
      </c>
      <c r="G692" s="140">
        <v>326461</v>
      </c>
      <c r="H692" s="245">
        <f>ROUNDUP(56461+M692,0)</f>
        <v>77837</v>
      </c>
      <c r="I692" s="81">
        <f t="shared" si="306"/>
        <v>23.84266420797584</v>
      </c>
      <c r="J692" s="139">
        <v>70000</v>
      </c>
      <c r="K692" s="139">
        <f t="shared" si="308"/>
        <v>200000</v>
      </c>
      <c r="L692" s="139">
        <v>270000</v>
      </c>
      <c r="M692" s="80">
        <v>21375.66</v>
      </c>
      <c r="N692" s="81">
        <f t="shared" si="307"/>
        <v>7.9169111111111103</v>
      </c>
      <c r="O692" s="388"/>
    </row>
    <row r="693" spans="1:15" ht="11.1" customHeight="1" outlineLevel="1" x14ac:dyDescent="0.2">
      <c r="A693" s="118"/>
      <c r="B693" s="76"/>
      <c r="C693" s="149" t="s">
        <v>425</v>
      </c>
      <c r="D693" s="109"/>
      <c r="E693" s="109"/>
      <c r="F693" s="79" t="s">
        <v>365</v>
      </c>
      <c r="G693" s="140">
        <v>0</v>
      </c>
      <c r="H693" s="245">
        <f t="shared" si="309"/>
        <v>0</v>
      </c>
      <c r="I693" s="81" t="str">
        <f t="shared" si="306"/>
        <v>-</v>
      </c>
      <c r="J693" s="139">
        <v>0</v>
      </c>
      <c r="K693" s="139">
        <f t="shared" si="308"/>
        <v>0</v>
      </c>
      <c r="L693" s="139">
        <v>0</v>
      </c>
      <c r="M693" s="80">
        <v>0</v>
      </c>
      <c r="N693" s="81" t="str">
        <f t="shared" si="307"/>
        <v>-</v>
      </c>
      <c r="O693" s="388"/>
    </row>
    <row r="694" spans="1:15" ht="11.1" customHeight="1" outlineLevel="1" x14ac:dyDescent="0.2">
      <c r="A694" s="118"/>
      <c r="B694" s="76" t="s">
        <v>23</v>
      </c>
      <c r="C694" s="149" t="s">
        <v>138</v>
      </c>
      <c r="D694" s="109"/>
      <c r="E694" s="109"/>
      <c r="F694" s="106"/>
      <c r="G694" s="140"/>
      <c r="H694" s="371"/>
      <c r="I694" s="150"/>
      <c r="J694" s="140"/>
      <c r="K694" s="140"/>
      <c r="L694" s="139"/>
      <c r="M694" s="107"/>
      <c r="N694" s="81"/>
      <c r="O694" s="344"/>
    </row>
    <row r="695" spans="1:15" ht="3.95" customHeight="1" outlineLevel="1" x14ac:dyDescent="0.2">
      <c r="A695" s="119"/>
      <c r="B695" s="85"/>
      <c r="C695" s="367"/>
      <c r="D695" s="84"/>
      <c r="E695" s="84"/>
      <c r="F695" s="85"/>
      <c r="G695" s="141"/>
      <c r="H695" s="141"/>
      <c r="I695" s="85"/>
      <c r="J695" s="141"/>
      <c r="K695" s="141"/>
      <c r="L695" s="142"/>
      <c r="M695" s="87"/>
      <c r="N695" s="88"/>
      <c r="O695" s="327"/>
    </row>
    <row r="696" spans="1:15" ht="3.95" customHeight="1" outlineLevel="1" x14ac:dyDescent="0.2">
      <c r="A696" s="350"/>
      <c r="B696" s="351"/>
      <c r="C696" s="352"/>
      <c r="D696" s="198"/>
      <c r="E696" s="198"/>
      <c r="F696" s="351"/>
      <c r="G696" s="353"/>
      <c r="H696" s="353"/>
      <c r="I696" s="354"/>
      <c r="J696" s="353"/>
      <c r="K696" s="353"/>
      <c r="L696" s="355"/>
      <c r="M696" s="231"/>
      <c r="N696" s="354"/>
      <c r="O696" s="400" t="s">
        <v>481</v>
      </c>
    </row>
    <row r="697" spans="1:15" ht="11.1" customHeight="1" outlineLevel="1" x14ac:dyDescent="0.2">
      <c r="A697" s="409" t="s">
        <v>511</v>
      </c>
      <c r="B697" s="356" t="s">
        <v>9</v>
      </c>
      <c r="C697" s="357" t="s">
        <v>428</v>
      </c>
      <c r="D697" s="399" t="s">
        <v>395</v>
      </c>
      <c r="E697" s="399" t="s">
        <v>139</v>
      </c>
      <c r="F697" s="358" t="s">
        <v>28</v>
      </c>
      <c r="G697" s="243">
        <f>SUM(G698:G703)</f>
        <v>14200000</v>
      </c>
      <c r="H697" s="243">
        <f>SUM(H698:H703)</f>
        <v>234</v>
      </c>
      <c r="I697" s="359">
        <f t="shared" ref="I697:I703" si="310">IF(G697&gt;0,H697/G697*100,"-")</f>
        <v>1.6478873239436618E-3</v>
      </c>
      <c r="J697" s="243">
        <f>SUM(J698:J703)</f>
        <v>0</v>
      </c>
      <c r="K697" s="243">
        <f>SUM(K698:K703)</f>
        <v>300000</v>
      </c>
      <c r="L697" s="243">
        <f>SUM(L698:L703)</f>
        <v>300000</v>
      </c>
      <c r="M697" s="360">
        <f>SUM(M698:M703)</f>
        <v>234</v>
      </c>
      <c r="N697" s="359">
        <f t="shared" ref="N697:N703" si="311">IF(L697&gt;0,M697/L697*100,"-")</f>
        <v>7.8E-2</v>
      </c>
      <c r="O697" s="402"/>
    </row>
    <row r="698" spans="1:15" ht="11.1" customHeight="1" outlineLevel="1" x14ac:dyDescent="0.2">
      <c r="A698" s="409"/>
      <c r="B698" s="356" t="s">
        <v>10</v>
      </c>
      <c r="C698" s="357" t="s">
        <v>91</v>
      </c>
      <c r="D698" s="399"/>
      <c r="E698" s="399"/>
      <c r="F698" s="361" t="s">
        <v>15</v>
      </c>
      <c r="G698" s="180">
        <v>4100000</v>
      </c>
      <c r="H698" s="180">
        <f t="shared" ref="H698:H703" si="312">ROUNDUP(0+M698,0)</f>
        <v>0</v>
      </c>
      <c r="I698" s="362">
        <f t="shared" si="310"/>
        <v>0</v>
      </c>
      <c r="J698" s="139">
        <v>0</v>
      </c>
      <c r="K698" s="139">
        <f t="shared" ref="K698:K701" si="313">L698-J698</f>
        <v>0</v>
      </c>
      <c r="L698" s="139">
        <v>0</v>
      </c>
      <c r="M698" s="80">
        <v>0</v>
      </c>
      <c r="N698" s="362" t="str">
        <f t="shared" si="311"/>
        <v>-</v>
      </c>
      <c r="O698" s="402"/>
    </row>
    <row r="699" spans="1:15" ht="11.1" customHeight="1" outlineLevel="1" x14ac:dyDescent="0.2">
      <c r="A699" s="409"/>
      <c r="B699" s="356" t="s">
        <v>11</v>
      </c>
      <c r="C699" s="149" t="s">
        <v>92</v>
      </c>
      <c r="D699" s="399"/>
      <c r="E699" s="399"/>
      <c r="F699" s="361" t="s">
        <v>7</v>
      </c>
      <c r="G699" s="180">
        <v>9600000</v>
      </c>
      <c r="H699" s="245">
        <f t="shared" si="312"/>
        <v>0</v>
      </c>
      <c r="I699" s="362">
        <f t="shared" si="310"/>
        <v>0</v>
      </c>
      <c r="J699" s="139">
        <v>0</v>
      </c>
      <c r="K699" s="139">
        <f t="shared" si="313"/>
        <v>0</v>
      </c>
      <c r="L699" s="139">
        <v>0</v>
      </c>
      <c r="M699" s="80">
        <v>0</v>
      </c>
      <c r="N699" s="362" t="str">
        <f t="shared" si="311"/>
        <v>-</v>
      </c>
      <c r="O699" s="402"/>
    </row>
    <row r="700" spans="1:15" ht="11.1" customHeight="1" outlineLevel="1" x14ac:dyDescent="0.2">
      <c r="A700" s="196"/>
      <c r="B700" s="356" t="s">
        <v>12</v>
      </c>
      <c r="C700" s="149" t="s">
        <v>422</v>
      </c>
      <c r="D700" s="363"/>
      <c r="E700" s="363"/>
      <c r="F700" s="361" t="s">
        <v>8</v>
      </c>
      <c r="G700" s="180">
        <v>0</v>
      </c>
      <c r="H700" s="245">
        <f t="shared" si="312"/>
        <v>0</v>
      </c>
      <c r="I700" s="362" t="str">
        <f t="shared" si="310"/>
        <v>-</v>
      </c>
      <c r="J700" s="139">
        <v>0</v>
      </c>
      <c r="K700" s="139">
        <f t="shared" si="313"/>
        <v>0</v>
      </c>
      <c r="L700" s="139">
        <v>0</v>
      </c>
      <c r="M700" s="80">
        <v>0</v>
      </c>
      <c r="N700" s="362" t="str">
        <f t="shared" si="311"/>
        <v>-</v>
      </c>
      <c r="O700" s="402"/>
    </row>
    <row r="701" spans="1:15" ht="11.1" customHeight="1" outlineLevel="1" x14ac:dyDescent="0.2">
      <c r="A701" s="196"/>
      <c r="B701" s="76" t="s">
        <v>23</v>
      </c>
      <c r="C701" s="149" t="s">
        <v>138</v>
      </c>
      <c r="D701" s="363"/>
      <c r="E701" s="363"/>
      <c r="F701" s="361" t="s">
        <v>22</v>
      </c>
      <c r="G701" s="364">
        <v>0</v>
      </c>
      <c r="H701" s="245">
        <f t="shared" si="312"/>
        <v>0</v>
      </c>
      <c r="I701" s="362" t="str">
        <f t="shared" si="310"/>
        <v>-</v>
      </c>
      <c r="J701" s="139">
        <v>0</v>
      </c>
      <c r="K701" s="139">
        <f t="shared" si="313"/>
        <v>0</v>
      </c>
      <c r="L701" s="139">
        <v>0</v>
      </c>
      <c r="M701" s="80">
        <v>0</v>
      </c>
      <c r="N701" s="362" t="str">
        <f t="shared" si="311"/>
        <v>-</v>
      </c>
      <c r="O701" s="402"/>
    </row>
    <row r="702" spans="1:15" ht="11.1" customHeight="1" outlineLevel="1" x14ac:dyDescent="0.2">
      <c r="A702" s="196"/>
      <c r="B702" s="356"/>
      <c r="C702" s="149"/>
      <c r="D702" s="363"/>
      <c r="E702" s="363"/>
      <c r="F702" s="361" t="s">
        <v>45</v>
      </c>
      <c r="G702" s="364">
        <v>500000</v>
      </c>
      <c r="H702" s="245">
        <f t="shared" si="312"/>
        <v>234</v>
      </c>
      <c r="I702" s="362">
        <f t="shared" si="310"/>
        <v>4.6800000000000001E-2</v>
      </c>
      <c r="J702" s="180">
        <v>0</v>
      </c>
      <c r="K702" s="180">
        <f t="shared" ref="K702:K703" si="314">L702-J702</f>
        <v>300000</v>
      </c>
      <c r="L702" s="180">
        <v>300000</v>
      </c>
      <c r="M702" s="83">
        <v>234</v>
      </c>
      <c r="N702" s="362">
        <f t="shared" si="311"/>
        <v>7.8E-2</v>
      </c>
      <c r="O702" s="402"/>
    </row>
    <row r="703" spans="1:15" ht="11.1" customHeight="1" outlineLevel="1" x14ac:dyDescent="0.2">
      <c r="A703" s="196"/>
      <c r="B703" s="356"/>
      <c r="C703" s="149"/>
      <c r="D703" s="363"/>
      <c r="E703" s="363"/>
      <c r="F703" s="361" t="s">
        <v>365</v>
      </c>
      <c r="G703" s="364">
        <v>0</v>
      </c>
      <c r="H703" s="245">
        <f t="shared" si="312"/>
        <v>0</v>
      </c>
      <c r="I703" s="362" t="str">
        <f t="shared" si="310"/>
        <v>-</v>
      </c>
      <c r="J703" s="139">
        <v>0</v>
      </c>
      <c r="K703" s="139">
        <f t="shared" si="314"/>
        <v>0</v>
      </c>
      <c r="L703" s="139">
        <v>0</v>
      </c>
      <c r="M703" s="80">
        <v>0</v>
      </c>
      <c r="N703" s="362" t="str">
        <f t="shared" si="311"/>
        <v>-</v>
      </c>
      <c r="O703" s="402"/>
    </row>
    <row r="704" spans="1:15" ht="3.95" customHeight="1" outlineLevel="1" x14ac:dyDescent="0.2">
      <c r="A704" s="365"/>
      <c r="B704" s="366"/>
      <c r="C704" s="367"/>
      <c r="D704" s="197"/>
      <c r="E704" s="197"/>
      <c r="F704" s="366"/>
      <c r="G704" s="368"/>
      <c r="H704" s="368"/>
      <c r="I704" s="366"/>
      <c r="J704" s="368"/>
      <c r="K704" s="368"/>
      <c r="L704" s="369"/>
      <c r="M704" s="177"/>
      <c r="N704" s="370"/>
      <c r="O704" s="403"/>
    </row>
    <row r="705" spans="1:15" ht="3.95" customHeight="1" outlineLevel="1" x14ac:dyDescent="0.2">
      <c r="A705" s="350"/>
      <c r="B705" s="351"/>
      <c r="C705" s="352"/>
      <c r="D705" s="198"/>
      <c r="E705" s="198"/>
      <c r="F705" s="351"/>
      <c r="G705" s="353"/>
      <c r="H705" s="353"/>
      <c r="I705" s="354"/>
      <c r="J705" s="353"/>
      <c r="K705" s="353"/>
      <c r="L705" s="355"/>
      <c r="M705" s="231"/>
      <c r="N705" s="354"/>
      <c r="O705" s="400" t="s">
        <v>484</v>
      </c>
    </row>
    <row r="706" spans="1:15" ht="11.1" customHeight="1" outlineLevel="1" x14ac:dyDescent="0.2">
      <c r="A706" s="409" t="s">
        <v>512</v>
      </c>
      <c r="B706" s="356" t="s">
        <v>9</v>
      </c>
      <c r="C706" s="357" t="s">
        <v>428</v>
      </c>
      <c r="D706" s="399" t="s">
        <v>395</v>
      </c>
      <c r="E706" s="399" t="s">
        <v>139</v>
      </c>
      <c r="F706" s="358" t="s">
        <v>28</v>
      </c>
      <c r="G706" s="243">
        <f>SUM(G707:G712)</f>
        <v>2191482</v>
      </c>
      <c r="H706" s="243">
        <f>SUM(H707:H712)</f>
        <v>0</v>
      </c>
      <c r="I706" s="359">
        <f t="shared" ref="I706:I712" si="315">IF(G706&gt;0,H706/G706*100,"-")</f>
        <v>0</v>
      </c>
      <c r="J706" s="243">
        <f>SUM(J707:J712)</f>
        <v>400000</v>
      </c>
      <c r="K706" s="243">
        <f>SUM(K707:K712)</f>
        <v>0</v>
      </c>
      <c r="L706" s="243">
        <f>SUM(L707:L712)</f>
        <v>400000</v>
      </c>
      <c r="M706" s="360">
        <f>SUM(M707:M712)</f>
        <v>0</v>
      </c>
      <c r="N706" s="359">
        <f t="shared" ref="N706:N712" si="316">IF(L706&gt;0,M706/L706*100,"-")</f>
        <v>0</v>
      </c>
      <c r="O706" s="402"/>
    </row>
    <row r="707" spans="1:15" ht="11.1" customHeight="1" outlineLevel="1" x14ac:dyDescent="0.2">
      <c r="A707" s="409"/>
      <c r="B707" s="356" t="s">
        <v>10</v>
      </c>
      <c r="C707" s="357" t="s">
        <v>426</v>
      </c>
      <c r="D707" s="399"/>
      <c r="E707" s="399"/>
      <c r="F707" s="361" t="s">
        <v>15</v>
      </c>
      <c r="G707" s="180">
        <v>100000</v>
      </c>
      <c r="H707" s="180">
        <v>0</v>
      </c>
      <c r="I707" s="362">
        <f t="shared" si="315"/>
        <v>0</v>
      </c>
      <c r="J707" s="180">
        <v>100000</v>
      </c>
      <c r="K707" s="180">
        <f t="shared" ref="K707:K712" si="317">L707-J707</f>
        <v>0</v>
      </c>
      <c r="L707" s="180">
        <v>100000</v>
      </c>
      <c r="M707" s="83">
        <v>0</v>
      </c>
      <c r="N707" s="362">
        <f t="shared" si="316"/>
        <v>0</v>
      </c>
      <c r="O707" s="402"/>
    </row>
    <row r="708" spans="1:15" ht="11.1" customHeight="1" outlineLevel="1" x14ac:dyDescent="0.2">
      <c r="A708" s="409"/>
      <c r="B708" s="96"/>
      <c r="C708" s="96" t="s">
        <v>427</v>
      </c>
      <c r="D708" s="399"/>
      <c r="E708" s="399"/>
      <c r="F708" s="361" t="s">
        <v>7</v>
      </c>
      <c r="G708" s="180">
        <v>1777760</v>
      </c>
      <c r="H708" s="180">
        <v>0</v>
      </c>
      <c r="I708" s="362">
        <f t="shared" si="315"/>
        <v>0</v>
      </c>
      <c r="J708" s="180">
        <v>255000</v>
      </c>
      <c r="K708" s="180">
        <f t="shared" si="317"/>
        <v>0</v>
      </c>
      <c r="L708" s="180">
        <v>255000</v>
      </c>
      <c r="M708" s="83">
        <v>0</v>
      </c>
      <c r="N708" s="362">
        <f t="shared" si="316"/>
        <v>0</v>
      </c>
      <c r="O708" s="402"/>
    </row>
    <row r="709" spans="1:15" ht="11.1" customHeight="1" outlineLevel="1" x14ac:dyDescent="0.2">
      <c r="A709" s="196"/>
      <c r="B709" s="356" t="s">
        <v>11</v>
      </c>
      <c r="C709" s="149" t="s">
        <v>429</v>
      </c>
      <c r="D709" s="363"/>
      <c r="E709" s="363"/>
      <c r="F709" s="361" t="s">
        <v>8</v>
      </c>
      <c r="G709" s="180">
        <v>0</v>
      </c>
      <c r="H709" s="180">
        <v>0</v>
      </c>
      <c r="I709" s="362" t="str">
        <f t="shared" si="315"/>
        <v>-</v>
      </c>
      <c r="J709" s="139">
        <v>0</v>
      </c>
      <c r="K709" s="139">
        <f t="shared" si="317"/>
        <v>0</v>
      </c>
      <c r="L709" s="139">
        <v>0</v>
      </c>
      <c r="M709" s="80">
        <v>0</v>
      </c>
      <c r="N709" s="362" t="str">
        <f t="shared" si="316"/>
        <v>-</v>
      </c>
      <c r="O709" s="402"/>
    </row>
    <row r="710" spans="1:15" ht="11.1" customHeight="1" outlineLevel="1" x14ac:dyDescent="0.2">
      <c r="A710" s="196"/>
      <c r="B710" s="356" t="s">
        <v>12</v>
      </c>
      <c r="C710" s="149" t="s">
        <v>430</v>
      </c>
      <c r="D710" s="363"/>
      <c r="E710" s="363"/>
      <c r="F710" s="361" t="s">
        <v>22</v>
      </c>
      <c r="G710" s="180">
        <v>313722</v>
      </c>
      <c r="H710" s="245">
        <v>0</v>
      </c>
      <c r="I710" s="362">
        <f t="shared" si="315"/>
        <v>0</v>
      </c>
      <c r="J710" s="180">
        <v>45000</v>
      </c>
      <c r="K710" s="180">
        <f t="shared" si="317"/>
        <v>0</v>
      </c>
      <c r="L710" s="180">
        <v>45000</v>
      </c>
      <c r="M710" s="83">
        <v>0</v>
      </c>
      <c r="N710" s="362">
        <f t="shared" si="316"/>
        <v>0</v>
      </c>
      <c r="O710" s="402"/>
    </row>
    <row r="711" spans="1:15" ht="11.1" customHeight="1" outlineLevel="1" x14ac:dyDescent="0.2">
      <c r="A711" s="196"/>
      <c r="B711" s="356" t="s">
        <v>23</v>
      </c>
      <c r="C711" s="149" t="s">
        <v>431</v>
      </c>
      <c r="D711" s="363"/>
      <c r="E711" s="363"/>
      <c r="F711" s="361" t="s">
        <v>45</v>
      </c>
      <c r="G711" s="180">
        <v>0</v>
      </c>
      <c r="H711" s="245">
        <v>0</v>
      </c>
      <c r="I711" s="362" t="str">
        <f t="shared" si="315"/>
        <v>-</v>
      </c>
      <c r="J711" s="139">
        <v>0</v>
      </c>
      <c r="K711" s="139">
        <f t="shared" si="317"/>
        <v>0</v>
      </c>
      <c r="L711" s="139">
        <v>0</v>
      </c>
      <c r="M711" s="80">
        <v>0</v>
      </c>
      <c r="N711" s="362" t="str">
        <f t="shared" si="316"/>
        <v>-</v>
      </c>
      <c r="O711" s="402"/>
    </row>
    <row r="712" spans="1:15" ht="11.1" customHeight="1" outlineLevel="1" x14ac:dyDescent="0.2">
      <c r="A712" s="196"/>
      <c r="B712" s="356"/>
      <c r="C712" s="149"/>
      <c r="D712" s="363"/>
      <c r="E712" s="363"/>
      <c r="F712" s="361" t="s">
        <v>365</v>
      </c>
      <c r="G712" s="364">
        <v>0</v>
      </c>
      <c r="H712" s="364">
        <v>0</v>
      </c>
      <c r="I712" s="362" t="str">
        <f t="shared" si="315"/>
        <v>-</v>
      </c>
      <c r="J712" s="139">
        <v>0</v>
      </c>
      <c r="K712" s="139">
        <f t="shared" si="317"/>
        <v>0</v>
      </c>
      <c r="L712" s="139">
        <v>0</v>
      </c>
      <c r="M712" s="80">
        <v>0</v>
      </c>
      <c r="N712" s="362" t="str">
        <f t="shared" si="316"/>
        <v>-</v>
      </c>
      <c r="O712" s="402"/>
    </row>
    <row r="713" spans="1:15" ht="3.95" customHeight="1" outlineLevel="1" x14ac:dyDescent="0.2">
      <c r="A713" s="365"/>
      <c r="B713" s="366"/>
      <c r="C713" s="367"/>
      <c r="D713" s="197"/>
      <c r="E713" s="197"/>
      <c r="F713" s="366"/>
      <c r="G713" s="368"/>
      <c r="H713" s="368"/>
      <c r="I713" s="366"/>
      <c r="J713" s="368"/>
      <c r="K713" s="368"/>
      <c r="L713" s="369"/>
      <c r="M713" s="177"/>
      <c r="N713" s="370"/>
      <c r="O713" s="403"/>
    </row>
    <row r="714" spans="1:15" ht="3.95" customHeight="1" outlineLevel="1" x14ac:dyDescent="0.2">
      <c r="A714" s="153"/>
      <c r="B714" s="72"/>
      <c r="C714" s="352"/>
      <c r="D714" s="71"/>
      <c r="E714" s="71"/>
      <c r="F714" s="72"/>
      <c r="G714" s="136"/>
      <c r="H714" s="136"/>
      <c r="I714" s="75"/>
      <c r="J714" s="136"/>
      <c r="K714" s="136"/>
      <c r="L714" s="137"/>
      <c r="M714" s="74"/>
      <c r="N714" s="75"/>
      <c r="O714" s="326"/>
    </row>
    <row r="715" spans="1:15" ht="11.1" customHeight="1" outlineLevel="1" x14ac:dyDescent="0.2">
      <c r="A715" s="391" t="s">
        <v>513</v>
      </c>
      <c r="B715" s="76" t="s">
        <v>9</v>
      </c>
      <c r="C715" s="357" t="s">
        <v>90</v>
      </c>
      <c r="D715" s="392" t="s">
        <v>142</v>
      </c>
      <c r="E715" s="392" t="s">
        <v>141</v>
      </c>
      <c r="F715" s="78" t="s">
        <v>28</v>
      </c>
      <c r="G715" s="138">
        <f>SUM(G716:G721)</f>
        <v>216479076</v>
      </c>
      <c r="H715" s="138">
        <f>SUM(H716:H721)</f>
        <v>155113183</v>
      </c>
      <c r="I715" s="39">
        <f t="shared" ref="I715:I721" si="318">IF(G715&gt;0,H715/G715*100,"-")</f>
        <v>71.652737006323889</v>
      </c>
      <c r="J715" s="138">
        <f>SUM(J716:J721)</f>
        <v>58877612</v>
      </c>
      <c r="K715" s="138">
        <f>SUM(K716:K721)</f>
        <v>25111006</v>
      </c>
      <c r="L715" s="138">
        <f>SUM(L716:L721)</f>
        <v>83988618</v>
      </c>
      <c r="M715" s="38">
        <f>SUM(M716:M721)</f>
        <v>22622723.510000002</v>
      </c>
      <c r="N715" s="39">
        <f t="shared" ref="N715:N721" si="319">IF(L715&gt;0,M715/L715*100,"-")</f>
        <v>26.935463457679472</v>
      </c>
      <c r="O715" s="388" t="s">
        <v>483</v>
      </c>
    </row>
    <row r="716" spans="1:15" ht="11.1" customHeight="1" outlineLevel="1" x14ac:dyDescent="0.2">
      <c r="A716" s="391"/>
      <c r="B716" s="76" t="s">
        <v>10</v>
      </c>
      <c r="C716" s="357" t="s">
        <v>91</v>
      </c>
      <c r="D716" s="392"/>
      <c r="E716" s="392"/>
      <c r="F716" s="79" t="s">
        <v>15</v>
      </c>
      <c r="G716" s="139">
        <v>18434265</v>
      </c>
      <c r="H716" s="139">
        <f>ROUNDUP(4397350+M716,0)</f>
        <v>4397350</v>
      </c>
      <c r="I716" s="81">
        <f t="shared" si="318"/>
        <v>23.854219303020759</v>
      </c>
      <c r="J716" s="139">
        <v>0</v>
      </c>
      <c r="K716" s="139">
        <f t="shared" ref="K716:K721" si="320">L716-J716</f>
        <v>14036915</v>
      </c>
      <c r="L716" s="139">
        <v>14036915</v>
      </c>
      <c r="M716" s="80">
        <v>0</v>
      </c>
      <c r="N716" s="81">
        <f t="shared" si="319"/>
        <v>0</v>
      </c>
      <c r="O716" s="388"/>
    </row>
    <row r="717" spans="1:15" ht="11.1" customHeight="1" outlineLevel="1" x14ac:dyDescent="0.2">
      <c r="A717" s="391"/>
      <c r="B717" s="76" t="s">
        <v>11</v>
      </c>
      <c r="C717" s="149" t="s">
        <v>92</v>
      </c>
      <c r="D717" s="392"/>
      <c r="E717" s="392"/>
      <c r="F717" s="79" t="s">
        <v>7</v>
      </c>
      <c r="G717" s="139">
        <v>90470804</v>
      </c>
      <c r="H717" s="180">
        <f>ROUNDUP(67858881+M717,0)</f>
        <v>78850889</v>
      </c>
      <c r="I717" s="81">
        <f t="shared" si="318"/>
        <v>87.156171398675752</v>
      </c>
      <c r="J717" s="139">
        <v>19438529</v>
      </c>
      <c r="K717" s="139">
        <f t="shared" si="320"/>
        <v>3173394</v>
      </c>
      <c r="L717" s="139">
        <v>22611923</v>
      </c>
      <c r="M717" s="80">
        <v>10992007.449999999</v>
      </c>
      <c r="N717" s="81">
        <f t="shared" si="319"/>
        <v>48.611555284351532</v>
      </c>
      <c r="O717" s="388"/>
    </row>
    <row r="718" spans="1:15" ht="11.1" customHeight="1" outlineLevel="1" x14ac:dyDescent="0.2">
      <c r="A718" s="118"/>
      <c r="B718" s="76" t="s">
        <v>12</v>
      </c>
      <c r="C718" s="149" t="s">
        <v>302</v>
      </c>
      <c r="D718" s="109"/>
      <c r="E718" s="109"/>
      <c r="F718" s="79" t="s">
        <v>8</v>
      </c>
      <c r="G718" s="139">
        <v>102439707</v>
      </c>
      <c r="H718" s="180">
        <f>ROUNDUP(59548627+M718,0)</f>
        <v>69592116</v>
      </c>
      <c r="I718" s="81">
        <f t="shared" si="318"/>
        <v>67.934708169362494</v>
      </c>
      <c r="J718" s="139">
        <v>35074083</v>
      </c>
      <c r="K718" s="139">
        <f t="shared" si="320"/>
        <v>7816997</v>
      </c>
      <c r="L718" s="139">
        <v>42891080</v>
      </c>
      <c r="M718" s="80">
        <v>10043488.720000001</v>
      </c>
      <c r="N718" s="81">
        <f t="shared" si="319"/>
        <v>23.416264454054318</v>
      </c>
      <c r="O718" s="388"/>
    </row>
    <row r="719" spans="1:15" ht="11.1" customHeight="1" outlineLevel="1" x14ac:dyDescent="0.2">
      <c r="A719" s="118"/>
      <c r="B719" s="76"/>
      <c r="C719" s="149" t="s">
        <v>548</v>
      </c>
      <c r="D719" s="109"/>
      <c r="E719" s="109"/>
      <c r="F719" s="79" t="s">
        <v>22</v>
      </c>
      <c r="G719" s="139">
        <v>0</v>
      </c>
      <c r="H719" s="245">
        <f>ROUNDUP(0+M719,0)</f>
        <v>0</v>
      </c>
      <c r="I719" s="81" t="str">
        <f t="shared" si="318"/>
        <v>-</v>
      </c>
      <c r="J719" s="139">
        <v>0</v>
      </c>
      <c r="K719" s="139">
        <f t="shared" si="320"/>
        <v>0</v>
      </c>
      <c r="L719" s="139">
        <v>0</v>
      </c>
      <c r="M719" s="80">
        <v>0</v>
      </c>
      <c r="N719" s="81" t="str">
        <f t="shared" si="319"/>
        <v>-</v>
      </c>
      <c r="O719" s="388"/>
    </row>
    <row r="720" spans="1:15" ht="11.1" customHeight="1" outlineLevel="1" x14ac:dyDescent="0.2">
      <c r="A720" s="118"/>
      <c r="B720" s="76"/>
      <c r="C720" s="149" t="s">
        <v>549</v>
      </c>
      <c r="D720" s="109"/>
      <c r="E720" s="109"/>
      <c r="F720" s="79" t="s">
        <v>45</v>
      </c>
      <c r="G720" s="139">
        <v>5134300</v>
      </c>
      <c r="H720" s="245">
        <f>ROUNDUP(685600+M720,0)</f>
        <v>2272828</v>
      </c>
      <c r="I720" s="81">
        <f t="shared" si="318"/>
        <v>44.267534035798455</v>
      </c>
      <c r="J720" s="139">
        <v>4365000</v>
      </c>
      <c r="K720" s="139">
        <f t="shared" si="320"/>
        <v>83700</v>
      </c>
      <c r="L720" s="139">
        <v>4448700</v>
      </c>
      <c r="M720" s="80">
        <v>1587227.34</v>
      </c>
      <c r="N720" s="81">
        <f t="shared" si="319"/>
        <v>35.67845303122261</v>
      </c>
      <c r="O720" s="388"/>
    </row>
    <row r="721" spans="1:15" ht="11.1" customHeight="1" outlineLevel="1" x14ac:dyDescent="0.2">
      <c r="A721" s="118"/>
      <c r="B721" s="76" t="s">
        <v>23</v>
      </c>
      <c r="C721" s="149" t="s">
        <v>138</v>
      </c>
      <c r="D721" s="109"/>
      <c r="E721" s="109"/>
      <c r="F721" s="79" t="s">
        <v>365</v>
      </c>
      <c r="G721" s="140">
        <v>0</v>
      </c>
      <c r="H721" s="364">
        <f>ROUNDUP(0+M721,0)</f>
        <v>0</v>
      </c>
      <c r="I721" s="81" t="str">
        <f t="shared" si="318"/>
        <v>-</v>
      </c>
      <c r="J721" s="139">
        <v>0</v>
      </c>
      <c r="K721" s="139">
        <f t="shared" si="320"/>
        <v>0</v>
      </c>
      <c r="L721" s="139">
        <v>0</v>
      </c>
      <c r="M721" s="80">
        <v>0</v>
      </c>
      <c r="N721" s="81" t="str">
        <f t="shared" si="319"/>
        <v>-</v>
      </c>
      <c r="O721" s="388"/>
    </row>
    <row r="722" spans="1:15" ht="3.95" customHeight="1" outlineLevel="1" x14ac:dyDescent="0.2">
      <c r="A722" s="119"/>
      <c r="B722" s="85"/>
      <c r="C722" s="367"/>
      <c r="D722" s="84"/>
      <c r="E722" s="84"/>
      <c r="F722" s="85"/>
      <c r="G722" s="141"/>
      <c r="H722" s="141"/>
      <c r="I722" s="85"/>
      <c r="J722" s="141"/>
      <c r="K722" s="141"/>
      <c r="L722" s="142"/>
      <c r="M722" s="87"/>
      <c r="N722" s="88"/>
      <c r="O722" s="327"/>
    </row>
    <row r="723" spans="1:15" ht="3.95" customHeight="1" outlineLevel="1" x14ac:dyDescent="0.2">
      <c r="A723" s="153"/>
      <c r="B723" s="72"/>
      <c r="C723" s="352"/>
      <c r="D723" s="71"/>
      <c r="E723" s="71"/>
      <c r="F723" s="72"/>
      <c r="G723" s="136"/>
      <c r="H723" s="136"/>
      <c r="I723" s="75"/>
      <c r="J723" s="136"/>
      <c r="K723" s="136"/>
      <c r="L723" s="137"/>
      <c r="M723" s="74"/>
      <c r="N723" s="75"/>
      <c r="O723" s="326"/>
    </row>
    <row r="724" spans="1:15" ht="11.1" customHeight="1" outlineLevel="1" x14ac:dyDescent="0.2">
      <c r="A724" s="391" t="s">
        <v>514</v>
      </c>
      <c r="B724" s="76" t="s">
        <v>9</v>
      </c>
      <c r="C724" s="357" t="s">
        <v>86</v>
      </c>
      <c r="D724" s="392" t="s">
        <v>147</v>
      </c>
      <c r="E724" s="392" t="s">
        <v>141</v>
      </c>
      <c r="F724" s="78" t="s">
        <v>28</v>
      </c>
      <c r="G724" s="243">
        <f>SUM(G725:G730)</f>
        <v>52692011</v>
      </c>
      <c r="H724" s="138">
        <f>SUM(H725:H730)</f>
        <v>41688883</v>
      </c>
      <c r="I724" s="39">
        <f t="shared" ref="I724:I730" si="321">IF(G724&gt;0,H724/G724*100,"-")</f>
        <v>79.118033661687349</v>
      </c>
      <c r="J724" s="138">
        <f>SUM(J725:J730)</f>
        <v>10959148</v>
      </c>
      <c r="K724" s="138">
        <f>SUM(K725:K730)</f>
        <v>3199676</v>
      </c>
      <c r="L724" s="243">
        <f>SUM(L725:L730)</f>
        <v>14158824</v>
      </c>
      <c r="M724" s="38">
        <f>SUM(M725:M730)</f>
        <v>4305693.74</v>
      </c>
      <c r="N724" s="39">
        <f t="shared" ref="N724:N730" si="322">IF(L724&gt;0,M724/L724*100,"-")</f>
        <v>30.409967240217128</v>
      </c>
      <c r="O724" s="388" t="s">
        <v>485</v>
      </c>
    </row>
    <row r="725" spans="1:15" ht="11.1" customHeight="1" outlineLevel="1" x14ac:dyDescent="0.2">
      <c r="A725" s="391"/>
      <c r="B725" s="76" t="s">
        <v>10</v>
      </c>
      <c r="C725" s="357" t="s">
        <v>143</v>
      </c>
      <c r="D725" s="392"/>
      <c r="E725" s="392"/>
      <c r="F725" s="79" t="s">
        <v>15</v>
      </c>
      <c r="G725" s="139">
        <v>946476</v>
      </c>
      <c r="H725" s="139">
        <f>ROUNDUP(396476+M725,0)</f>
        <v>396476</v>
      </c>
      <c r="I725" s="81">
        <f t="shared" si="321"/>
        <v>41.889704546126893</v>
      </c>
      <c r="J725" s="139">
        <v>0</v>
      </c>
      <c r="K725" s="139">
        <f t="shared" ref="K725:K730" si="323">L725-J725</f>
        <v>0</v>
      </c>
      <c r="L725" s="180">
        <v>0</v>
      </c>
      <c r="M725" s="80">
        <v>0</v>
      </c>
      <c r="N725" s="81" t="str">
        <f t="shared" si="322"/>
        <v>-</v>
      </c>
      <c r="O725" s="388"/>
    </row>
    <row r="726" spans="1:15" ht="11.1" customHeight="1" outlineLevel="1" x14ac:dyDescent="0.2">
      <c r="A726" s="391"/>
      <c r="B726" s="76" t="s">
        <v>11</v>
      </c>
      <c r="C726" s="149" t="s">
        <v>144</v>
      </c>
      <c r="D726" s="392"/>
      <c r="E726" s="392"/>
      <c r="F726" s="79" t="s">
        <v>7</v>
      </c>
      <c r="G726" s="139">
        <v>28622307</v>
      </c>
      <c r="H726" s="139">
        <f>ROUNDUP(20317270+M726,0)</f>
        <v>22592204</v>
      </c>
      <c r="I726" s="81">
        <f t="shared" si="321"/>
        <v>78.932155957938676</v>
      </c>
      <c r="J726" s="139">
        <v>6113305</v>
      </c>
      <c r="K726" s="139">
        <f t="shared" si="323"/>
        <v>1591732</v>
      </c>
      <c r="L726" s="180">
        <v>7705037</v>
      </c>
      <c r="M726" s="80">
        <v>2274933.11</v>
      </c>
      <c r="N726" s="81">
        <f t="shared" si="322"/>
        <v>29.52527171511311</v>
      </c>
      <c r="O726" s="388"/>
    </row>
    <row r="727" spans="1:15" ht="11.1" customHeight="1" outlineLevel="1" x14ac:dyDescent="0.2">
      <c r="A727" s="118"/>
      <c r="B727" s="76"/>
      <c r="C727" s="149" t="s">
        <v>145</v>
      </c>
      <c r="D727" s="109"/>
      <c r="E727" s="109"/>
      <c r="F727" s="79" t="s">
        <v>8</v>
      </c>
      <c r="G727" s="139">
        <v>21787711</v>
      </c>
      <c r="H727" s="139">
        <f>ROUNDUP(16511432+M727,0)</f>
        <v>18052674</v>
      </c>
      <c r="I727" s="81">
        <f t="shared" si="321"/>
        <v>82.857139054212709</v>
      </c>
      <c r="J727" s="139">
        <v>4373843</v>
      </c>
      <c r="K727" s="139">
        <f t="shared" si="323"/>
        <v>902436</v>
      </c>
      <c r="L727" s="180">
        <v>5276279</v>
      </c>
      <c r="M727" s="80">
        <v>1541241.29</v>
      </c>
      <c r="N727" s="81">
        <f t="shared" si="322"/>
        <v>29.210761788753022</v>
      </c>
      <c r="O727" s="388"/>
    </row>
    <row r="728" spans="1:15" ht="11.1" customHeight="1" outlineLevel="1" x14ac:dyDescent="0.2">
      <c r="A728" s="118"/>
      <c r="B728" s="76" t="s">
        <v>12</v>
      </c>
      <c r="C728" s="149" t="s">
        <v>216</v>
      </c>
      <c r="D728" s="109"/>
      <c r="E728" s="109"/>
      <c r="F728" s="79" t="s">
        <v>22</v>
      </c>
      <c r="G728" s="139">
        <v>0</v>
      </c>
      <c r="H728" s="245">
        <f>ROUNDUP(0+M728,0)</f>
        <v>0</v>
      </c>
      <c r="I728" s="81" t="str">
        <f t="shared" si="321"/>
        <v>-</v>
      </c>
      <c r="J728" s="139">
        <v>0</v>
      </c>
      <c r="K728" s="139">
        <f t="shared" si="323"/>
        <v>0</v>
      </c>
      <c r="L728" s="180">
        <v>0</v>
      </c>
      <c r="M728" s="80">
        <v>0</v>
      </c>
      <c r="N728" s="81" t="str">
        <f t="shared" si="322"/>
        <v>-</v>
      </c>
      <c r="O728" s="388"/>
    </row>
    <row r="729" spans="1:15" ht="11.1" customHeight="1" outlineLevel="1" x14ac:dyDescent="0.2">
      <c r="A729" s="118"/>
      <c r="B729" s="76"/>
      <c r="C729" s="149" t="s">
        <v>217</v>
      </c>
      <c r="D729" s="109"/>
      <c r="E729" s="109"/>
      <c r="F729" s="79" t="s">
        <v>45</v>
      </c>
      <c r="G729" s="139">
        <v>1335517</v>
      </c>
      <c r="H729" s="245">
        <f>ROUNDUP(158009+M729,0)</f>
        <v>647529</v>
      </c>
      <c r="I729" s="81">
        <f t="shared" si="321"/>
        <v>48.485268251920417</v>
      </c>
      <c r="J729" s="139">
        <v>472000</v>
      </c>
      <c r="K729" s="139">
        <f t="shared" si="323"/>
        <v>705508</v>
      </c>
      <c r="L729" s="180">
        <v>1177508</v>
      </c>
      <c r="M729" s="80">
        <v>489519.34</v>
      </c>
      <c r="N729" s="81">
        <f t="shared" si="322"/>
        <v>41.572485282477913</v>
      </c>
      <c r="O729" s="388"/>
    </row>
    <row r="730" spans="1:15" ht="11.1" customHeight="1" outlineLevel="1" x14ac:dyDescent="0.2">
      <c r="A730" s="118"/>
      <c r="B730" s="76" t="s">
        <v>23</v>
      </c>
      <c r="C730" s="149" t="s">
        <v>137</v>
      </c>
      <c r="D730" s="109"/>
      <c r="E730" s="109"/>
      <c r="F730" s="79" t="s">
        <v>365</v>
      </c>
      <c r="G730" s="140">
        <v>0</v>
      </c>
      <c r="H730" s="140">
        <f>ROUNDUP(0+M730,0)</f>
        <v>0</v>
      </c>
      <c r="I730" s="81" t="str">
        <f t="shared" si="321"/>
        <v>-</v>
      </c>
      <c r="J730" s="139">
        <v>0</v>
      </c>
      <c r="K730" s="139">
        <f t="shared" si="323"/>
        <v>0</v>
      </c>
      <c r="L730" s="139">
        <v>0</v>
      </c>
      <c r="M730" s="80">
        <v>0</v>
      </c>
      <c r="N730" s="81" t="str">
        <f t="shared" si="322"/>
        <v>-</v>
      </c>
      <c r="O730" s="388"/>
    </row>
    <row r="731" spans="1:15" ht="3.95" customHeight="1" outlineLevel="1" x14ac:dyDescent="0.2">
      <c r="A731" s="119"/>
      <c r="B731" s="85"/>
      <c r="C731" s="367"/>
      <c r="D731" s="84"/>
      <c r="E731" s="84"/>
      <c r="F731" s="85"/>
      <c r="G731" s="141"/>
      <c r="H731" s="141"/>
      <c r="I731" s="85"/>
      <c r="J731" s="141"/>
      <c r="K731" s="141"/>
      <c r="L731" s="142"/>
      <c r="M731" s="87"/>
      <c r="N731" s="88"/>
      <c r="O731" s="327"/>
    </row>
    <row r="732" spans="1:15" ht="3.95" customHeight="1" outlineLevel="1" x14ac:dyDescent="0.2">
      <c r="A732" s="153"/>
      <c r="B732" s="72"/>
      <c r="C732" s="352"/>
      <c r="D732" s="71"/>
      <c r="E732" s="71"/>
      <c r="F732" s="72"/>
      <c r="G732" s="136"/>
      <c r="H732" s="136"/>
      <c r="I732" s="75"/>
      <c r="J732" s="136"/>
      <c r="K732" s="136"/>
      <c r="L732" s="137"/>
      <c r="M732" s="74"/>
      <c r="N732" s="75"/>
      <c r="O732" s="326"/>
    </row>
    <row r="733" spans="1:15" ht="11.1" customHeight="1" outlineLevel="1" x14ac:dyDescent="0.2">
      <c r="A733" s="391" t="s">
        <v>515</v>
      </c>
      <c r="B733" s="76" t="s">
        <v>9</v>
      </c>
      <c r="C733" s="357" t="s">
        <v>86</v>
      </c>
      <c r="D733" s="392" t="s">
        <v>338</v>
      </c>
      <c r="E733" s="392" t="s">
        <v>141</v>
      </c>
      <c r="F733" s="78" t="s">
        <v>28</v>
      </c>
      <c r="G733" s="138">
        <f>SUM(G734:G739)</f>
        <v>42726232</v>
      </c>
      <c r="H733" s="138">
        <f>SUM(H734:H739)</f>
        <v>37121745</v>
      </c>
      <c r="I733" s="39">
        <f t="shared" ref="I733:I739" si="324">IF(G733&gt;0,H733/G733*100,"-")</f>
        <v>86.882796030316925</v>
      </c>
      <c r="J733" s="138">
        <f>SUM(J734:J739)</f>
        <v>2654883</v>
      </c>
      <c r="K733" s="138">
        <f>SUM(K734:K739)</f>
        <v>6728665</v>
      </c>
      <c r="L733" s="138">
        <f>SUM(L734:L739)</f>
        <v>9383548</v>
      </c>
      <c r="M733" s="38">
        <f>SUM(M734:M739)</f>
        <v>3779059.6</v>
      </c>
      <c r="N733" s="39">
        <f t="shared" ref="N733:N739" si="325">IF(L733&gt;0,M733/L733*100,"-")</f>
        <v>40.273248455701406</v>
      </c>
      <c r="O733" s="388" t="s">
        <v>486</v>
      </c>
    </row>
    <row r="734" spans="1:15" ht="11.1" customHeight="1" outlineLevel="1" x14ac:dyDescent="0.2">
      <c r="A734" s="391"/>
      <c r="B734" s="76" t="s">
        <v>10</v>
      </c>
      <c r="C734" s="357" t="s">
        <v>143</v>
      </c>
      <c r="D734" s="392"/>
      <c r="E734" s="392"/>
      <c r="F734" s="79" t="s">
        <v>15</v>
      </c>
      <c r="G734" s="139">
        <v>723550</v>
      </c>
      <c r="H734" s="139">
        <f>ROUNDUP(723550+M734,0)</f>
        <v>723550</v>
      </c>
      <c r="I734" s="81">
        <f t="shared" si="324"/>
        <v>100</v>
      </c>
      <c r="J734" s="139">
        <v>0</v>
      </c>
      <c r="K734" s="139">
        <f t="shared" ref="K734:K739" si="326">L734-J734</f>
        <v>0</v>
      </c>
      <c r="L734" s="139">
        <v>0</v>
      </c>
      <c r="M734" s="80">
        <v>0</v>
      </c>
      <c r="N734" s="81" t="str">
        <f t="shared" si="325"/>
        <v>-</v>
      </c>
      <c r="O734" s="388"/>
    </row>
    <row r="735" spans="1:15" ht="11.1" customHeight="1" outlineLevel="1" x14ac:dyDescent="0.2">
      <c r="A735" s="391"/>
      <c r="B735" s="76" t="s">
        <v>11</v>
      </c>
      <c r="C735" s="149" t="s">
        <v>144</v>
      </c>
      <c r="D735" s="392"/>
      <c r="E735" s="392"/>
      <c r="F735" s="79" t="s">
        <v>7</v>
      </c>
      <c r="G735" s="139">
        <v>24471164</v>
      </c>
      <c r="H735" s="180">
        <f>ROUNDUP(19062985+M735,0)</f>
        <v>21200355</v>
      </c>
      <c r="I735" s="81">
        <f t="shared" si="324"/>
        <v>86.63402770705963</v>
      </c>
      <c r="J735" s="139">
        <v>1985698</v>
      </c>
      <c r="K735" s="139">
        <f t="shared" si="326"/>
        <v>3422481</v>
      </c>
      <c r="L735" s="139">
        <v>5408179</v>
      </c>
      <c r="M735" s="80">
        <v>2137369.77</v>
      </c>
      <c r="N735" s="81">
        <f t="shared" si="325"/>
        <v>39.52106189532558</v>
      </c>
      <c r="O735" s="388"/>
    </row>
    <row r="736" spans="1:15" ht="11.1" customHeight="1" outlineLevel="1" x14ac:dyDescent="0.2">
      <c r="A736" s="118"/>
      <c r="B736" s="76"/>
      <c r="C736" s="149" t="s">
        <v>145</v>
      </c>
      <c r="D736" s="109"/>
      <c r="E736" s="109"/>
      <c r="F736" s="79" t="s">
        <v>8</v>
      </c>
      <c r="G736" s="139">
        <v>16940050</v>
      </c>
      <c r="H736" s="180">
        <f>ROUNDUP(13279425+M736,0)</f>
        <v>14757441</v>
      </c>
      <c r="I736" s="81">
        <f t="shared" si="324"/>
        <v>87.115687379907385</v>
      </c>
      <c r="J736" s="139">
        <v>461144</v>
      </c>
      <c r="K736" s="139">
        <f t="shared" si="326"/>
        <v>3199481</v>
      </c>
      <c r="L736" s="139">
        <v>3660625</v>
      </c>
      <c r="M736" s="80">
        <v>1478015.52</v>
      </c>
      <c r="N736" s="81">
        <f t="shared" si="325"/>
        <v>40.376042888850947</v>
      </c>
      <c r="O736" s="388"/>
    </row>
    <row r="737" spans="1:15" ht="11.1" customHeight="1" outlineLevel="1" x14ac:dyDescent="0.2">
      <c r="A737" s="118"/>
      <c r="B737" s="76" t="s">
        <v>12</v>
      </c>
      <c r="C737" s="149" t="s">
        <v>218</v>
      </c>
      <c r="D737" s="109"/>
      <c r="E737" s="109"/>
      <c r="F737" s="79" t="s">
        <v>22</v>
      </c>
      <c r="G737" s="139">
        <v>0</v>
      </c>
      <c r="H737" s="245">
        <f>ROUNDUP(0+M737,0)</f>
        <v>0</v>
      </c>
      <c r="I737" s="81" t="str">
        <f t="shared" si="324"/>
        <v>-</v>
      </c>
      <c r="J737" s="139">
        <v>0</v>
      </c>
      <c r="K737" s="139">
        <f t="shared" si="326"/>
        <v>0</v>
      </c>
      <c r="L737" s="139">
        <v>0</v>
      </c>
      <c r="M737" s="80">
        <v>0</v>
      </c>
      <c r="N737" s="81" t="str">
        <f t="shared" si="325"/>
        <v>-</v>
      </c>
      <c r="O737" s="388"/>
    </row>
    <row r="738" spans="1:15" ht="11.1" customHeight="1" outlineLevel="1" x14ac:dyDescent="0.2">
      <c r="A738" s="118"/>
      <c r="B738" s="76"/>
      <c r="C738" s="149" t="s">
        <v>146</v>
      </c>
      <c r="D738" s="109"/>
      <c r="E738" s="109"/>
      <c r="F738" s="79" t="s">
        <v>45</v>
      </c>
      <c r="G738" s="139">
        <v>591468</v>
      </c>
      <c r="H738" s="245">
        <f>ROUNDUP(276724+M738,0)</f>
        <v>440399</v>
      </c>
      <c r="I738" s="81">
        <f t="shared" si="324"/>
        <v>74.458635124808097</v>
      </c>
      <c r="J738" s="139">
        <v>208041</v>
      </c>
      <c r="K738" s="139">
        <f t="shared" si="326"/>
        <v>106703</v>
      </c>
      <c r="L738" s="139">
        <v>314744</v>
      </c>
      <c r="M738" s="80">
        <v>163674.31</v>
      </c>
      <c r="N738" s="81">
        <f t="shared" si="325"/>
        <v>52.002360648654147</v>
      </c>
      <c r="O738" s="388"/>
    </row>
    <row r="739" spans="1:15" ht="11.1" customHeight="1" outlineLevel="1" x14ac:dyDescent="0.2">
      <c r="A739" s="118"/>
      <c r="B739" s="76"/>
      <c r="C739" s="149" t="s">
        <v>219</v>
      </c>
      <c r="D739" s="109"/>
      <c r="E739" s="109"/>
      <c r="F739" s="79" t="s">
        <v>365</v>
      </c>
      <c r="G739" s="140">
        <v>0</v>
      </c>
      <c r="H739" s="364">
        <f>ROUNDUP(0+M739,0)</f>
        <v>0</v>
      </c>
      <c r="I739" s="81" t="str">
        <f t="shared" si="324"/>
        <v>-</v>
      </c>
      <c r="J739" s="139">
        <v>0</v>
      </c>
      <c r="K739" s="139">
        <f t="shared" si="326"/>
        <v>0</v>
      </c>
      <c r="L739" s="139">
        <v>0</v>
      </c>
      <c r="M739" s="80">
        <v>0</v>
      </c>
      <c r="N739" s="81" t="str">
        <f t="shared" si="325"/>
        <v>-</v>
      </c>
      <c r="O739" s="388"/>
    </row>
    <row r="740" spans="1:15" ht="11.1" customHeight="1" outlineLevel="1" x14ac:dyDescent="0.2">
      <c r="A740" s="118"/>
      <c r="B740" s="76" t="s">
        <v>23</v>
      </c>
      <c r="C740" s="149" t="s">
        <v>137</v>
      </c>
      <c r="D740" s="109"/>
      <c r="E740" s="109"/>
      <c r="F740" s="106"/>
      <c r="G740" s="140"/>
      <c r="H740" s="140"/>
      <c r="I740" s="150"/>
      <c r="J740" s="140"/>
      <c r="K740" s="140"/>
      <c r="L740" s="139"/>
      <c r="M740" s="89"/>
      <c r="N740" s="81"/>
      <c r="O740" s="333"/>
    </row>
    <row r="741" spans="1:15" ht="3.95" customHeight="1" outlineLevel="1" x14ac:dyDescent="0.2">
      <c r="A741" s="119"/>
      <c r="B741" s="85"/>
      <c r="C741" s="367"/>
      <c r="D741" s="84"/>
      <c r="E741" s="84"/>
      <c r="F741" s="85"/>
      <c r="G741" s="141"/>
      <c r="H741" s="141"/>
      <c r="I741" s="85"/>
      <c r="J741" s="141"/>
      <c r="K741" s="141"/>
      <c r="L741" s="142"/>
      <c r="M741" s="87"/>
      <c r="N741" s="88"/>
      <c r="O741" s="327"/>
    </row>
    <row r="742" spans="1:15" ht="3.95" customHeight="1" outlineLevel="1" x14ac:dyDescent="0.2">
      <c r="A742" s="153"/>
      <c r="B742" s="72"/>
      <c r="C742" s="352"/>
      <c r="D742" s="71"/>
      <c r="E742" s="71"/>
      <c r="F742" s="72"/>
      <c r="G742" s="136"/>
      <c r="H742" s="136"/>
      <c r="I742" s="75"/>
      <c r="J742" s="136"/>
      <c r="K742" s="136"/>
      <c r="L742" s="137"/>
      <c r="M742" s="74"/>
      <c r="N742" s="75"/>
      <c r="O742" s="326"/>
    </row>
    <row r="743" spans="1:15" ht="11.1" customHeight="1" outlineLevel="1" x14ac:dyDescent="0.2">
      <c r="A743" s="391" t="s">
        <v>516</v>
      </c>
      <c r="B743" s="76" t="s">
        <v>9</v>
      </c>
      <c r="C743" s="149" t="s">
        <v>86</v>
      </c>
      <c r="D743" s="392" t="s">
        <v>305</v>
      </c>
      <c r="E743" s="392" t="s">
        <v>141</v>
      </c>
      <c r="F743" s="78" t="s">
        <v>28</v>
      </c>
      <c r="G743" s="138">
        <f>SUM(G744:G749)</f>
        <v>28560371</v>
      </c>
      <c r="H743" s="138">
        <f>SUM(H744:H749)</f>
        <v>581569</v>
      </c>
      <c r="I743" s="39">
        <f t="shared" ref="I743:I749" si="327">IF(G743&gt;0,H743/G743*100,"-")</f>
        <v>2.0362795707380692</v>
      </c>
      <c r="J743" s="138">
        <f>SUM(J744:J749)</f>
        <v>14083951</v>
      </c>
      <c r="K743" s="138">
        <f>SUM(K744:K749)</f>
        <v>248182</v>
      </c>
      <c r="L743" s="138">
        <f>SUM(L744:L749)</f>
        <v>14332133</v>
      </c>
      <c r="M743" s="38">
        <f>SUM(M744:M749)</f>
        <v>121535.12</v>
      </c>
      <c r="N743" s="39">
        <f t="shared" ref="N743:N749" si="328">IF(L743&gt;0,M743/L743*100,"-")</f>
        <v>0.84799045613098889</v>
      </c>
      <c r="O743" s="388" t="s">
        <v>487</v>
      </c>
    </row>
    <row r="744" spans="1:15" ht="11.1" customHeight="1" outlineLevel="1" x14ac:dyDescent="0.2">
      <c r="A744" s="391"/>
      <c r="B744" s="76" t="s">
        <v>10</v>
      </c>
      <c r="C744" s="149" t="s">
        <v>102</v>
      </c>
      <c r="D744" s="392"/>
      <c r="E744" s="392"/>
      <c r="F744" s="79" t="s">
        <v>15</v>
      </c>
      <c r="G744" s="139">
        <v>11793893</v>
      </c>
      <c r="H744" s="139">
        <f>ROUNDUP(50811+M744,0)</f>
        <v>50811</v>
      </c>
      <c r="I744" s="81">
        <f t="shared" si="327"/>
        <v>0.43082466493464028</v>
      </c>
      <c r="J744" s="139">
        <v>323878</v>
      </c>
      <c r="K744" s="139">
        <f t="shared" ref="K744:K749" si="329">L744-J744</f>
        <v>0</v>
      </c>
      <c r="L744" s="139">
        <v>323878</v>
      </c>
      <c r="M744" s="80">
        <v>0</v>
      </c>
      <c r="N744" s="81">
        <f t="shared" si="328"/>
        <v>0</v>
      </c>
      <c r="O744" s="388"/>
    </row>
    <row r="745" spans="1:15" ht="11.1" customHeight="1" outlineLevel="1" x14ac:dyDescent="0.2">
      <c r="A745" s="391"/>
      <c r="B745" s="76"/>
      <c r="C745" s="149" t="s">
        <v>103</v>
      </c>
      <c r="D745" s="392"/>
      <c r="E745" s="392"/>
      <c r="F745" s="79" t="s">
        <v>7</v>
      </c>
      <c r="G745" s="139">
        <v>9902632</v>
      </c>
      <c r="H745" s="139">
        <f>ROUNDUP(144870+M745,0)</f>
        <v>167948</v>
      </c>
      <c r="I745" s="81">
        <f t="shared" si="327"/>
        <v>1.6959935499976166</v>
      </c>
      <c r="J745" s="139">
        <v>7362238</v>
      </c>
      <c r="K745" s="139">
        <f t="shared" si="329"/>
        <v>46521</v>
      </c>
      <c r="L745" s="139">
        <v>7408759</v>
      </c>
      <c r="M745" s="80">
        <v>23077.26</v>
      </c>
      <c r="N745" s="81">
        <f t="shared" si="328"/>
        <v>0.31148617467513784</v>
      </c>
      <c r="O745" s="388"/>
    </row>
    <row r="746" spans="1:15" ht="11.1" customHeight="1" outlineLevel="1" x14ac:dyDescent="0.2">
      <c r="A746" s="118"/>
      <c r="B746" s="76" t="s">
        <v>11</v>
      </c>
      <c r="C746" s="149" t="s">
        <v>151</v>
      </c>
      <c r="D746" s="109"/>
      <c r="E746" s="109"/>
      <c r="F746" s="79" t="s">
        <v>8</v>
      </c>
      <c r="G746" s="139">
        <v>3456015</v>
      </c>
      <c r="H746" s="139">
        <f>ROUNDUP(200280+M746,0)</f>
        <v>234078</v>
      </c>
      <c r="I746" s="81">
        <f t="shared" si="327"/>
        <v>6.7730608808121495</v>
      </c>
      <c r="J746" s="139">
        <v>3242124</v>
      </c>
      <c r="K746" s="139">
        <f t="shared" si="329"/>
        <v>13611</v>
      </c>
      <c r="L746" s="139">
        <v>3255735</v>
      </c>
      <c r="M746" s="80">
        <v>33797.5</v>
      </c>
      <c r="N746" s="81">
        <f t="shared" si="328"/>
        <v>1.0380912451412661</v>
      </c>
      <c r="O746" s="388"/>
    </row>
    <row r="747" spans="1:15" ht="11.1" customHeight="1" outlineLevel="1" x14ac:dyDescent="0.2">
      <c r="A747" s="118"/>
      <c r="B747" s="76"/>
      <c r="C747" s="149" t="s">
        <v>104</v>
      </c>
      <c r="D747" s="109"/>
      <c r="E747" s="109"/>
      <c r="F747" s="79" t="s">
        <v>22</v>
      </c>
      <c r="G747" s="139">
        <v>2886031</v>
      </c>
      <c r="H747" s="245">
        <f>ROUNDUP(9320+M747,0)</f>
        <v>11426</v>
      </c>
      <c r="I747" s="81">
        <f t="shared" si="327"/>
        <v>0.39590704327153792</v>
      </c>
      <c r="J747" s="139">
        <v>2876711</v>
      </c>
      <c r="K747" s="139">
        <f t="shared" si="329"/>
        <v>0</v>
      </c>
      <c r="L747" s="139">
        <v>2876711</v>
      </c>
      <c r="M747" s="80">
        <v>2105.27</v>
      </c>
      <c r="N747" s="81">
        <f t="shared" si="328"/>
        <v>7.3183229041777223E-2</v>
      </c>
      <c r="O747" s="388"/>
    </row>
    <row r="748" spans="1:15" ht="11.1" customHeight="1" outlineLevel="1" x14ac:dyDescent="0.2">
      <c r="A748" s="118"/>
      <c r="B748" s="76" t="s">
        <v>12</v>
      </c>
      <c r="C748" s="149" t="s">
        <v>220</v>
      </c>
      <c r="D748" s="109"/>
      <c r="E748" s="109"/>
      <c r="F748" s="79" t="s">
        <v>45</v>
      </c>
      <c r="G748" s="139">
        <v>521800</v>
      </c>
      <c r="H748" s="245">
        <f>ROUNDUP(54750+M748,0)</f>
        <v>117306</v>
      </c>
      <c r="I748" s="81">
        <f t="shared" si="327"/>
        <v>22.481027213491757</v>
      </c>
      <c r="J748" s="139">
        <v>279000</v>
      </c>
      <c r="K748" s="139">
        <f t="shared" si="329"/>
        <v>188050</v>
      </c>
      <c r="L748" s="139">
        <v>467050</v>
      </c>
      <c r="M748" s="80">
        <v>62555.09</v>
      </c>
      <c r="N748" s="81">
        <f t="shared" si="328"/>
        <v>13.393660207686542</v>
      </c>
      <c r="O748" s="388"/>
    </row>
    <row r="749" spans="1:15" ht="11.1" customHeight="1" outlineLevel="1" x14ac:dyDescent="0.2">
      <c r="A749" s="118"/>
      <c r="B749" s="76"/>
      <c r="C749" s="149" t="s">
        <v>148</v>
      </c>
      <c r="D749" s="109"/>
      <c r="E749" s="109"/>
      <c r="F749" s="79" t="s">
        <v>365</v>
      </c>
      <c r="G749" s="140">
        <v>0</v>
      </c>
      <c r="H749" s="140">
        <f>ROUNDUP(0+M749,0)</f>
        <v>0</v>
      </c>
      <c r="I749" s="81" t="str">
        <f t="shared" si="327"/>
        <v>-</v>
      </c>
      <c r="J749" s="139">
        <v>0</v>
      </c>
      <c r="K749" s="139">
        <f t="shared" si="329"/>
        <v>0</v>
      </c>
      <c r="L749" s="139">
        <v>0</v>
      </c>
      <c r="M749" s="80">
        <v>0</v>
      </c>
      <c r="N749" s="81" t="str">
        <f t="shared" si="328"/>
        <v>-</v>
      </c>
      <c r="O749" s="388"/>
    </row>
    <row r="750" spans="1:15" ht="11.1" customHeight="1" outlineLevel="1" x14ac:dyDescent="0.2">
      <c r="A750" s="118"/>
      <c r="B750" s="76" t="s">
        <v>23</v>
      </c>
      <c r="C750" s="149" t="s">
        <v>149</v>
      </c>
      <c r="D750" s="109"/>
      <c r="E750" s="109"/>
      <c r="F750" s="106"/>
      <c r="G750" s="140"/>
      <c r="H750" s="140"/>
      <c r="I750" s="150"/>
      <c r="J750" s="140"/>
      <c r="K750" s="140"/>
      <c r="L750" s="139"/>
      <c r="M750" s="89"/>
      <c r="N750" s="81"/>
      <c r="O750" s="389"/>
    </row>
    <row r="751" spans="1:15" ht="11.1" customHeight="1" outlineLevel="1" x14ac:dyDescent="0.2">
      <c r="A751" s="118"/>
      <c r="B751" s="96"/>
      <c r="C751" s="96"/>
      <c r="D751" s="109"/>
      <c r="E751" s="109"/>
      <c r="F751" s="106"/>
      <c r="G751" s="140"/>
      <c r="H751" s="140"/>
      <c r="I751" s="150"/>
      <c r="J751" s="140"/>
      <c r="K751" s="140"/>
      <c r="L751" s="139"/>
      <c r="M751" s="89"/>
      <c r="N751" s="81"/>
      <c r="O751" s="389"/>
    </row>
    <row r="752" spans="1:15" ht="3.95" customHeight="1" outlineLevel="1" x14ac:dyDescent="0.2">
      <c r="A752" s="119"/>
      <c r="B752" s="85"/>
      <c r="C752" s="367"/>
      <c r="D752" s="84"/>
      <c r="E752" s="84"/>
      <c r="F752" s="85"/>
      <c r="G752" s="141"/>
      <c r="H752" s="141"/>
      <c r="I752" s="85"/>
      <c r="J752" s="141"/>
      <c r="K752" s="141"/>
      <c r="L752" s="142"/>
      <c r="M752" s="87"/>
      <c r="N752" s="88"/>
      <c r="O752" s="390"/>
    </row>
    <row r="753" spans="1:15" ht="3.95" customHeight="1" outlineLevel="1" x14ac:dyDescent="0.2">
      <c r="A753" s="153"/>
      <c r="B753" s="72"/>
      <c r="C753" s="352"/>
      <c r="D753" s="71"/>
      <c r="E753" s="71"/>
      <c r="F753" s="72"/>
      <c r="G753" s="136"/>
      <c r="H753" s="136"/>
      <c r="I753" s="75"/>
      <c r="J753" s="136"/>
      <c r="K753" s="136"/>
      <c r="L753" s="137"/>
      <c r="M753" s="74"/>
      <c r="N753" s="75"/>
      <c r="O753" s="326"/>
    </row>
    <row r="754" spans="1:15" ht="11.1" customHeight="1" outlineLevel="1" x14ac:dyDescent="0.2">
      <c r="A754" s="391" t="s">
        <v>517</v>
      </c>
      <c r="B754" s="76" t="s">
        <v>9</v>
      </c>
      <c r="C754" s="149" t="s">
        <v>86</v>
      </c>
      <c r="D754" s="392" t="s">
        <v>305</v>
      </c>
      <c r="E754" s="392" t="s">
        <v>141</v>
      </c>
      <c r="F754" s="78" t="s">
        <v>28</v>
      </c>
      <c r="G754" s="138">
        <f>SUM(G755:G760)</f>
        <v>11607757</v>
      </c>
      <c r="H754" s="243">
        <f>SUM(H755:H760)</f>
        <v>967897</v>
      </c>
      <c r="I754" s="39">
        <f t="shared" ref="I754:I760" si="330">IF(G754&gt;0,H754/G754*100,"-")</f>
        <v>8.3383637338376388</v>
      </c>
      <c r="J754" s="138">
        <f>SUM(J755:J760)</f>
        <v>10683283</v>
      </c>
      <c r="K754" s="138">
        <f>SUM(K755:K760)</f>
        <v>57698</v>
      </c>
      <c r="L754" s="138">
        <f>SUM(L755:L760)</f>
        <v>10740981</v>
      </c>
      <c r="M754" s="38">
        <f>SUM(M755:M760)</f>
        <v>601119.37999999989</v>
      </c>
      <c r="N754" s="39">
        <f t="shared" ref="N754:N760" si="331">IF(L754&gt;0,M754/L754*100,"-")</f>
        <v>5.5965035223505186</v>
      </c>
      <c r="O754" s="388" t="s">
        <v>488</v>
      </c>
    </row>
    <row r="755" spans="1:15" ht="11.1" customHeight="1" outlineLevel="1" x14ac:dyDescent="0.2">
      <c r="A755" s="391"/>
      <c r="B755" s="76" t="s">
        <v>10</v>
      </c>
      <c r="C755" s="149" t="s">
        <v>102</v>
      </c>
      <c r="D755" s="392"/>
      <c r="E755" s="392"/>
      <c r="F755" s="79" t="s">
        <v>15</v>
      </c>
      <c r="G755" s="139">
        <v>2690888</v>
      </c>
      <c r="H755" s="139">
        <f>ROUNDUP(227045+M755,0)</f>
        <v>356609</v>
      </c>
      <c r="I755" s="81">
        <f t="shared" si="330"/>
        <v>13.252465357160908</v>
      </c>
      <c r="J755" s="139">
        <v>2376414</v>
      </c>
      <c r="K755" s="139">
        <f t="shared" ref="K755:K760" si="332">L755-J755</f>
        <v>12429</v>
      </c>
      <c r="L755" s="139">
        <v>2388843</v>
      </c>
      <c r="M755" s="80">
        <v>129563.12</v>
      </c>
      <c r="N755" s="81">
        <f t="shared" si="331"/>
        <v>5.4236766501607674</v>
      </c>
      <c r="O755" s="388"/>
    </row>
    <row r="756" spans="1:15" ht="11.1" customHeight="1" outlineLevel="1" x14ac:dyDescent="0.2">
      <c r="A756" s="391"/>
      <c r="B756" s="76"/>
      <c r="C756" s="149" t="s">
        <v>103</v>
      </c>
      <c r="D756" s="392"/>
      <c r="E756" s="392"/>
      <c r="F756" s="79" t="s">
        <v>7</v>
      </c>
      <c r="G756" s="139">
        <v>8615369</v>
      </c>
      <c r="H756" s="245">
        <f>ROUNDUP(102244+M756,0)</f>
        <v>503954</v>
      </c>
      <c r="I756" s="81">
        <f t="shared" si="330"/>
        <v>5.849476673605043</v>
      </c>
      <c r="J756" s="139">
        <v>8106869</v>
      </c>
      <c r="K756" s="139">
        <f t="shared" si="332"/>
        <v>-18744</v>
      </c>
      <c r="L756" s="139">
        <v>8088125</v>
      </c>
      <c r="M756" s="80">
        <v>401709.81</v>
      </c>
      <c r="N756" s="81">
        <f t="shared" si="331"/>
        <v>4.9666617417510235</v>
      </c>
      <c r="O756" s="388"/>
    </row>
    <row r="757" spans="1:15" ht="11.1" customHeight="1" outlineLevel="1" x14ac:dyDescent="0.2">
      <c r="A757" s="118"/>
      <c r="B757" s="76" t="s">
        <v>11</v>
      </c>
      <c r="C757" s="149" t="s">
        <v>151</v>
      </c>
      <c r="D757" s="109"/>
      <c r="E757" s="109"/>
      <c r="F757" s="79" t="s">
        <v>8</v>
      </c>
      <c r="G757" s="139">
        <v>0</v>
      </c>
      <c r="H757" s="245">
        <f>ROUNDUP(0+M757,0)</f>
        <v>0</v>
      </c>
      <c r="I757" s="81" t="str">
        <f t="shared" si="330"/>
        <v>-</v>
      </c>
      <c r="J757" s="139">
        <v>0</v>
      </c>
      <c r="K757" s="139">
        <f t="shared" si="332"/>
        <v>0</v>
      </c>
      <c r="L757" s="139">
        <v>0</v>
      </c>
      <c r="M757" s="80">
        <v>0</v>
      </c>
      <c r="N757" s="81" t="str">
        <f t="shared" si="331"/>
        <v>-</v>
      </c>
      <c r="O757" s="388"/>
    </row>
    <row r="758" spans="1:15" ht="11.1" customHeight="1" outlineLevel="1" x14ac:dyDescent="0.2">
      <c r="A758" s="118"/>
      <c r="B758" s="76"/>
      <c r="C758" s="149" t="s">
        <v>104</v>
      </c>
      <c r="D758" s="109"/>
      <c r="E758" s="109"/>
      <c r="F758" s="79" t="s">
        <v>22</v>
      </c>
      <c r="G758" s="139">
        <v>0</v>
      </c>
      <c r="H758" s="245">
        <f>ROUNDUP(0+M758,0)</f>
        <v>0</v>
      </c>
      <c r="I758" s="81" t="str">
        <f t="shared" si="330"/>
        <v>-</v>
      </c>
      <c r="J758" s="139">
        <v>0</v>
      </c>
      <c r="K758" s="139">
        <f t="shared" si="332"/>
        <v>0</v>
      </c>
      <c r="L758" s="139">
        <v>0</v>
      </c>
      <c r="M758" s="80">
        <v>0</v>
      </c>
      <c r="N758" s="81" t="str">
        <f t="shared" si="331"/>
        <v>-</v>
      </c>
      <c r="O758" s="388"/>
    </row>
    <row r="759" spans="1:15" ht="11.1" customHeight="1" outlineLevel="1" x14ac:dyDescent="0.2">
      <c r="A759" s="118"/>
      <c r="B759" s="76" t="s">
        <v>12</v>
      </c>
      <c r="C759" s="149" t="s">
        <v>221</v>
      </c>
      <c r="D759" s="109"/>
      <c r="E759" s="109"/>
      <c r="F759" s="79" t="s">
        <v>45</v>
      </c>
      <c r="G759" s="139">
        <v>301500</v>
      </c>
      <c r="H759" s="245">
        <f>ROUNDUP(37487+M759,0)</f>
        <v>107334</v>
      </c>
      <c r="I759" s="81">
        <f t="shared" si="330"/>
        <v>35.6</v>
      </c>
      <c r="J759" s="139">
        <v>200000</v>
      </c>
      <c r="K759" s="139">
        <f t="shared" si="332"/>
        <v>64013</v>
      </c>
      <c r="L759" s="139">
        <v>264013</v>
      </c>
      <c r="M759" s="80">
        <v>69846.45</v>
      </c>
      <c r="N759" s="81">
        <f t="shared" si="331"/>
        <v>26.455685894255204</v>
      </c>
      <c r="O759" s="388"/>
    </row>
    <row r="760" spans="1:15" ht="11.1" customHeight="1" outlineLevel="1" x14ac:dyDescent="0.2">
      <c r="A760" s="118"/>
      <c r="B760" s="76"/>
      <c r="C760" s="149" t="s">
        <v>150</v>
      </c>
      <c r="D760" s="109"/>
      <c r="E760" s="109"/>
      <c r="F760" s="79" t="s">
        <v>365</v>
      </c>
      <c r="G760" s="139">
        <v>0</v>
      </c>
      <c r="H760" s="245">
        <f>ROUNDUP(0+M760,0)</f>
        <v>0</v>
      </c>
      <c r="I760" s="81" t="str">
        <f t="shared" si="330"/>
        <v>-</v>
      </c>
      <c r="J760" s="139">
        <v>0</v>
      </c>
      <c r="K760" s="139">
        <f t="shared" si="332"/>
        <v>0</v>
      </c>
      <c r="L760" s="139">
        <v>0</v>
      </c>
      <c r="M760" s="80">
        <v>0</v>
      </c>
      <c r="N760" s="81" t="str">
        <f t="shared" si="331"/>
        <v>-</v>
      </c>
      <c r="O760" s="388"/>
    </row>
    <row r="761" spans="1:15" ht="11.1" customHeight="1" outlineLevel="1" x14ac:dyDescent="0.2">
      <c r="A761" s="118"/>
      <c r="B761" s="76"/>
      <c r="C761" s="149" t="s">
        <v>222</v>
      </c>
      <c r="D761" s="109"/>
      <c r="E761" s="109"/>
      <c r="F761" s="106"/>
      <c r="G761" s="140"/>
      <c r="H761" s="140"/>
      <c r="I761" s="150"/>
      <c r="J761" s="140"/>
      <c r="K761" s="140"/>
      <c r="L761" s="139"/>
      <c r="M761" s="89"/>
      <c r="N761" s="81"/>
      <c r="O761" s="389"/>
    </row>
    <row r="762" spans="1:15" ht="11.1" customHeight="1" outlineLevel="1" x14ac:dyDescent="0.2">
      <c r="A762" s="118"/>
      <c r="B762" s="76" t="s">
        <v>23</v>
      </c>
      <c r="C762" s="149" t="s">
        <v>149</v>
      </c>
      <c r="D762" s="109"/>
      <c r="E762" s="109"/>
      <c r="F762" s="106"/>
      <c r="G762" s="140"/>
      <c r="H762" s="140"/>
      <c r="I762" s="150"/>
      <c r="J762" s="140"/>
      <c r="K762" s="140"/>
      <c r="L762" s="139"/>
      <c r="M762" s="89"/>
      <c r="N762" s="81"/>
      <c r="O762" s="389"/>
    </row>
    <row r="763" spans="1:15" ht="3.95" customHeight="1" outlineLevel="1" x14ac:dyDescent="0.2">
      <c r="A763" s="119"/>
      <c r="B763" s="85"/>
      <c r="C763" s="86"/>
      <c r="D763" s="84"/>
      <c r="E763" s="84"/>
      <c r="F763" s="85"/>
      <c r="G763" s="141"/>
      <c r="H763" s="141"/>
      <c r="I763" s="85"/>
      <c r="J763" s="141"/>
      <c r="K763" s="141"/>
      <c r="L763" s="142"/>
      <c r="M763" s="87"/>
      <c r="N763" s="88"/>
      <c r="O763" s="390"/>
    </row>
    <row r="764" spans="1:15" ht="3.95" customHeight="1" x14ac:dyDescent="0.2">
      <c r="A764" s="59"/>
      <c r="B764" s="60"/>
      <c r="C764" s="61"/>
      <c r="D764" s="62"/>
      <c r="E764" s="62"/>
      <c r="F764" s="59"/>
      <c r="G764" s="132"/>
      <c r="H764" s="132"/>
      <c r="I764" s="59"/>
      <c r="J764" s="132"/>
      <c r="K764" s="132"/>
      <c r="L764" s="132"/>
      <c r="M764" s="63"/>
      <c r="N764" s="64"/>
      <c r="O764" s="323"/>
    </row>
    <row r="765" spans="1:15" ht="11.45" customHeight="1" x14ac:dyDescent="0.2">
      <c r="A765" s="28" t="s">
        <v>76</v>
      </c>
      <c r="B765" s="411" t="s">
        <v>466</v>
      </c>
      <c r="C765" s="394"/>
      <c r="D765" s="29"/>
      <c r="E765" s="29"/>
      <c r="F765" s="30"/>
      <c r="G765" s="133">
        <f>SUM(G766:G771)</f>
        <v>7912034</v>
      </c>
      <c r="H765" s="133">
        <f>SUM(H766:H771)</f>
        <v>1756876</v>
      </c>
      <c r="I765" s="32">
        <f>IF(G765&gt;0,H765/G765*100,"-")</f>
        <v>22.205111858720525</v>
      </c>
      <c r="J765" s="133">
        <f>SUM(J766:J771)</f>
        <v>6116131</v>
      </c>
      <c r="K765" s="133">
        <f>SUM(K766:K771)</f>
        <v>1576655</v>
      </c>
      <c r="L765" s="133">
        <f>SUM(L766:L771)</f>
        <v>7692786</v>
      </c>
      <c r="M765" s="31">
        <f>SUM(M766:M771)</f>
        <v>1601587.6600000001</v>
      </c>
      <c r="N765" s="32">
        <f t="shared" ref="N765:N771" si="333">IF(L765&gt;0,M765/L765*100,"-")</f>
        <v>20.819345033125842</v>
      </c>
      <c r="O765" s="324"/>
    </row>
    <row r="766" spans="1:15" ht="11.45" customHeight="1" x14ac:dyDescent="0.2">
      <c r="A766" s="30"/>
      <c r="B766" s="33"/>
      <c r="C766" s="34"/>
      <c r="D766" s="29"/>
      <c r="E766" s="29"/>
      <c r="F766" s="35" t="s">
        <v>15</v>
      </c>
      <c r="G766" s="134">
        <f>G775</f>
        <v>3359427</v>
      </c>
      <c r="H766" s="134">
        <f>H775</f>
        <v>644300</v>
      </c>
      <c r="I766" s="37">
        <f t="shared" ref="I766:I771" si="334">IF(G766&gt;0,H766/G766*100,"-")</f>
        <v>19.178865919694044</v>
      </c>
      <c r="J766" s="134">
        <f>J775</f>
        <v>6116131</v>
      </c>
      <c r="K766" s="134">
        <f>K775</f>
        <v>-2756704</v>
      </c>
      <c r="L766" s="134">
        <f>L775</f>
        <v>3359427</v>
      </c>
      <c r="M766" s="36">
        <f>M775</f>
        <v>644299.66</v>
      </c>
      <c r="N766" s="37">
        <f t="shared" si="333"/>
        <v>19.178855798920473</v>
      </c>
      <c r="O766" s="324"/>
    </row>
    <row r="767" spans="1:15" ht="11.45" customHeight="1" x14ac:dyDescent="0.2">
      <c r="A767" s="30"/>
      <c r="B767" s="33"/>
      <c r="C767" s="289"/>
      <c r="D767" s="29"/>
      <c r="E767" s="29"/>
      <c r="F767" s="35" t="s">
        <v>7</v>
      </c>
      <c r="G767" s="134">
        <f t="shared" ref="G767:H771" si="335">G776</f>
        <v>1876655</v>
      </c>
      <c r="H767" s="134">
        <f t="shared" si="335"/>
        <v>957288</v>
      </c>
      <c r="I767" s="37">
        <f t="shared" si="334"/>
        <v>51.010334877747908</v>
      </c>
      <c r="J767" s="134">
        <f t="shared" ref="J767:M771" si="336">J776</f>
        <v>0</v>
      </c>
      <c r="K767" s="134">
        <f t="shared" si="336"/>
        <v>1876655</v>
      </c>
      <c r="L767" s="134">
        <f t="shared" si="336"/>
        <v>1876655</v>
      </c>
      <c r="M767" s="36">
        <f t="shared" si="336"/>
        <v>957288</v>
      </c>
      <c r="N767" s="37">
        <f t="shared" si="333"/>
        <v>51.010334877747908</v>
      </c>
      <c r="O767" s="324"/>
    </row>
    <row r="768" spans="1:15" ht="11.45" customHeight="1" x14ac:dyDescent="0.2">
      <c r="A768" s="30"/>
      <c r="B768" s="33"/>
      <c r="C768" s="34"/>
      <c r="D768" s="29"/>
      <c r="E768" s="29"/>
      <c r="F768" s="35" t="s">
        <v>8</v>
      </c>
      <c r="G768" s="134">
        <f t="shared" si="335"/>
        <v>0</v>
      </c>
      <c r="H768" s="134">
        <f t="shared" si="335"/>
        <v>0</v>
      </c>
      <c r="I768" s="37" t="str">
        <f t="shared" si="334"/>
        <v>-</v>
      </c>
      <c r="J768" s="134">
        <f t="shared" si="336"/>
        <v>0</v>
      </c>
      <c r="K768" s="134">
        <f t="shared" si="336"/>
        <v>0</v>
      </c>
      <c r="L768" s="134">
        <f t="shared" si="336"/>
        <v>0</v>
      </c>
      <c r="M768" s="36">
        <f t="shared" si="336"/>
        <v>0</v>
      </c>
      <c r="N768" s="37" t="str">
        <f t="shared" si="333"/>
        <v>-</v>
      </c>
      <c r="O768" s="324"/>
    </row>
    <row r="769" spans="1:15" ht="11.45" customHeight="1" x14ac:dyDescent="0.2">
      <c r="A769" s="30"/>
      <c r="B769" s="33"/>
      <c r="C769" s="34"/>
      <c r="D769" s="29"/>
      <c r="E769" s="29"/>
      <c r="F769" s="35" t="s">
        <v>22</v>
      </c>
      <c r="G769" s="134">
        <f t="shared" si="335"/>
        <v>0</v>
      </c>
      <c r="H769" s="134">
        <f t="shared" si="335"/>
        <v>0</v>
      </c>
      <c r="I769" s="37" t="str">
        <f t="shared" si="334"/>
        <v>-</v>
      </c>
      <c r="J769" s="134">
        <f t="shared" si="336"/>
        <v>0</v>
      </c>
      <c r="K769" s="134">
        <f t="shared" si="336"/>
        <v>0</v>
      </c>
      <c r="L769" s="134">
        <f t="shared" si="336"/>
        <v>0</v>
      </c>
      <c r="M769" s="36">
        <f t="shared" si="336"/>
        <v>0</v>
      </c>
      <c r="N769" s="37" t="str">
        <f t="shared" si="333"/>
        <v>-</v>
      </c>
      <c r="O769" s="324"/>
    </row>
    <row r="770" spans="1:15" ht="11.45" customHeight="1" x14ac:dyDescent="0.2">
      <c r="A770" s="30"/>
      <c r="B770" s="33"/>
      <c r="C770" s="34"/>
      <c r="D770" s="29"/>
      <c r="E770" s="29"/>
      <c r="F770" s="35" t="s">
        <v>45</v>
      </c>
      <c r="G770" s="134">
        <f t="shared" si="335"/>
        <v>2675952</v>
      </c>
      <c r="H770" s="134">
        <f t="shared" si="335"/>
        <v>155288</v>
      </c>
      <c r="I770" s="37">
        <f t="shared" si="334"/>
        <v>5.803093627987348</v>
      </c>
      <c r="J770" s="134">
        <f t="shared" si="336"/>
        <v>0</v>
      </c>
      <c r="K770" s="134">
        <f t="shared" si="336"/>
        <v>2456704</v>
      </c>
      <c r="L770" s="134">
        <f t="shared" si="336"/>
        <v>2456704</v>
      </c>
      <c r="M770" s="36">
        <f t="shared" si="336"/>
        <v>0</v>
      </c>
      <c r="N770" s="37">
        <f t="shared" si="333"/>
        <v>0</v>
      </c>
      <c r="O770" s="324"/>
    </row>
    <row r="771" spans="1:15" ht="11.45" customHeight="1" x14ac:dyDescent="0.2">
      <c r="A771" s="30"/>
      <c r="B771" s="33"/>
      <c r="C771" s="34"/>
      <c r="D771" s="29"/>
      <c r="E771" s="29"/>
      <c r="F771" s="35" t="s">
        <v>365</v>
      </c>
      <c r="G771" s="134">
        <f t="shared" si="335"/>
        <v>0</v>
      </c>
      <c r="H771" s="134">
        <f t="shared" si="335"/>
        <v>0</v>
      </c>
      <c r="I771" s="37" t="str">
        <f t="shared" si="334"/>
        <v>-</v>
      </c>
      <c r="J771" s="134">
        <f t="shared" si="336"/>
        <v>0</v>
      </c>
      <c r="K771" s="134">
        <f t="shared" si="336"/>
        <v>0</v>
      </c>
      <c r="L771" s="134">
        <f t="shared" si="336"/>
        <v>0</v>
      </c>
      <c r="M771" s="36">
        <f t="shared" si="336"/>
        <v>0</v>
      </c>
      <c r="N771" s="37" t="str">
        <f t="shared" si="333"/>
        <v>-</v>
      </c>
      <c r="O771" s="324"/>
    </row>
    <row r="772" spans="1:15" ht="3.95" customHeight="1" x14ac:dyDescent="0.2">
      <c r="A772" s="65"/>
      <c r="B772" s="66"/>
      <c r="C772" s="67"/>
      <c r="D772" s="68"/>
      <c r="E772" s="68"/>
      <c r="F772" s="65"/>
      <c r="G772" s="135"/>
      <c r="H772" s="135"/>
      <c r="I772" s="70"/>
      <c r="J772" s="135"/>
      <c r="K772" s="135"/>
      <c r="L772" s="135"/>
      <c r="M772" s="69"/>
      <c r="N772" s="70"/>
      <c r="O772" s="325"/>
    </row>
    <row r="773" spans="1:15" s="95" customFormat="1" ht="3.95" customHeight="1" outlineLevel="1" x14ac:dyDescent="0.2">
      <c r="A773" s="153"/>
      <c r="B773" s="72"/>
      <c r="C773" s="73"/>
      <c r="D773" s="71"/>
      <c r="E773" s="71"/>
      <c r="F773" s="72"/>
      <c r="G773" s="136"/>
      <c r="H773" s="136"/>
      <c r="I773" s="75"/>
      <c r="J773" s="136"/>
      <c r="K773" s="136"/>
      <c r="L773" s="137"/>
      <c r="M773" s="74"/>
      <c r="N773" s="75"/>
      <c r="O773" s="373"/>
    </row>
    <row r="774" spans="1:15" s="95" customFormat="1" ht="11.1" customHeight="1" outlineLevel="1" x14ac:dyDescent="0.2">
      <c r="A774" s="391" t="s">
        <v>518</v>
      </c>
      <c r="B774" s="76" t="s">
        <v>9</v>
      </c>
      <c r="C774" s="77" t="s">
        <v>86</v>
      </c>
      <c r="D774" s="392" t="s">
        <v>291</v>
      </c>
      <c r="E774" s="392" t="s">
        <v>471</v>
      </c>
      <c r="F774" s="78" t="s">
        <v>28</v>
      </c>
      <c r="G774" s="138">
        <f>SUM(G775:G780)</f>
        <v>7912034</v>
      </c>
      <c r="H774" s="138">
        <f>SUM(H775:H780)</f>
        <v>1756876</v>
      </c>
      <c r="I774" s="39">
        <f t="shared" ref="I774:I780" si="337">IF(G774&gt;0,H774/G774*100,"-")</f>
        <v>22.205111858720525</v>
      </c>
      <c r="J774" s="138">
        <f>SUM(J775:J780)</f>
        <v>6116131</v>
      </c>
      <c r="K774" s="138">
        <f>SUM(K775:K780)</f>
        <v>1576655</v>
      </c>
      <c r="L774" s="138">
        <f>SUM(L775:L780)</f>
        <v>7692786</v>
      </c>
      <c r="M774" s="38">
        <f>SUM(M775:M780)</f>
        <v>1601587.6600000001</v>
      </c>
      <c r="N774" s="39">
        <f t="shared" ref="N774:N780" si="338">IF(L774&gt;0,M774/L774*100,"-")</f>
        <v>20.819345033125842</v>
      </c>
      <c r="O774" s="388" t="s">
        <v>479</v>
      </c>
    </row>
    <row r="775" spans="1:15" s="95" customFormat="1" ht="11.1" customHeight="1" outlineLevel="1" x14ac:dyDescent="0.2">
      <c r="A775" s="391"/>
      <c r="B775" s="76" t="s">
        <v>10</v>
      </c>
      <c r="C775" s="77" t="s">
        <v>102</v>
      </c>
      <c r="D775" s="392"/>
      <c r="E775" s="392"/>
      <c r="F775" s="79" t="s">
        <v>15</v>
      </c>
      <c r="G775" s="139">
        <v>3359427</v>
      </c>
      <c r="H775" s="245">
        <f>ROUNDUP(0+M775,0)</f>
        <v>644300</v>
      </c>
      <c r="I775" s="81">
        <f t="shared" si="337"/>
        <v>19.178865919694044</v>
      </c>
      <c r="J775" s="139">
        <v>6116131</v>
      </c>
      <c r="K775" s="139">
        <f>L775-J775</f>
        <v>-2756704</v>
      </c>
      <c r="L775" s="139">
        <v>3359427</v>
      </c>
      <c r="M775" s="80">
        <v>644299.66</v>
      </c>
      <c r="N775" s="81">
        <f t="shared" si="338"/>
        <v>19.178855798920473</v>
      </c>
      <c r="O775" s="388"/>
    </row>
    <row r="776" spans="1:15" s="95" customFormat="1" ht="11.1" customHeight="1" outlineLevel="1" x14ac:dyDescent="0.2">
      <c r="A776" s="391"/>
      <c r="B776" s="76"/>
      <c r="C776" s="149" t="s">
        <v>103</v>
      </c>
      <c r="D776" s="392"/>
      <c r="E776" s="392"/>
      <c r="F776" s="79" t="s">
        <v>7</v>
      </c>
      <c r="G776" s="139">
        <v>1876655</v>
      </c>
      <c r="H776" s="245">
        <f t="shared" ref="H776:H780" si="339">ROUNDUP(0+M776,0)</f>
        <v>957288</v>
      </c>
      <c r="I776" s="81">
        <f t="shared" si="337"/>
        <v>51.010334877747908</v>
      </c>
      <c r="J776" s="139">
        <v>0</v>
      </c>
      <c r="K776" s="139">
        <f>L776-J776</f>
        <v>1876655</v>
      </c>
      <c r="L776" s="139">
        <v>1876655</v>
      </c>
      <c r="M776" s="80">
        <v>957288</v>
      </c>
      <c r="N776" s="81">
        <f t="shared" si="338"/>
        <v>51.010334877747908</v>
      </c>
      <c r="O776" s="388"/>
    </row>
    <row r="777" spans="1:15" s="95" customFormat="1" ht="11.1" customHeight="1" outlineLevel="1" x14ac:dyDescent="0.2">
      <c r="A777" s="118"/>
      <c r="B777" s="76" t="s">
        <v>11</v>
      </c>
      <c r="C777" s="149" t="s">
        <v>151</v>
      </c>
      <c r="D777" s="109"/>
      <c r="E777" s="109"/>
      <c r="F777" s="79" t="s">
        <v>8</v>
      </c>
      <c r="G777" s="139">
        <v>0</v>
      </c>
      <c r="H777" s="245">
        <f t="shared" si="339"/>
        <v>0</v>
      </c>
      <c r="I777" s="81" t="str">
        <f t="shared" si="337"/>
        <v>-</v>
      </c>
      <c r="J777" s="139">
        <v>0</v>
      </c>
      <c r="K777" s="139">
        <f t="shared" ref="K777:K780" si="340">L777-J777</f>
        <v>0</v>
      </c>
      <c r="L777" s="139">
        <v>0</v>
      </c>
      <c r="M777" s="80">
        <v>0</v>
      </c>
      <c r="N777" s="81" t="str">
        <f t="shared" si="338"/>
        <v>-</v>
      </c>
      <c r="O777" s="388"/>
    </row>
    <row r="778" spans="1:15" s="95" customFormat="1" ht="11.1" customHeight="1" outlineLevel="1" x14ac:dyDescent="0.2">
      <c r="A778" s="118"/>
      <c r="B778" s="76"/>
      <c r="C778" s="149" t="s">
        <v>104</v>
      </c>
      <c r="D778" s="109"/>
      <c r="E778" s="109"/>
      <c r="F778" s="79" t="s">
        <v>22</v>
      </c>
      <c r="G778" s="139">
        <v>0</v>
      </c>
      <c r="H778" s="245">
        <f t="shared" si="339"/>
        <v>0</v>
      </c>
      <c r="I778" s="81" t="str">
        <f t="shared" si="337"/>
        <v>-</v>
      </c>
      <c r="J778" s="139">
        <v>0</v>
      </c>
      <c r="K778" s="139">
        <f t="shared" si="340"/>
        <v>0</v>
      </c>
      <c r="L778" s="139"/>
      <c r="M778" s="80">
        <v>0</v>
      </c>
      <c r="N778" s="81" t="str">
        <f t="shared" si="338"/>
        <v>-</v>
      </c>
      <c r="O778" s="388"/>
    </row>
    <row r="779" spans="1:15" s="95" customFormat="1" ht="11.1" customHeight="1" outlineLevel="1" x14ac:dyDescent="0.2">
      <c r="A779" s="118"/>
      <c r="B779" s="76" t="s">
        <v>12</v>
      </c>
      <c r="C779" s="82" t="s">
        <v>467</v>
      </c>
      <c r="D779" s="109"/>
      <c r="E779" s="109"/>
      <c r="F779" s="79" t="s">
        <v>45</v>
      </c>
      <c r="G779" s="139">
        <v>2675952</v>
      </c>
      <c r="H779" s="245">
        <f>ROUNDUP(155287.81+M779,0)</f>
        <v>155288</v>
      </c>
      <c r="I779" s="81">
        <f t="shared" si="337"/>
        <v>5.803093627987348</v>
      </c>
      <c r="J779" s="139">
        <v>0</v>
      </c>
      <c r="K779" s="139">
        <f t="shared" si="340"/>
        <v>2456704</v>
      </c>
      <c r="L779" s="139">
        <v>2456704</v>
      </c>
      <c r="M779" s="80">
        <v>0</v>
      </c>
      <c r="N779" s="81">
        <f t="shared" si="338"/>
        <v>0</v>
      </c>
      <c r="O779" s="388"/>
    </row>
    <row r="780" spans="1:15" s="95" customFormat="1" ht="11.1" customHeight="1" outlineLevel="1" x14ac:dyDescent="0.2">
      <c r="A780" s="118"/>
      <c r="B780" s="76"/>
      <c r="C780" s="82" t="s">
        <v>468</v>
      </c>
      <c r="D780" s="109"/>
      <c r="E780" s="109"/>
      <c r="F780" s="79" t="s">
        <v>365</v>
      </c>
      <c r="G780" s="139">
        <v>0</v>
      </c>
      <c r="H780" s="245">
        <f t="shared" si="339"/>
        <v>0</v>
      </c>
      <c r="I780" s="81" t="str">
        <f t="shared" si="337"/>
        <v>-</v>
      </c>
      <c r="J780" s="139">
        <v>0</v>
      </c>
      <c r="K780" s="139">
        <f t="shared" si="340"/>
        <v>0</v>
      </c>
      <c r="L780" s="139">
        <v>0</v>
      </c>
      <c r="M780" s="80">
        <v>0</v>
      </c>
      <c r="N780" s="81" t="str">
        <f t="shared" si="338"/>
        <v>-</v>
      </c>
      <c r="O780" s="388"/>
    </row>
    <row r="781" spans="1:15" s="95" customFormat="1" ht="11.1" customHeight="1" outlineLevel="1" x14ac:dyDescent="0.2">
      <c r="A781" s="118"/>
      <c r="B781" s="76"/>
      <c r="C781" s="82" t="s">
        <v>469</v>
      </c>
      <c r="D781" s="109"/>
      <c r="E781" s="109"/>
      <c r="F781" s="106"/>
      <c r="G781" s="140"/>
      <c r="H781" s="371"/>
      <c r="I781" s="81"/>
      <c r="J781" s="140"/>
      <c r="K781" s="140"/>
      <c r="L781" s="139"/>
      <c r="M781" s="107"/>
      <c r="N781" s="81"/>
      <c r="O781" s="372"/>
    </row>
    <row r="782" spans="1:15" s="95" customFormat="1" ht="11.1" customHeight="1" outlineLevel="1" x14ac:dyDescent="0.2">
      <c r="A782" s="118"/>
      <c r="B782" s="76" t="s">
        <v>23</v>
      </c>
      <c r="C782" s="82" t="s">
        <v>470</v>
      </c>
      <c r="D782" s="109"/>
      <c r="E782" s="109"/>
      <c r="F782" s="106"/>
      <c r="G782" s="140"/>
      <c r="H782" s="371"/>
      <c r="I782" s="81"/>
      <c r="J782" s="140"/>
      <c r="K782" s="140"/>
      <c r="L782" s="139"/>
      <c r="M782" s="107"/>
      <c r="N782" s="81"/>
      <c r="O782" s="372"/>
    </row>
    <row r="783" spans="1:15" s="95" customFormat="1" ht="3.95" customHeight="1" outlineLevel="1" x14ac:dyDescent="0.2">
      <c r="A783" s="119"/>
      <c r="B783" s="85"/>
      <c r="C783" s="86"/>
      <c r="D783" s="84"/>
      <c r="E783" s="84"/>
      <c r="F783" s="85"/>
      <c r="G783" s="141"/>
      <c r="H783" s="141"/>
      <c r="I783" s="88"/>
      <c r="J783" s="141"/>
      <c r="K783" s="141"/>
      <c r="L783" s="142"/>
      <c r="M783" s="87"/>
      <c r="N783" s="88"/>
      <c r="O783" s="374"/>
    </row>
    <row r="784" spans="1:15" ht="3.95" customHeight="1" x14ac:dyDescent="0.2">
      <c r="A784" s="59"/>
      <c r="B784" s="60"/>
      <c r="C784" s="61"/>
      <c r="D784" s="62"/>
      <c r="E784" s="62"/>
      <c r="F784" s="59"/>
      <c r="G784" s="132"/>
      <c r="H784" s="132"/>
      <c r="I784" s="59"/>
      <c r="J784" s="132"/>
      <c r="K784" s="132"/>
      <c r="L784" s="132"/>
      <c r="M784" s="63"/>
      <c r="N784" s="64"/>
      <c r="O784" s="323"/>
    </row>
    <row r="785" spans="1:15" ht="11.45" customHeight="1" x14ac:dyDescent="0.2">
      <c r="A785" s="28" t="s">
        <v>77</v>
      </c>
      <c r="B785" s="411" t="s">
        <v>152</v>
      </c>
      <c r="C785" s="394"/>
      <c r="D785" s="29"/>
      <c r="E785" s="29"/>
      <c r="F785" s="30"/>
      <c r="G785" s="133">
        <f>SUM(G786:G791)</f>
        <v>23922375</v>
      </c>
      <c r="H785" s="133">
        <f>SUM(H786:H791)</f>
        <v>5093061</v>
      </c>
      <c r="I785" s="32">
        <f>IF(G785&gt;0,H785/G785*100,"-")</f>
        <v>21.28994717288731</v>
      </c>
      <c r="J785" s="133">
        <f>SUM(J786:J791)</f>
        <v>8671500</v>
      </c>
      <c r="K785" s="133">
        <f>SUM(K786:K791)</f>
        <v>32875</v>
      </c>
      <c r="L785" s="133">
        <f>SUM(L786:L791)</f>
        <v>8704375</v>
      </c>
      <c r="M785" s="31">
        <f>SUM(M786:M791)</f>
        <v>5093061</v>
      </c>
      <c r="N785" s="32">
        <f t="shared" ref="N785:N791" si="341">IF(L785&gt;0,M785/L785*100,"-")</f>
        <v>58.511507144395779</v>
      </c>
      <c r="O785" s="324"/>
    </row>
    <row r="786" spans="1:15" ht="11.45" customHeight="1" x14ac:dyDescent="0.2">
      <c r="A786" s="30"/>
      <c r="B786" s="33"/>
      <c r="C786" s="34"/>
      <c r="D786" s="29"/>
      <c r="E786" s="29"/>
      <c r="F786" s="35" t="s">
        <v>15</v>
      </c>
      <c r="G786" s="134">
        <f>G795+G805+G816+G825</f>
        <v>8505700</v>
      </c>
      <c r="H786" s="134">
        <f>H795+H805+H816+H825</f>
        <v>5030700</v>
      </c>
      <c r="I786" s="37">
        <f t="shared" ref="I786:I791" si="342">IF(G786&gt;0,H786/G786*100,"-")</f>
        <v>59.145043911729779</v>
      </c>
      <c r="J786" s="134">
        <f>J795+J805+J816+J825</f>
        <v>6132700</v>
      </c>
      <c r="K786" s="134">
        <f>K795+K805+K816+K825</f>
        <v>-435000</v>
      </c>
      <c r="L786" s="134">
        <f>L795+L805+L816+L825</f>
        <v>5697700</v>
      </c>
      <c r="M786" s="36">
        <f>M795+M805+M816+M825</f>
        <v>5030700</v>
      </c>
      <c r="N786" s="37">
        <f t="shared" si="341"/>
        <v>88.293521947452476</v>
      </c>
      <c r="O786" s="324"/>
    </row>
    <row r="787" spans="1:15" ht="11.45" customHeight="1" x14ac:dyDescent="0.2">
      <c r="A787" s="30"/>
      <c r="B787" s="33"/>
      <c r="C787" s="289"/>
      <c r="D787" s="29"/>
      <c r="E787" s="29"/>
      <c r="F787" s="35" t="s">
        <v>7</v>
      </c>
      <c r="G787" s="134">
        <f t="shared" ref="G787:H791" si="343">G796+G806+G817+G826</f>
        <v>15300000</v>
      </c>
      <c r="H787" s="134">
        <f t="shared" si="343"/>
        <v>0</v>
      </c>
      <c r="I787" s="37">
        <f t="shared" si="342"/>
        <v>0</v>
      </c>
      <c r="J787" s="134">
        <f t="shared" ref="J787:M791" si="344">J796+J806+J817+J826</f>
        <v>2465000</v>
      </c>
      <c r="K787" s="134">
        <f t="shared" si="344"/>
        <v>435000</v>
      </c>
      <c r="L787" s="134">
        <f t="shared" si="344"/>
        <v>2900000</v>
      </c>
      <c r="M787" s="36">
        <f t="shared" si="344"/>
        <v>0</v>
      </c>
      <c r="N787" s="37">
        <f t="shared" si="341"/>
        <v>0</v>
      </c>
      <c r="O787" s="324"/>
    </row>
    <row r="788" spans="1:15" ht="11.45" customHeight="1" x14ac:dyDescent="0.2">
      <c r="A788" s="30"/>
      <c r="B788" s="33"/>
      <c r="C788" s="34"/>
      <c r="D788" s="29"/>
      <c r="E788" s="29"/>
      <c r="F788" s="35" t="s">
        <v>8</v>
      </c>
      <c r="G788" s="134">
        <f t="shared" si="343"/>
        <v>0</v>
      </c>
      <c r="H788" s="134">
        <f t="shared" si="343"/>
        <v>0</v>
      </c>
      <c r="I788" s="37" t="str">
        <f t="shared" si="342"/>
        <v>-</v>
      </c>
      <c r="J788" s="134">
        <f t="shared" si="344"/>
        <v>0</v>
      </c>
      <c r="K788" s="134">
        <f t="shared" si="344"/>
        <v>0</v>
      </c>
      <c r="L788" s="134">
        <f t="shared" si="344"/>
        <v>0</v>
      </c>
      <c r="M788" s="36">
        <f t="shared" si="344"/>
        <v>0</v>
      </c>
      <c r="N788" s="37" t="str">
        <f t="shared" si="341"/>
        <v>-</v>
      </c>
      <c r="O788" s="324"/>
    </row>
    <row r="789" spans="1:15" ht="11.45" customHeight="1" x14ac:dyDescent="0.2">
      <c r="A789" s="30"/>
      <c r="B789" s="33"/>
      <c r="C789" s="34"/>
      <c r="D789" s="29"/>
      <c r="E789" s="29"/>
      <c r="F789" s="35" t="s">
        <v>22</v>
      </c>
      <c r="G789" s="134">
        <f t="shared" si="343"/>
        <v>0</v>
      </c>
      <c r="H789" s="134">
        <f t="shared" si="343"/>
        <v>0</v>
      </c>
      <c r="I789" s="37" t="str">
        <f t="shared" si="342"/>
        <v>-</v>
      </c>
      <c r="J789" s="134">
        <f t="shared" si="344"/>
        <v>0</v>
      </c>
      <c r="K789" s="134">
        <f t="shared" si="344"/>
        <v>0</v>
      </c>
      <c r="L789" s="134">
        <f t="shared" si="344"/>
        <v>0</v>
      </c>
      <c r="M789" s="36">
        <f t="shared" si="344"/>
        <v>0</v>
      </c>
      <c r="N789" s="37" t="str">
        <f t="shared" si="341"/>
        <v>-</v>
      </c>
      <c r="O789" s="324"/>
    </row>
    <row r="790" spans="1:15" ht="11.45" customHeight="1" x14ac:dyDescent="0.2">
      <c r="A790" s="30"/>
      <c r="B790" s="33"/>
      <c r="C790" s="34"/>
      <c r="D790" s="29"/>
      <c r="E790" s="29"/>
      <c r="F790" s="35" t="s">
        <v>45</v>
      </c>
      <c r="G790" s="134">
        <f t="shared" si="343"/>
        <v>116675</v>
      </c>
      <c r="H790" s="134">
        <f t="shared" si="343"/>
        <v>62361</v>
      </c>
      <c r="I790" s="37">
        <f t="shared" si="342"/>
        <v>53.448467966573823</v>
      </c>
      <c r="J790" s="134">
        <f t="shared" si="344"/>
        <v>73800</v>
      </c>
      <c r="K790" s="134">
        <f t="shared" si="344"/>
        <v>32875</v>
      </c>
      <c r="L790" s="134">
        <f t="shared" si="344"/>
        <v>106675</v>
      </c>
      <c r="M790" s="36">
        <f t="shared" si="344"/>
        <v>62361</v>
      </c>
      <c r="N790" s="37">
        <f t="shared" si="341"/>
        <v>58.458870400749937</v>
      </c>
      <c r="O790" s="324"/>
    </row>
    <row r="791" spans="1:15" ht="11.45" customHeight="1" x14ac:dyDescent="0.2">
      <c r="A791" s="30"/>
      <c r="B791" s="33"/>
      <c r="C791" s="34"/>
      <c r="D791" s="29"/>
      <c r="E791" s="29"/>
      <c r="F791" s="35" t="s">
        <v>365</v>
      </c>
      <c r="G791" s="134">
        <f t="shared" si="343"/>
        <v>0</v>
      </c>
      <c r="H791" s="134">
        <f t="shared" si="343"/>
        <v>0</v>
      </c>
      <c r="I791" s="37" t="str">
        <f t="shared" si="342"/>
        <v>-</v>
      </c>
      <c r="J791" s="134">
        <f t="shared" si="344"/>
        <v>0</v>
      </c>
      <c r="K791" s="134">
        <f t="shared" si="344"/>
        <v>0</v>
      </c>
      <c r="L791" s="134">
        <f t="shared" si="344"/>
        <v>0</v>
      </c>
      <c r="M791" s="36">
        <f t="shared" si="344"/>
        <v>0</v>
      </c>
      <c r="N791" s="37" t="str">
        <f t="shared" si="341"/>
        <v>-</v>
      </c>
      <c r="O791" s="324"/>
    </row>
    <row r="792" spans="1:15" ht="3.95" customHeight="1" x14ac:dyDescent="0.2">
      <c r="A792" s="65"/>
      <c r="B792" s="66"/>
      <c r="C792" s="67"/>
      <c r="D792" s="68"/>
      <c r="E792" s="68"/>
      <c r="F792" s="65"/>
      <c r="G792" s="135"/>
      <c r="H792" s="135"/>
      <c r="I792" s="70"/>
      <c r="J792" s="135"/>
      <c r="K792" s="135"/>
      <c r="L792" s="135"/>
      <c r="M792" s="69"/>
      <c r="N792" s="70"/>
      <c r="O792" s="325"/>
    </row>
    <row r="793" spans="1:15" s="95" customFormat="1" ht="3.95" customHeight="1" outlineLevel="1" x14ac:dyDescent="0.2">
      <c r="A793" s="153"/>
      <c r="B793" s="72"/>
      <c r="C793" s="73"/>
      <c r="D793" s="71"/>
      <c r="E793" s="71"/>
      <c r="F793" s="72"/>
      <c r="G793" s="136"/>
      <c r="H793" s="136"/>
      <c r="I793" s="75"/>
      <c r="J793" s="136"/>
      <c r="K793" s="136"/>
      <c r="L793" s="137"/>
      <c r="M793" s="74"/>
      <c r="N793" s="75"/>
      <c r="O793" s="326"/>
    </row>
    <row r="794" spans="1:15" s="95" customFormat="1" ht="11.1" customHeight="1" outlineLevel="1" x14ac:dyDescent="0.2">
      <c r="A794" s="391" t="s">
        <v>519</v>
      </c>
      <c r="B794" s="76" t="s">
        <v>9</v>
      </c>
      <c r="C794" s="77" t="s">
        <v>428</v>
      </c>
      <c r="D794" s="392" t="s">
        <v>389</v>
      </c>
      <c r="E794" s="392" t="s">
        <v>141</v>
      </c>
      <c r="F794" s="78" t="s">
        <v>28</v>
      </c>
      <c r="G794" s="138">
        <f>SUM(G795:G800)</f>
        <v>3572000</v>
      </c>
      <c r="H794" s="138">
        <f>SUM(H795:H800)</f>
        <v>0</v>
      </c>
      <c r="I794" s="39">
        <f t="shared" ref="I794:I800" si="345">IF(G794&gt;0,H794/G794*100,"-")</f>
        <v>0</v>
      </c>
      <c r="J794" s="138">
        <f>SUM(J795:J800)</f>
        <v>615000</v>
      </c>
      <c r="K794" s="138">
        <f>SUM(K795:K800)</f>
        <v>2952000</v>
      </c>
      <c r="L794" s="138">
        <f>SUM(L795:L800)</f>
        <v>3567000</v>
      </c>
      <c r="M794" s="38">
        <f>SUM(M795:M800)</f>
        <v>0</v>
      </c>
      <c r="N794" s="39">
        <f t="shared" ref="N794:N800" si="346">IF(L794&gt;0,M794/L794*100,"-")</f>
        <v>0</v>
      </c>
      <c r="O794" s="388" t="s">
        <v>554</v>
      </c>
    </row>
    <row r="795" spans="1:15" s="95" customFormat="1" ht="11.1" customHeight="1" outlineLevel="1" x14ac:dyDescent="0.2">
      <c r="A795" s="391"/>
      <c r="B795" s="76" t="s">
        <v>10</v>
      </c>
      <c r="C795" s="77" t="s">
        <v>91</v>
      </c>
      <c r="D795" s="392"/>
      <c r="E795" s="392"/>
      <c r="F795" s="79" t="s">
        <v>15</v>
      </c>
      <c r="G795" s="139">
        <v>667000</v>
      </c>
      <c r="H795" s="245">
        <f t="shared" ref="H795:H800" si="347">ROUNDUP(0+M795,0)</f>
        <v>0</v>
      </c>
      <c r="I795" s="81">
        <f t="shared" si="345"/>
        <v>0</v>
      </c>
      <c r="J795" s="139">
        <v>190000</v>
      </c>
      <c r="K795" s="139">
        <f t="shared" ref="K795:K800" si="348">L795-J795</f>
        <v>477000</v>
      </c>
      <c r="L795" s="139">
        <v>667000</v>
      </c>
      <c r="M795" s="80">
        <v>0</v>
      </c>
      <c r="N795" s="81">
        <f t="shared" si="346"/>
        <v>0</v>
      </c>
      <c r="O795" s="388"/>
    </row>
    <row r="796" spans="1:15" s="95" customFormat="1" ht="11.1" customHeight="1" outlineLevel="1" x14ac:dyDescent="0.2">
      <c r="A796" s="391"/>
      <c r="B796" s="76" t="s">
        <v>11</v>
      </c>
      <c r="C796" s="82" t="s">
        <v>92</v>
      </c>
      <c r="D796" s="392"/>
      <c r="E796" s="392"/>
      <c r="F796" s="79" t="s">
        <v>7</v>
      </c>
      <c r="G796" s="139">
        <v>2900000</v>
      </c>
      <c r="H796" s="245">
        <f t="shared" si="347"/>
        <v>0</v>
      </c>
      <c r="I796" s="81">
        <f t="shared" si="345"/>
        <v>0</v>
      </c>
      <c r="J796" s="139">
        <v>425000</v>
      </c>
      <c r="K796" s="139">
        <f t="shared" si="348"/>
        <v>2475000</v>
      </c>
      <c r="L796" s="139">
        <v>2900000</v>
      </c>
      <c r="M796" s="80">
        <v>0</v>
      </c>
      <c r="N796" s="81">
        <f t="shared" si="346"/>
        <v>0</v>
      </c>
      <c r="O796" s="388"/>
    </row>
    <row r="797" spans="1:15" s="95" customFormat="1" ht="11.1" customHeight="1" outlineLevel="1" x14ac:dyDescent="0.2">
      <c r="A797" s="118"/>
      <c r="B797" s="76" t="s">
        <v>12</v>
      </c>
      <c r="C797" s="82" t="s">
        <v>205</v>
      </c>
      <c r="D797" s="109"/>
      <c r="E797" s="109"/>
      <c r="F797" s="79" t="s">
        <v>8</v>
      </c>
      <c r="G797" s="139">
        <v>0</v>
      </c>
      <c r="H797" s="245">
        <f t="shared" si="347"/>
        <v>0</v>
      </c>
      <c r="I797" s="81" t="str">
        <f t="shared" si="345"/>
        <v>-</v>
      </c>
      <c r="J797" s="139">
        <v>0</v>
      </c>
      <c r="K797" s="139">
        <f t="shared" si="348"/>
        <v>0</v>
      </c>
      <c r="L797" s="139">
        <v>0</v>
      </c>
      <c r="M797" s="80">
        <v>0</v>
      </c>
      <c r="N797" s="81" t="str">
        <f t="shared" si="346"/>
        <v>-</v>
      </c>
      <c r="O797" s="388"/>
    </row>
    <row r="798" spans="1:15" s="95" customFormat="1" ht="11.1" customHeight="1" outlineLevel="1" x14ac:dyDescent="0.2">
      <c r="A798" s="118"/>
      <c r="B798" s="76"/>
      <c r="C798" s="82" t="s">
        <v>432</v>
      </c>
      <c r="D798" s="109"/>
      <c r="E798" s="109"/>
      <c r="F798" s="79" t="s">
        <v>22</v>
      </c>
      <c r="G798" s="139">
        <v>0</v>
      </c>
      <c r="H798" s="245">
        <f t="shared" si="347"/>
        <v>0</v>
      </c>
      <c r="I798" s="81" t="str">
        <f t="shared" si="345"/>
        <v>-</v>
      </c>
      <c r="J798" s="139">
        <v>0</v>
      </c>
      <c r="K798" s="139">
        <f t="shared" si="348"/>
        <v>0</v>
      </c>
      <c r="L798" s="139">
        <v>0</v>
      </c>
      <c r="M798" s="80">
        <v>0</v>
      </c>
      <c r="N798" s="81" t="str">
        <f t="shared" si="346"/>
        <v>-</v>
      </c>
      <c r="O798" s="388"/>
    </row>
    <row r="799" spans="1:15" s="95" customFormat="1" ht="11.1" customHeight="1" outlineLevel="1" x14ac:dyDescent="0.2">
      <c r="A799" s="118"/>
      <c r="B799" s="76"/>
      <c r="C799" s="82" t="s">
        <v>433</v>
      </c>
      <c r="D799" s="109"/>
      <c r="E799" s="109"/>
      <c r="F799" s="79" t="s">
        <v>45</v>
      </c>
      <c r="G799" s="139">
        <v>5000</v>
      </c>
      <c r="H799" s="245">
        <f t="shared" si="347"/>
        <v>0</v>
      </c>
      <c r="I799" s="81">
        <f t="shared" si="345"/>
        <v>0</v>
      </c>
      <c r="J799" s="139">
        <v>0</v>
      </c>
      <c r="K799" s="139">
        <f t="shared" si="348"/>
        <v>0</v>
      </c>
      <c r="L799" s="139">
        <v>0</v>
      </c>
      <c r="M799" s="80">
        <v>0</v>
      </c>
      <c r="N799" s="81" t="str">
        <f t="shared" si="346"/>
        <v>-</v>
      </c>
      <c r="O799" s="388"/>
    </row>
    <row r="800" spans="1:15" s="95" customFormat="1" ht="11.1" customHeight="1" outlineLevel="1" x14ac:dyDescent="0.2">
      <c r="A800" s="118"/>
      <c r="B800" s="76"/>
      <c r="C800" s="82" t="s">
        <v>434</v>
      </c>
      <c r="D800" s="109"/>
      <c r="E800" s="109"/>
      <c r="F800" s="79" t="s">
        <v>365</v>
      </c>
      <c r="G800" s="139">
        <v>0</v>
      </c>
      <c r="H800" s="245">
        <f t="shared" si="347"/>
        <v>0</v>
      </c>
      <c r="I800" s="81" t="str">
        <f t="shared" si="345"/>
        <v>-</v>
      </c>
      <c r="J800" s="139">
        <v>0</v>
      </c>
      <c r="K800" s="139">
        <f t="shared" si="348"/>
        <v>0</v>
      </c>
      <c r="L800" s="139">
        <v>0</v>
      </c>
      <c r="M800" s="80">
        <v>0</v>
      </c>
      <c r="N800" s="81" t="str">
        <f t="shared" si="346"/>
        <v>-</v>
      </c>
      <c r="O800" s="388"/>
    </row>
    <row r="801" spans="1:15" s="95" customFormat="1" ht="11.1" customHeight="1" outlineLevel="1" x14ac:dyDescent="0.2">
      <c r="A801" s="118"/>
      <c r="B801" s="76" t="s">
        <v>23</v>
      </c>
      <c r="C801" s="82" t="s">
        <v>435</v>
      </c>
      <c r="D801" s="109"/>
      <c r="E801" s="109"/>
      <c r="F801" s="106"/>
      <c r="G801" s="140"/>
      <c r="H801" s="371"/>
      <c r="I801" s="81"/>
      <c r="J801" s="140"/>
      <c r="K801" s="140"/>
      <c r="L801" s="139"/>
      <c r="M801" s="107"/>
      <c r="N801" s="81"/>
      <c r="O801" s="385"/>
    </row>
    <row r="802" spans="1:15" s="95" customFormat="1" ht="3.95" customHeight="1" outlineLevel="1" x14ac:dyDescent="0.2">
      <c r="A802" s="119"/>
      <c r="B802" s="85"/>
      <c r="C802" s="86"/>
      <c r="D802" s="84"/>
      <c r="E802" s="84"/>
      <c r="F802" s="85"/>
      <c r="G802" s="141"/>
      <c r="H802" s="141"/>
      <c r="I802" s="88"/>
      <c r="J802" s="141"/>
      <c r="K802" s="141"/>
      <c r="L802" s="142"/>
      <c r="M802" s="87"/>
      <c r="N802" s="88"/>
      <c r="O802" s="387"/>
    </row>
    <row r="803" spans="1:15" s="95" customFormat="1" ht="3.95" customHeight="1" outlineLevel="1" x14ac:dyDescent="0.2">
      <c r="A803" s="153"/>
      <c r="B803" s="72"/>
      <c r="C803" s="73"/>
      <c r="D803" s="71"/>
      <c r="E803" s="71"/>
      <c r="F803" s="72"/>
      <c r="G803" s="136"/>
      <c r="H803" s="136"/>
      <c r="I803" s="75"/>
      <c r="J803" s="136"/>
      <c r="K803" s="136"/>
      <c r="L803" s="137"/>
      <c r="M803" s="74"/>
      <c r="N803" s="75"/>
      <c r="O803" s="386"/>
    </row>
    <row r="804" spans="1:15" s="95" customFormat="1" ht="11.1" customHeight="1" outlineLevel="1" x14ac:dyDescent="0.2">
      <c r="A804" s="391" t="s">
        <v>520</v>
      </c>
      <c r="B804" s="76" t="s">
        <v>9</v>
      </c>
      <c r="C804" s="77" t="s">
        <v>428</v>
      </c>
      <c r="D804" s="392" t="s">
        <v>389</v>
      </c>
      <c r="E804" s="392" t="s">
        <v>141</v>
      </c>
      <c r="F804" s="78" t="s">
        <v>28</v>
      </c>
      <c r="G804" s="138">
        <f>SUM(G805:G810)</f>
        <v>11830140</v>
      </c>
      <c r="H804" s="138">
        <f>SUM(H805:H810)</f>
        <v>10701</v>
      </c>
      <c r="I804" s="39">
        <f t="shared" ref="I804:I810" si="349">IF(G804&gt;0,H804/G804*100,"-")</f>
        <v>9.0455396132252022E-2</v>
      </c>
      <c r="J804" s="138">
        <f>SUM(J805:J810)</f>
        <v>2974140</v>
      </c>
      <c r="K804" s="138">
        <f>SUM(K805:K810)</f>
        <v>-2952000</v>
      </c>
      <c r="L804" s="138">
        <f>SUM(L805:L810)</f>
        <v>22140</v>
      </c>
      <c r="M804" s="38">
        <f>SUM(M805:M810)</f>
        <v>10701</v>
      </c>
      <c r="N804" s="39">
        <f t="shared" ref="N804:N810" si="350">IF(L804&gt;0,M804/L804*100,"-")</f>
        <v>48.333333333333336</v>
      </c>
      <c r="O804" s="388" t="s">
        <v>553</v>
      </c>
    </row>
    <row r="805" spans="1:15" s="95" customFormat="1" ht="11.1" customHeight="1" outlineLevel="1" x14ac:dyDescent="0.2">
      <c r="A805" s="391"/>
      <c r="B805" s="76" t="s">
        <v>10</v>
      </c>
      <c r="C805" s="77" t="s">
        <v>91</v>
      </c>
      <c r="D805" s="392"/>
      <c r="E805" s="392"/>
      <c r="F805" s="79" t="s">
        <v>15</v>
      </c>
      <c r="G805" s="139">
        <v>2208000</v>
      </c>
      <c r="H805" s="245">
        <f t="shared" ref="H805:H810" si="351">ROUNDUP(0+M805,0)</f>
        <v>0</v>
      </c>
      <c r="I805" s="81">
        <f t="shared" si="349"/>
        <v>0</v>
      </c>
      <c r="J805" s="139">
        <v>912000</v>
      </c>
      <c r="K805" s="139">
        <f t="shared" ref="K805:K810" si="352">L805-J805</f>
        <v>-912000</v>
      </c>
      <c r="L805" s="139">
        <v>0</v>
      </c>
      <c r="M805" s="80">
        <v>0</v>
      </c>
      <c r="N805" s="81" t="str">
        <f t="shared" si="350"/>
        <v>-</v>
      </c>
      <c r="O805" s="388"/>
    </row>
    <row r="806" spans="1:15" s="95" customFormat="1" ht="11.1" customHeight="1" outlineLevel="1" x14ac:dyDescent="0.2">
      <c r="A806" s="391"/>
      <c r="B806" s="76" t="s">
        <v>11</v>
      </c>
      <c r="C806" s="82" t="s">
        <v>92</v>
      </c>
      <c r="D806" s="392"/>
      <c r="E806" s="392"/>
      <c r="F806" s="79" t="s">
        <v>7</v>
      </c>
      <c r="G806" s="139">
        <v>9600000</v>
      </c>
      <c r="H806" s="245">
        <f t="shared" si="351"/>
        <v>0</v>
      </c>
      <c r="I806" s="81">
        <f t="shared" si="349"/>
        <v>0</v>
      </c>
      <c r="J806" s="139">
        <v>2040000</v>
      </c>
      <c r="K806" s="139">
        <f t="shared" si="352"/>
        <v>-2040000</v>
      </c>
      <c r="L806" s="139">
        <v>0</v>
      </c>
      <c r="M806" s="80">
        <v>0</v>
      </c>
      <c r="N806" s="81" t="str">
        <f t="shared" si="350"/>
        <v>-</v>
      </c>
      <c r="O806" s="388"/>
    </row>
    <row r="807" spans="1:15" s="95" customFormat="1" ht="11.1" customHeight="1" outlineLevel="1" x14ac:dyDescent="0.2">
      <c r="A807" s="118"/>
      <c r="B807" s="76" t="s">
        <v>12</v>
      </c>
      <c r="C807" s="82" t="s">
        <v>205</v>
      </c>
      <c r="D807" s="109"/>
      <c r="E807" s="109"/>
      <c r="F807" s="79" t="s">
        <v>8</v>
      </c>
      <c r="G807" s="139">
        <v>0</v>
      </c>
      <c r="H807" s="245">
        <f t="shared" si="351"/>
        <v>0</v>
      </c>
      <c r="I807" s="81" t="str">
        <f t="shared" si="349"/>
        <v>-</v>
      </c>
      <c r="J807" s="139">
        <v>0</v>
      </c>
      <c r="K807" s="139">
        <f t="shared" si="352"/>
        <v>0</v>
      </c>
      <c r="L807" s="139">
        <v>0</v>
      </c>
      <c r="M807" s="80">
        <v>0</v>
      </c>
      <c r="N807" s="81" t="str">
        <f t="shared" si="350"/>
        <v>-</v>
      </c>
      <c r="O807" s="388"/>
    </row>
    <row r="808" spans="1:15" s="95" customFormat="1" ht="11.1" customHeight="1" outlineLevel="1" x14ac:dyDescent="0.2">
      <c r="A808" s="118"/>
      <c r="B808" s="76"/>
      <c r="C808" s="82" t="s">
        <v>436</v>
      </c>
      <c r="D808" s="109"/>
      <c r="E808" s="109"/>
      <c r="F808" s="79" t="s">
        <v>22</v>
      </c>
      <c r="G808" s="139">
        <v>0</v>
      </c>
      <c r="H808" s="245">
        <f t="shared" si="351"/>
        <v>0</v>
      </c>
      <c r="I808" s="81" t="str">
        <f t="shared" si="349"/>
        <v>-</v>
      </c>
      <c r="J808" s="139">
        <v>0</v>
      </c>
      <c r="K808" s="139">
        <f t="shared" si="352"/>
        <v>0</v>
      </c>
      <c r="L808" s="139">
        <v>0</v>
      </c>
      <c r="M808" s="80">
        <v>0</v>
      </c>
      <c r="N808" s="81" t="str">
        <f t="shared" si="350"/>
        <v>-</v>
      </c>
      <c r="O808" s="388"/>
    </row>
    <row r="809" spans="1:15" s="95" customFormat="1" ht="11.1" customHeight="1" outlineLevel="1" x14ac:dyDescent="0.2">
      <c r="A809" s="118"/>
      <c r="B809" s="76"/>
      <c r="C809" s="82" t="s">
        <v>437</v>
      </c>
      <c r="D809" s="109"/>
      <c r="E809" s="109"/>
      <c r="F809" s="79" t="s">
        <v>45</v>
      </c>
      <c r="G809" s="139">
        <v>22140</v>
      </c>
      <c r="H809" s="245">
        <f t="shared" si="351"/>
        <v>10701</v>
      </c>
      <c r="I809" s="81">
        <f t="shared" si="349"/>
        <v>48.333333333333336</v>
      </c>
      <c r="J809" s="139">
        <v>22140</v>
      </c>
      <c r="K809" s="139">
        <f t="shared" si="352"/>
        <v>0</v>
      </c>
      <c r="L809" s="139">
        <v>22140</v>
      </c>
      <c r="M809" s="80">
        <v>10701</v>
      </c>
      <c r="N809" s="81">
        <f t="shared" si="350"/>
        <v>48.333333333333336</v>
      </c>
      <c r="O809" s="388"/>
    </row>
    <row r="810" spans="1:15" s="95" customFormat="1" ht="11.1" customHeight="1" outlineLevel="1" x14ac:dyDescent="0.2">
      <c r="A810" s="118"/>
      <c r="B810" s="76"/>
      <c r="C810" s="82" t="s">
        <v>438</v>
      </c>
      <c r="D810" s="109"/>
      <c r="E810" s="109"/>
      <c r="F810" s="79" t="s">
        <v>365</v>
      </c>
      <c r="G810" s="139">
        <v>0</v>
      </c>
      <c r="H810" s="245">
        <f t="shared" si="351"/>
        <v>0</v>
      </c>
      <c r="I810" s="81" t="str">
        <f t="shared" si="349"/>
        <v>-</v>
      </c>
      <c r="J810" s="139">
        <v>0</v>
      </c>
      <c r="K810" s="139">
        <f t="shared" si="352"/>
        <v>0</v>
      </c>
      <c r="L810" s="139">
        <v>0</v>
      </c>
      <c r="M810" s="80">
        <v>0</v>
      </c>
      <c r="N810" s="81" t="str">
        <f t="shared" si="350"/>
        <v>-</v>
      </c>
      <c r="O810" s="388"/>
    </row>
    <row r="811" spans="1:15" s="95" customFormat="1" ht="11.1" customHeight="1" outlineLevel="1" x14ac:dyDescent="0.2">
      <c r="A811" s="118"/>
      <c r="B811" s="76"/>
      <c r="C811" s="82" t="s">
        <v>439</v>
      </c>
      <c r="D811" s="109"/>
      <c r="E811" s="109"/>
      <c r="F811" s="106"/>
      <c r="G811" s="140"/>
      <c r="H811" s="371"/>
      <c r="I811" s="81"/>
      <c r="J811" s="140"/>
      <c r="K811" s="140"/>
      <c r="L811" s="139"/>
      <c r="M811" s="107"/>
      <c r="N811" s="81"/>
      <c r="O811" s="385"/>
    </row>
    <row r="812" spans="1:15" s="95" customFormat="1" ht="11.1" customHeight="1" outlineLevel="1" x14ac:dyDescent="0.2">
      <c r="A812" s="118"/>
      <c r="B812" s="76" t="s">
        <v>440</v>
      </c>
      <c r="C812" s="82" t="s">
        <v>435</v>
      </c>
      <c r="D812" s="109"/>
      <c r="E812" s="109"/>
      <c r="F812" s="106"/>
      <c r="G812" s="140"/>
      <c r="H812" s="371"/>
      <c r="I812" s="81"/>
      <c r="J812" s="140"/>
      <c r="K812" s="140"/>
      <c r="L812" s="139"/>
      <c r="M812" s="107"/>
      <c r="N812" s="81"/>
      <c r="O812" s="385"/>
    </row>
    <row r="813" spans="1:15" s="95" customFormat="1" ht="3.95" customHeight="1" outlineLevel="1" x14ac:dyDescent="0.2">
      <c r="A813" s="119"/>
      <c r="B813" s="85"/>
      <c r="C813" s="86"/>
      <c r="D813" s="84"/>
      <c r="E813" s="84"/>
      <c r="F813" s="85"/>
      <c r="G813" s="141"/>
      <c r="H813" s="141"/>
      <c r="I813" s="88"/>
      <c r="J813" s="141"/>
      <c r="K813" s="141"/>
      <c r="L813" s="142"/>
      <c r="M813" s="87"/>
      <c r="N813" s="88"/>
      <c r="O813" s="387"/>
    </row>
    <row r="814" spans="1:15" s="95" customFormat="1" ht="3.95" customHeight="1" outlineLevel="1" x14ac:dyDescent="0.2">
      <c r="A814" s="153"/>
      <c r="B814" s="72"/>
      <c r="C814" s="73"/>
      <c r="D814" s="71"/>
      <c r="E814" s="71"/>
      <c r="F814" s="72"/>
      <c r="G814" s="136"/>
      <c r="H814" s="136"/>
      <c r="I814" s="75"/>
      <c r="J814" s="136"/>
      <c r="K814" s="136"/>
      <c r="L814" s="137"/>
      <c r="M814" s="74"/>
      <c r="N814" s="75"/>
      <c r="O814" s="386"/>
    </row>
    <row r="815" spans="1:15" s="95" customFormat="1" ht="11.1" customHeight="1" outlineLevel="1" x14ac:dyDescent="0.2">
      <c r="A815" s="391" t="s">
        <v>521</v>
      </c>
      <c r="B815" s="76" t="s">
        <v>9</v>
      </c>
      <c r="C815" s="77" t="s">
        <v>428</v>
      </c>
      <c r="D815" s="392" t="s">
        <v>395</v>
      </c>
      <c r="E815" s="392" t="s">
        <v>154</v>
      </c>
      <c r="F815" s="78" t="s">
        <v>28</v>
      </c>
      <c r="G815" s="138">
        <f>SUM(G816:G821)</f>
        <v>3489535</v>
      </c>
      <c r="H815" s="138">
        <f>SUM(H816:H821)</f>
        <v>51660</v>
      </c>
      <c r="I815" s="39">
        <f t="shared" ref="I815:I821" si="353">IF(G815&gt;0,H815/G815*100,"-")</f>
        <v>1.4804264751607306</v>
      </c>
      <c r="J815" s="138">
        <f>SUM(J816:J821)</f>
        <v>51660</v>
      </c>
      <c r="K815" s="138">
        <f>SUM(K816:K821)</f>
        <v>32875</v>
      </c>
      <c r="L815" s="138">
        <f>SUM(L816:L821)</f>
        <v>84535</v>
      </c>
      <c r="M815" s="38">
        <f>SUM(M816:M821)</f>
        <v>51660</v>
      </c>
      <c r="N815" s="39">
        <f t="shared" ref="N815:N821" si="354">IF(L815&gt;0,M815/L815*100,"-")</f>
        <v>61.110782516117588</v>
      </c>
      <c r="O815" s="388" t="s">
        <v>552</v>
      </c>
    </row>
    <row r="816" spans="1:15" s="95" customFormat="1" ht="11.1" customHeight="1" outlineLevel="1" x14ac:dyDescent="0.2">
      <c r="A816" s="391"/>
      <c r="B816" s="76" t="s">
        <v>10</v>
      </c>
      <c r="C816" s="77" t="s">
        <v>91</v>
      </c>
      <c r="D816" s="392"/>
      <c r="E816" s="392"/>
      <c r="F816" s="79" t="s">
        <v>15</v>
      </c>
      <c r="G816" s="139">
        <v>600000</v>
      </c>
      <c r="H816" s="245">
        <f t="shared" ref="H816:H821" si="355">ROUNDUP(0+M816,0)</f>
        <v>0</v>
      </c>
      <c r="I816" s="81">
        <f t="shared" si="353"/>
        <v>0</v>
      </c>
      <c r="J816" s="139">
        <v>0</v>
      </c>
      <c r="K816" s="139">
        <f t="shared" ref="K816:K821" si="356">L816-J816</f>
        <v>0</v>
      </c>
      <c r="L816" s="139">
        <v>0</v>
      </c>
      <c r="M816" s="80">
        <v>0</v>
      </c>
      <c r="N816" s="81" t="str">
        <f t="shared" si="354"/>
        <v>-</v>
      </c>
      <c r="O816" s="388"/>
    </row>
    <row r="817" spans="1:15" s="95" customFormat="1" ht="11.1" customHeight="1" outlineLevel="1" x14ac:dyDescent="0.2">
      <c r="A817" s="391"/>
      <c r="B817" s="76" t="s">
        <v>11</v>
      </c>
      <c r="C817" s="82" t="s">
        <v>92</v>
      </c>
      <c r="D817" s="392"/>
      <c r="E817" s="392"/>
      <c r="F817" s="79" t="s">
        <v>7</v>
      </c>
      <c r="G817" s="139">
        <v>2800000</v>
      </c>
      <c r="H817" s="245">
        <f t="shared" si="355"/>
        <v>0</v>
      </c>
      <c r="I817" s="81">
        <f t="shared" si="353"/>
        <v>0</v>
      </c>
      <c r="J817" s="139">
        <v>0</v>
      </c>
      <c r="K817" s="139">
        <f t="shared" si="356"/>
        <v>0</v>
      </c>
      <c r="L817" s="139">
        <v>0</v>
      </c>
      <c r="M817" s="80">
        <v>0</v>
      </c>
      <c r="N817" s="81" t="str">
        <f t="shared" si="354"/>
        <v>-</v>
      </c>
      <c r="O817" s="388"/>
    </row>
    <row r="818" spans="1:15" s="95" customFormat="1" ht="11.1" customHeight="1" outlineLevel="1" x14ac:dyDescent="0.2">
      <c r="A818" s="118"/>
      <c r="B818" s="76" t="s">
        <v>12</v>
      </c>
      <c r="C818" s="82" t="s">
        <v>205</v>
      </c>
      <c r="D818" s="109"/>
      <c r="E818" s="109"/>
      <c r="F818" s="79" t="s">
        <v>8</v>
      </c>
      <c r="G818" s="139">
        <v>0</v>
      </c>
      <c r="H818" s="245">
        <f t="shared" si="355"/>
        <v>0</v>
      </c>
      <c r="I818" s="81" t="str">
        <f t="shared" si="353"/>
        <v>-</v>
      </c>
      <c r="J818" s="139">
        <v>0</v>
      </c>
      <c r="K818" s="139">
        <f t="shared" si="356"/>
        <v>0</v>
      </c>
      <c r="L818" s="139">
        <v>0</v>
      </c>
      <c r="M818" s="80">
        <v>0</v>
      </c>
      <c r="N818" s="81" t="str">
        <f t="shared" si="354"/>
        <v>-</v>
      </c>
      <c r="O818" s="388"/>
    </row>
    <row r="819" spans="1:15" s="95" customFormat="1" ht="11.1" customHeight="1" outlineLevel="1" x14ac:dyDescent="0.2">
      <c r="A819" s="118"/>
      <c r="B819" s="76"/>
      <c r="C819" s="82" t="s">
        <v>441</v>
      </c>
      <c r="D819" s="109"/>
      <c r="E819" s="109"/>
      <c r="F819" s="79" t="s">
        <v>22</v>
      </c>
      <c r="G819" s="139">
        <v>0</v>
      </c>
      <c r="H819" s="245">
        <f t="shared" si="355"/>
        <v>0</v>
      </c>
      <c r="I819" s="81" t="str">
        <f t="shared" si="353"/>
        <v>-</v>
      </c>
      <c r="J819" s="139">
        <v>0</v>
      </c>
      <c r="K819" s="139">
        <f t="shared" si="356"/>
        <v>0</v>
      </c>
      <c r="L819" s="139">
        <v>0</v>
      </c>
      <c r="M819" s="80">
        <v>0</v>
      </c>
      <c r="N819" s="81" t="str">
        <f t="shared" si="354"/>
        <v>-</v>
      </c>
      <c r="O819" s="388"/>
    </row>
    <row r="820" spans="1:15" s="95" customFormat="1" ht="11.1" customHeight="1" outlineLevel="1" x14ac:dyDescent="0.2">
      <c r="A820" s="118"/>
      <c r="C820" s="95" t="s">
        <v>442</v>
      </c>
      <c r="D820" s="109"/>
      <c r="E820" s="109"/>
      <c r="F820" s="79" t="s">
        <v>45</v>
      </c>
      <c r="G820" s="139">
        <v>89535</v>
      </c>
      <c r="H820" s="245">
        <f t="shared" si="355"/>
        <v>51660</v>
      </c>
      <c r="I820" s="81">
        <f t="shared" si="353"/>
        <v>57.69810688557547</v>
      </c>
      <c r="J820" s="139">
        <v>51660</v>
      </c>
      <c r="K820" s="139">
        <f t="shared" si="356"/>
        <v>32875</v>
      </c>
      <c r="L820" s="139">
        <v>84535</v>
      </c>
      <c r="M820" s="80">
        <v>51660</v>
      </c>
      <c r="N820" s="81">
        <f t="shared" si="354"/>
        <v>61.110782516117588</v>
      </c>
      <c r="O820" s="388"/>
    </row>
    <row r="821" spans="1:15" s="95" customFormat="1" ht="11.1" customHeight="1" outlineLevel="1" x14ac:dyDescent="0.2">
      <c r="A821" s="118"/>
      <c r="B821" s="76" t="s">
        <v>23</v>
      </c>
      <c r="C821" s="82" t="s">
        <v>435</v>
      </c>
      <c r="D821" s="109"/>
      <c r="E821" s="109"/>
      <c r="F821" s="79" t="s">
        <v>365</v>
      </c>
      <c r="G821" s="139">
        <v>0</v>
      </c>
      <c r="H821" s="245">
        <f t="shared" si="355"/>
        <v>0</v>
      </c>
      <c r="I821" s="81" t="str">
        <f t="shared" si="353"/>
        <v>-</v>
      </c>
      <c r="J821" s="139">
        <v>0</v>
      </c>
      <c r="K821" s="139">
        <f t="shared" si="356"/>
        <v>0</v>
      </c>
      <c r="L821" s="139">
        <v>0</v>
      </c>
      <c r="M821" s="80">
        <v>0</v>
      </c>
      <c r="N821" s="81" t="str">
        <f t="shared" si="354"/>
        <v>-</v>
      </c>
      <c r="O821" s="388"/>
    </row>
    <row r="822" spans="1:15" s="95" customFormat="1" ht="3.95" customHeight="1" outlineLevel="1" x14ac:dyDescent="0.2">
      <c r="A822" s="119"/>
      <c r="B822" s="85"/>
      <c r="C822" s="86"/>
      <c r="D822" s="84"/>
      <c r="E822" s="84"/>
      <c r="F822" s="85"/>
      <c r="G822" s="141"/>
      <c r="H822" s="141"/>
      <c r="I822" s="88"/>
      <c r="J822" s="141"/>
      <c r="K822" s="141"/>
      <c r="L822" s="142"/>
      <c r="M822" s="87"/>
      <c r="N822" s="88"/>
      <c r="O822" s="346"/>
    </row>
    <row r="823" spans="1:15" s="95" customFormat="1" ht="3.95" customHeight="1" outlineLevel="1" x14ac:dyDescent="0.2">
      <c r="A823" s="153"/>
      <c r="B823" s="72"/>
      <c r="C823" s="73"/>
      <c r="D823" s="71"/>
      <c r="E823" s="71"/>
      <c r="F823" s="72"/>
      <c r="G823" s="136"/>
      <c r="H823" s="136"/>
      <c r="I823" s="75"/>
      <c r="J823" s="136"/>
      <c r="K823" s="136"/>
      <c r="L823" s="137"/>
      <c r="M823" s="74"/>
      <c r="N823" s="75"/>
      <c r="O823" s="345"/>
    </row>
    <row r="824" spans="1:15" s="95" customFormat="1" ht="11.1" customHeight="1" outlineLevel="1" x14ac:dyDescent="0.2">
      <c r="A824" s="391" t="s">
        <v>522</v>
      </c>
      <c r="B824" s="76" t="s">
        <v>9</v>
      </c>
      <c r="C824" s="77" t="s">
        <v>428</v>
      </c>
      <c r="D824" s="392" t="s">
        <v>291</v>
      </c>
      <c r="E824" s="392" t="s">
        <v>154</v>
      </c>
      <c r="F824" s="78" t="s">
        <v>28</v>
      </c>
      <c r="G824" s="138">
        <f>SUM(G825:G830)</f>
        <v>5030700</v>
      </c>
      <c r="H824" s="138">
        <f>SUM(H825:H830)</f>
        <v>5030700</v>
      </c>
      <c r="I824" s="39">
        <f t="shared" ref="I824:I830" si="357">IF(G824&gt;0,H824/G824*100,"-")</f>
        <v>100</v>
      </c>
      <c r="J824" s="138">
        <f>SUM(J825:J830)</f>
        <v>5030700</v>
      </c>
      <c r="K824" s="138">
        <f>SUM(K825:K830)</f>
        <v>0</v>
      </c>
      <c r="L824" s="138">
        <f>SUM(L825:L830)</f>
        <v>5030700</v>
      </c>
      <c r="M824" s="38">
        <f>SUM(M825:M830)</f>
        <v>5030700</v>
      </c>
      <c r="N824" s="39">
        <f t="shared" ref="N824:N830" si="358">IF(L824&gt;0,M824/L824*100,"-")</f>
        <v>100</v>
      </c>
      <c r="O824" s="388" t="s">
        <v>489</v>
      </c>
    </row>
    <row r="825" spans="1:15" s="95" customFormat="1" ht="11.1" customHeight="1" outlineLevel="1" x14ac:dyDescent="0.2">
      <c r="A825" s="391"/>
      <c r="B825" s="76" t="s">
        <v>10</v>
      </c>
      <c r="C825" s="77" t="s">
        <v>91</v>
      </c>
      <c r="D825" s="392"/>
      <c r="E825" s="392"/>
      <c r="F825" s="79" t="s">
        <v>15</v>
      </c>
      <c r="G825" s="139">
        <v>5030700</v>
      </c>
      <c r="H825" s="245">
        <f t="shared" ref="H825:H830" si="359">ROUNDUP(0+M825,0)</f>
        <v>5030700</v>
      </c>
      <c r="I825" s="81">
        <f t="shared" si="357"/>
        <v>100</v>
      </c>
      <c r="J825" s="139">
        <v>5030700</v>
      </c>
      <c r="K825" s="139">
        <f t="shared" ref="K825:K830" si="360">L825-J825</f>
        <v>0</v>
      </c>
      <c r="L825" s="139">
        <v>5030700</v>
      </c>
      <c r="M825" s="80">
        <v>5030700</v>
      </c>
      <c r="N825" s="81">
        <f t="shared" si="358"/>
        <v>100</v>
      </c>
      <c r="O825" s="388"/>
    </row>
    <row r="826" spans="1:15" s="95" customFormat="1" ht="11.1" customHeight="1" outlineLevel="1" x14ac:dyDescent="0.2">
      <c r="A826" s="391"/>
      <c r="B826" s="76" t="s">
        <v>11</v>
      </c>
      <c r="C826" s="82" t="s">
        <v>92</v>
      </c>
      <c r="D826" s="392"/>
      <c r="E826" s="392"/>
      <c r="F826" s="79" t="s">
        <v>7</v>
      </c>
      <c r="G826" s="139">
        <v>0</v>
      </c>
      <c r="H826" s="245">
        <f t="shared" si="359"/>
        <v>0</v>
      </c>
      <c r="I826" s="81" t="str">
        <f t="shared" si="357"/>
        <v>-</v>
      </c>
      <c r="J826" s="139">
        <v>0</v>
      </c>
      <c r="K826" s="139">
        <f t="shared" si="360"/>
        <v>0</v>
      </c>
      <c r="L826" s="139">
        <v>0</v>
      </c>
      <c r="M826" s="80">
        <v>0</v>
      </c>
      <c r="N826" s="81" t="str">
        <f t="shared" si="358"/>
        <v>-</v>
      </c>
      <c r="O826" s="388"/>
    </row>
    <row r="827" spans="1:15" s="95" customFormat="1" ht="11.1" customHeight="1" outlineLevel="1" x14ac:dyDescent="0.2">
      <c r="A827" s="118"/>
      <c r="B827" s="76" t="s">
        <v>12</v>
      </c>
      <c r="C827" s="82" t="s">
        <v>205</v>
      </c>
      <c r="D827" s="109"/>
      <c r="E827" s="109"/>
      <c r="F827" s="79" t="s">
        <v>8</v>
      </c>
      <c r="G827" s="139">
        <v>0</v>
      </c>
      <c r="H827" s="245">
        <f t="shared" si="359"/>
        <v>0</v>
      </c>
      <c r="I827" s="81" t="str">
        <f t="shared" si="357"/>
        <v>-</v>
      </c>
      <c r="J827" s="139">
        <v>0</v>
      </c>
      <c r="K827" s="139">
        <f t="shared" si="360"/>
        <v>0</v>
      </c>
      <c r="L827" s="139">
        <v>0</v>
      </c>
      <c r="M827" s="80">
        <v>0</v>
      </c>
      <c r="N827" s="81" t="str">
        <f t="shared" si="358"/>
        <v>-</v>
      </c>
      <c r="O827" s="388"/>
    </row>
    <row r="828" spans="1:15" s="95" customFormat="1" ht="11.1" customHeight="1" outlineLevel="1" x14ac:dyDescent="0.2">
      <c r="A828" s="118"/>
      <c r="B828" s="76"/>
      <c r="C828" s="82" t="s">
        <v>301</v>
      </c>
      <c r="D828" s="109"/>
      <c r="E828" s="109"/>
      <c r="F828" s="79" t="s">
        <v>22</v>
      </c>
      <c r="G828" s="139">
        <v>0</v>
      </c>
      <c r="H828" s="245">
        <f t="shared" si="359"/>
        <v>0</v>
      </c>
      <c r="I828" s="81" t="str">
        <f t="shared" si="357"/>
        <v>-</v>
      </c>
      <c r="J828" s="139">
        <v>0</v>
      </c>
      <c r="K828" s="139">
        <f t="shared" si="360"/>
        <v>0</v>
      </c>
      <c r="L828" s="139">
        <v>0</v>
      </c>
      <c r="M828" s="80">
        <v>0</v>
      </c>
      <c r="N828" s="81" t="str">
        <f t="shared" si="358"/>
        <v>-</v>
      </c>
      <c r="O828" s="388"/>
    </row>
    <row r="829" spans="1:15" s="95" customFormat="1" ht="11.1" customHeight="1" outlineLevel="1" x14ac:dyDescent="0.2">
      <c r="A829" s="118"/>
      <c r="B829" s="76" t="s">
        <v>23</v>
      </c>
      <c r="C829" s="82" t="s">
        <v>153</v>
      </c>
      <c r="D829" s="109"/>
      <c r="E829" s="109"/>
      <c r="F829" s="79" t="s">
        <v>45</v>
      </c>
      <c r="G829" s="139">
        <v>0</v>
      </c>
      <c r="H829" s="245">
        <f t="shared" si="359"/>
        <v>0</v>
      </c>
      <c r="I829" s="81" t="str">
        <f t="shared" si="357"/>
        <v>-</v>
      </c>
      <c r="J829" s="139">
        <v>0</v>
      </c>
      <c r="K829" s="139">
        <f t="shared" si="360"/>
        <v>0</v>
      </c>
      <c r="L829" s="139">
        <v>0</v>
      </c>
      <c r="M829" s="80">
        <v>0</v>
      </c>
      <c r="N829" s="81" t="str">
        <f t="shared" si="358"/>
        <v>-</v>
      </c>
      <c r="O829" s="388"/>
    </row>
    <row r="830" spans="1:15" s="95" customFormat="1" ht="11.1" customHeight="1" outlineLevel="1" x14ac:dyDescent="0.2">
      <c r="A830" s="118"/>
      <c r="B830" s="76"/>
      <c r="C830" s="82"/>
      <c r="D830" s="109"/>
      <c r="E830" s="109"/>
      <c r="F830" s="79" t="s">
        <v>365</v>
      </c>
      <c r="G830" s="139">
        <v>0</v>
      </c>
      <c r="H830" s="245">
        <f t="shared" si="359"/>
        <v>0</v>
      </c>
      <c r="I830" s="81" t="str">
        <f t="shared" si="357"/>
        <v>-</v>
      </c>
      <c r="J830" s="139">
        <v>0</v>
      </c>
      <c r="K830" s="139">
        <f t="shared" si="360"/>
        <v>0</v>
      </c>
      <c r="L830" s="139">
        <v>0</v>
      </c>
      <c r="M830" s="80">
        <v>0</v>
      </c>
      <c r="N830" s="81" t="str">
        <f t="shared" si="358"/>
        <v>-</v>
      </c>
      <c r="O830" s="388"/>
    </row>
    <row r="831" spans="1:15" s="95" customFormat="1" ht="3.95" customHeight="1" outlineLevel="1" x14ac:dyDescent="0.2">
      <c r="A831" s="119"/>
      <c r="B831" s="85"/>
      <c r="C831" s="86"/>
      <c r="D831" s="84"/>
      <c r="E831" s="84"/>
      <c r="F831" s="85"/>
      <c r="G831" s="141"/>
      <c r="H831" s="141"/>
      <c r="I831" s="88"/>
      <c r="J831" s="141"/>
      <c r="K831" s="141"/>
      <c r="L831" s="142"/>
      <c r="M831" s="87"/>
      <c r="N831" s="88"/>
      <c r="O831" s="346"/>
    </row>
  </sheetData>
  <mergeCells count="294">
    <mergeCell ref="A815:A817"/>
    <mergeCell ref="D815:D817"/>
    <mergeCell ref="E815:E817"/>
    <mergeCell ref="O815:O821"/>
    <mergeCell ref="A824:A826"/>
    <mergeCell ref="D824:D826"/>
    <mergeCell ref="E824:E826"/>
    <mergeCell ref="O824:O830"/>
    <mergeCell ref="D153:D155"/>
    <mergeCell ref="B220:C220"/>
    <mergeCell ref="O384:O390"/>
    <mergeCell ref="E420:E422"/>
    <mergeCell ref="O420:O426"/>
    <mergeCell ref="A402:A404"/>
    <mergeCell ref="O494:O502"/>
    <mergeCell ref="A519:A521"/>
    <mergeCell ref="D519:D521"/>
    <mergeCell ref="E519:E521"/>
    <mergeCell ref="O554:O560"/>
    <mergeCell ref="B765:C765"/>
    <mergeCell ref="A774:A776"/>
    <mergeCell ref="D774:D776"/>
    <mergeCell ref="E774:E776"/>
    <mergeCell ref="O774:O780"/>
    <mergeCell ref="A129:A131"/>
    <mergeCell ref="E145:E147"/>
    <mergeCell ref="E153:E157"/>
    <mergeCell ref="A804:A806"/>
    <mergeCell ref="D804:D806"/>
    <mergeCell ref="E804:E806"/>
    <mergeCell ref="O804:O810"/>
    <mergeCell ref="A71:A73"/>
    <mergeCell ref="D71:D73"/>
    <mergeCell ref="E71:E73"/>
    <mergeCell ref="O80:O88"/>
    <mergeCell ref="A81:A83"/>
    <mergeCell ref="D81:D83"/>
    <mergeCell ref="E81:E83"/>
    <mergeCell ref="O118:O127"/>
    <mergeCell ref="A119:A121"/>
    <mergeCell ref="D119:D121"/>
    <mergeCell ref="E119:E121"/>
    <mergeCell ref="D384:D386"/>
    <mergeCell ref="E384:E386"/>
    <mergeCell ref="D754:D756"/>
    <mergeCell ref="E754:E756"/>
    <mergeCell ref="D743:D745"/>
    <mergeCell ref="E743:E745"/>
    <mergeCell ref="A384:A386"/>
    <mergeCell ref="A494:A496"/>
    <mergeCell ref="D494:D496"/>
    <mergeCell ref="E494:E496"/>
    <mergeCell ref="O411:O417"/>
    <mergeCell ref="E456:E458"/>
    <mergeCell ref="A505:A507"/>
    <mergeCell ref="D505:D507"/>
    <mergeCell ref="O402:O408"/>
    <mergeCell ref="D438:D440"/>
    <mergeCell ref="A456:A458"/>
    <mergeCell ref="O429:O435"/>
    <mergeCell ref="O447:O453"/>
    <mergeCell ref="A465:A467"/>
    <mergeCell ref="D465:D467"/>
    <mergeCell ref="E465:E467"/>
    <mergeCell ref="O465:O471"/>
    <mergeCell ref="A420:A422"/>
    <mergeCell ref="D420:D422"/>
    <mergeCell ref="E411:E413"/>
    <mergeCell ref="E505:E507"/>
    <mergeCell ref="B474:C474"/>
    <mergeCell ref="A483:A485"/>
    <mergeCell ref="D483:D485"/>
    <mergeCell ref="B564:C564"/>
    <mergeCell ref="D402:D404"/>
    <mergeCell ref="E402:E404"/>
    <mergeCell ref="B607:C607"/>
    <mergeCell ref="A594:A596"/>
    <mergeCell ref="D411:D413"/>
    <mergeCell ref="A554:A556"/>
    <mergeCell ref="A429:A431"/>
    <mergeCell ref="D429:D431"/>
    <mergeCell ref="E429:E431"/>
    <mergeCell ref="A447:A449"/>
    <mergeCell ref="D447:D449"/>
    <mergeCell ref="E447:E449"/>
    <mergeCell ref="A438:A440"/>
    <mergeCell ref="E554:E556"/>
    <mergeCell ref="B563:C563"/>
    <mergeCell ref="B565:C565"/>
    <mergeCell ref="E483:E485"/>
    <mergeCell ref="D456:D458"/>
    <mergeCell ref="E438:E440"/>
    <mergeCell ref="D554:D556"/>
    <mergeCell ref="D562:D570"/>
    <mergeCell ref="D616:D618"/>
    <mergeCell ref="E616:E620"/>
    <mergeCell ref="E706:E708"/>
    <mergeCell ref="E697:E699"/>
    <mergeCell ref="D678:D680"/>
    <mergeCell ref="E678:E680"/>
    <mergeCell ref="E594:E596"/>
    <mergeCell ref="E650:E652"/>
    <mergeCell ref="O615:O639"/>
    <mergeCell ref="O649:O658"/>
    <mergeCell ref="O705:O713"/>
    <mergeCell ref="D594:D596"/>
    <mergeCell ref="O678:O684"/>
    <mergeCell ref="D687:D689"/>
    <mergeCell ref="E687:E689"/>
    <mergeCell ref="D650:D652"/>
    <mergeCell ref="D697:D699"/>
    <mergeCell ref="E625:E627"/>
    <mergeCell ref="E633:E635"/>
    <mergeCell ref="D669:D671"/>
    <mergeCell ref="E669:E671"/>
    <mergeCell ref="O794:O800"/>
    <mergeCell ref="B785:C785"/>
    <mergeCell ref="O669:O675"/>
    <mergeCell ref="O724:O730"/>
    <mergeCell ref="A697:A699"/>
    <mergeCell ref="A706:A708"/>
    <mergeCell ref="A724:A726"/>
    <mergeCell ref="A794:A796"/>
    <mergeCell ref="D794:D796"/>
    <mergeCell ref="E794:E796"/>
    <mergeCell ref="A743:A745"/>
    <mergeCell ref="A754:A756"/>
    <mergeCell ref="E715:E717"/>
    <mergeCell ref="D733:D735"/>
    <mergeCell ref="E733:E735"/>
    <mergeCell ref="D724:D726"/>
    <mergeCell ref="E724:E726"/>
    <mergeCell ref="A733:A735"/>
    <mergeCell ref="D715:D717"/>
    <mergeCell ref="A715:A717"/>
    <mergeCell ref="A669:A671"/>
    <mergeCell ref="A687:A689"/>
    <mergeCell ref="A678:A680"/>
    <mergeCell ref="O696:O704"/>
    <mergeCell ref="J7:O7"/>
    <mergeCell ref="A4:O4"/>
    <mergeCell ref="A5:O5"/>
    <mergeCell ref="B9:C9"/>
    <mergeCell ref="B11:C11"/>
    <mergeCell ref="A7:A8"/>
    <mergeCell ref="F7:I7"/>
    <mergeCell ref="E7:E8"/>
    <mergeCell ref="B7:C8"/>
    <mergeCell ref="D7:D8"/>
    <mergeCell ref="B12:C12"/>
    <mergeCell ref="B13:C13"/>
    <mergeCell ref="B14:C14"/>
    <mergeCell ref="B15:C15"/>
    <mergeCell ref="B20:C20"/>
    <mergeCell ref="B110:C110"/>
    <mergeCell ref="E137:E139"/>
    <mergeCell ref="D129:D131"/>
    <mergeCell ref="B29:C29"/>
    <mergeCell ref="B23:C23"/>
    <mergeCell ref="D49:D51"/>
    <mergeCell ref="E49:E51"/>
    <mergeCell ref="E90:E92"/>
    <mergeCell ref="A38:A40"/>
    <mergeCell ref="D38:D40"/>
    <mergeCell ref="E38:E40"/>
    <mergeCell ref="A238:A240"/>
    <mergeCell ref="D238:D240"/>
    <mergeCell ref="E238:E240"/>
    <mergeCell ref="O238:O244"/>
    <mergeCell ref="A258:A260"/>
    <mergeCell ref="D258:D260"/>
    <mergeCell ref="E258:E260"/>
    <mergeCell ref="O258:O264"/>
    <mergeCell ref="E129:E133"/>
    <mergeCell ref="A49:A51"/>
    <mergeCell ref="A58:A60"/>
    <mergeCell ref="A90:A92"/>
    <mergeCell ref="A101:A103"/>
    <mergeCell ref="D101:D103"/>
    <mergeCell ref="D58:D60"/>
    <mergeCell ref="E58:E60"/>
    <mergeCell ref="D90:D92"/>
    <mergeCell ref="E101:E103"/>
    <mergeCell ref="E162:E164"/>
    <mergeCell ref="E170:E172"/>
    <mergeCell ref="E177:E179"/>
    <mergeCell ref="E348:E350"/>
    <mergeCell ref="O348:O354"/>
    <mergeCell ref="A357:A359"/>
    <mergeCell ref="A153:A155"/>
    <mergeCell ref="D249:D251"/>
    <mergeCell ref="E249:E251"/>
    <mergeCell ref="O249:O255"/>
    <mergeCell ref="A278:A280"/>
    <mergeCell ref="D278:D280"/>
    <mergeCell ref="E278:E280"/>
    <mergeCell ref="O278:O284"/>
    <mergeCell ref="A288:A290"/>
    <mergeCell ref="D288:D290"/>
    <mergeCell ref="E288:E290"/>
    <mergeCell ref="O288:O294"/>
    <mergeCell ref="D315:D317"/>
    <mergeCell ref="D339:D341"/>
    <mergeCell ref="E339:E341"/>
    <mergeCell ref="O339:O345"/>
    <mergeCell ref="O198:O207"/>
    <mergeCell ref="A199:A201"/>
    <mergeCell ref="D199:D201"/>
    <mergeCell ref="E315:E317"/>
    <mergeCell ref="O315:O321"/>
    <mergeCell ref="A297:A299"/>
    <mergeCell ref="D297:D299"/>
    <mergeCell ref="E297:E299"/>
    <mergeCell ref="O297:O303"/>
    <mergeCell ref="E184:E186"/>
    <mergeCell ref="E191:E193"/>
    <mergeCell ref="B306:C306"/>
    <mergeCell ref="A315:A317"/>
    <mergeCell ref="O267:O274"/>
    <mergeCell ref="D267:D269"/>
    <mergeCell ref="E267:E269"/>
    <mergeCell ref="A209:A211"/>
    <mergeCell ref="D209:D211"/>
    <mergeCell ref="E209:E211"/>
    <mergeCell ref="A249:A251"/>
    <mergeCell ref="A267:A269"/>
    <mergeCell ref="E199:E201"/>
    <mergeCell ref="A229:A231"/>
    <mergeCell ref="D229:D231"/>
    <mergeCell ref="E229:E231"/>
    <mergeCell ref="A328:A330"/>
    <mergeCell ref="D328:D330"/>
    <mergeCell ref="E328:E330"/>
    <mergeCell ref="O328:O334"/>
    <mergeCell ref="O456:O462"/>
    <mergeCell ref="A411:A413"/>
    <mergeCell ref="D357:D359"/>
    <mergeCell ref="E357:E359"/>
    <mergeCell ref="O357:O363"/>
    <mergeCell ref="A393:A395"/>
    <mergeCell ref="D393:D395"/>
    <mergeCell ref="E393:E395"/>
    <mergeCell ref="O393:O399"/>
    <mergeCell ref="A375:A377"/>
    <mergeCell ref="A366:A368"/>
    <mergeCell ref="D366:D368"/>
    <mergeCell ref="E366:E368"/>
    <mergeCell ref="O366:O372"/>
    <mergeCell ref="E375:E377"/>
    <mergeCell ref="A339:A341"/>
    <mergeCell ref="D375:D377"/>
    <mergeCell ref="O375:O381"/>
    <mergeCell ref="A348:A350"/>
    <mergeCell ref="D348:D350"/>
    <mergeCell ref="O37:O47"/>
    <mergeCell ref="O48:O56"/>
    <mergeCell ref="O57:O69"/>
    <mergeCell ref="O89:O99"/>
    <mergeCell ref="O100:O108"/>
    <mergeCell ref="O593:O605"/>
    <mergeCell ref="O208:O218"/>
    <mergeCell ref="O580:O592"/>
    <mergeCell ref="O153:O167"/>
    <mergeCell ref="O483:O489"/>
    <mergeCell ref="O505:O513"/>
    <mergeCell ref="O70:O79"/>
    <mergeCell ref="O229:O235"/>
    <mergeCell ref="O438:O444"/>
    <mergeCell ref="O519:O527"/>
    <mergeCell ref="O129:O142"/>
    <mergeCell ref="O715:O721"/>
    <mergeCell ref="O743:O752"/>
    <mergeCell ref="O754:O763"/>
    <mergeCell ref="O733:O739"/>
    <mergeCell ref="A532:A534"/>
    <mergeCell ref="D532:D534"/>
    <mergeCell ref="E532:E534"/>
    <mergeCell ref="O532:O540"/>
    <mergeCell ref="A545:A547"/>
    <mergeCell ref="D545:D547"/>
    <mergeCell ref="E545:E547"/>
    <mergeCell ref="O545:O551"/>
    <mergeCell ref="B572:C572"/>
    <mergeCell ref="A616:A618"/>
    <mergeCell ref="B567:C567"/>
    <mergeCell ref="A581:A583"/>
    <mergeCell ref="B660:C660"/>
    <mergeCell ref="B641:C641"/>
    <mergeCell ref="A650:A652"/>
    <mergeCell ref="B566:C566"/>
    <mergeCell ref="O687:O693"/>
    <mergeCell ref="D581:D583"/>
    <mergeCell ref="E581:E583"/>
    <mergeCell ref="D706:D708"/>
  </mergeCells>
  <printOptions horizontalCentered="1"/>
  <pageMargins left="0.35433070866141736" right="0.35433070866141736" top="0.39370078740157483" bottom="0.59055118110236227" header="0.31496062992125984" footer="0.23622047244094491"/>
  <pageSetup paperSize="9" scale="67" firstPageNumber="6" orientation="landscape" useFirstPageNumber="1" r:id="rId1"/>
  <headerFooter>
    <oddFooter>&amp;C&amp;P</oddFooter>
  </headerFooter>
  <rowBreaks count="9" manualBreakCount="9">
    <brk id="69" max="14" man="1"/>
    <brk id="143" max="14" man="1"/>
    <brk id="295" max="14" man="1"/>
    <brk id="364" max="14" man="1"/>
    <brk id="436" max="14" man="1"/>
    <brk id="503" max="14" man="1"/>
    <brk id="570" max="14" man="1"/>
    <brk id="704" max="14" man="1"/>
    <brk id="772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7"/>
  <sheetViews>
    <sheetView topLeftCell="A19" zoomScale="130" zoomScaleNormal="130" workbookViewId="0">
      <selection activeCell="A10" sqref="A10:I17"/>
    </sheetView>
  </sheetViews>
  <sheetFormatPr defaultRowHeight="11.25" x14ac:dyDescent="0.2"/>
  <cols>
    <col min="1" max="1" width="15.28515625" style="261" customWidth="1"/>
    <col min="2" max="2" width="7.42578125" style="264" customWidth="1"/>
    <col min="3" max="3" width="12.28515625" style="261" customWidth="1"/>
    <col min="4" max="4" width="10.7109375" style="261" customWidth="1"/>
    <col min="5" max="5" width="12.28515625" style="261" customWidth="1"/>
    <col min="6" max="6" width="11.7109375" style="261" customWidth="1"/>
    <col min="7" max="7" width="10.7109375" style="261" customWidth="1"/>
    <col min="8" max="8" width="10.28515625" style="261" customWidth="1"/>
    <col min="9" max="9" width="10.7109375" style="261" customWidth="1"/>
    <col min="10" max="16384" width="9.140625" style="261"/>
  </cols>
  <sheetData>
    <row r="10" spans="1:9" s="265" customFormat="1" ht="21" customHeight="1" x14ac:dyDescent="0.2">
      <c r="A10" s="441"/>
      <c r="B10" s="437" t="s">
        <v>249</v>
      </c>
      <c r="C10" s="442" t="s">
        <v>242</v>
      </c>
      <c r="D10" s="439" t="s">
        <v>241</v>
      </c>
      <c r="E10" s="439"/>
      <c r="F10" s="439"/>
      <c r="G10" s="439"/>
      <c r="H10" s="439"/>
      <c r="I10" s="440"/>
    </row>
    <row r="11" spans="1:9" s="266" customFormat="1" ht="29.25" customHeight="1" x14ac:dyDescent="0.2">
      <c r="A11" s="441"/>
      <c r="B11" s="438"/>
      <c r="C11" s="443"/>
      <c r="D11" s="282" t="s">
        <v>259</v>
      </c>
      <c r="E11" s="282" t="s">
        <v>260</v>
      </c>
      <c r="F11" s="282" t="s">
        <v>234</v>
      </c>
      <c r="G11" s="282" t="s">
        <v>261</v>
      </c>
      <c r="H11" s="282" t="s">
        <v>263</v>
      </c>
      <c r="I11" s="282" t="s">
        <v>262</v>
      </c>
    </row>
    <row r="12" spans="1:9" ht="33.75" x14ac:dyDescent="0.2">
      <c r="A12" s="267" t="s">
        <v>245</v>
      </c>
      <c r="B12" s="268">
        <f>SUM(B13:B17)</f>
        <v>25</v>
      </c>
      <c r="C12" s="269" t="e">
        <f t="shared" ref="C12" si="0">SUM(D12:I12)</f>
        <v>#REF!</v>
      </c>
      <c r="D12" s="281" t="e">
        <f t="shared" ref="D12:I12" si="1">SUM(D13:D17)</f>
        <v>#REF!</v>
      </c>
      <c r="E12" s="281" t="e">
        <f t="shared" si="1"/>
        <v>#REF!</v>
      </c>
      <c r="F12" s="281" t="e">
        <f t="shared" si="1"/>
        <v>#REF!</v>
      </c>
      <c r="G12" s="281" t="e">
        <f t="shared" si="1"/>
        <v>#REF!</v>
      </c>
      <c r="H12" s="281" t="e">
        <f t="shared" si="1"/>
        <v>#REF!</v>
      </c>
      <c r="I12" s="281" t="e">
        <f t="shared" si="1"/>
        <v>#REF!</v>
      </c>
    </row>
    <row r="13" spans="1:9" ht="33.75" x14ac:dyDescent="0.2">
      <c r="A13" s="270" t="s">
        <v>90</v>
      </c>
      <c r="B13" s="294">
        <v>7</v>
      </c>
      <c r="C13" s="271" t="e">
        <f>SUM(D13:I13)</f>
        <v>#REF!</v>
      </c>
      <c r="D13" s="271" t="e">
        <f>Arkusz2!D13</f>
        <v>#REF!</v>
      </c>
      <c r="E13" s="271" t="e">
        <f>Arkusz2!E13</f>
        <v>#REF!</v>
      </c>
      <c r="F13" s="271" t="e">
        <f>Arkusz2!F13</f>
        <v>#REF!</v>
      </c>
      <c r="G13" s="271" t="e">
        <f>Arkusz2!G13</f>
        <v>#REF!</v>
      </c>
      <c r="H13" s="271" t="e">
        <f>Arkusz2!H13</f>
        <v>#REF!</v>
      </c>
      <c r="I13" s="271" t="e">
        <f>Arkusz2!I13</f>
        <v>#REF!</v>
      </c>
    </row>
    <row r="14" spans="1:9" ht="45" x14ac:dyDescent="0.2">
      <c r="A14" s="270" t="s">
        <v>86</v>
      </c>
      <c r="B14" s="294">
        <v>11</v>
      </c>
      <c r="C14" s="271" t="e">
        <f>SUM(D14:I14)</f>
        <v>#REF!</v>
      </c>
      <c r="D14" s="271" t="e">
        <f>Arkusz2!D14</f>
        <v>#REF!</v>
      </c>
      <c r="E14" s="271" t="e">
        <f>Arkusz2!E14</f>
        <v>#REF!</v>
      </c>
      <c r="F14" s="271" t="e">
        <f>Arkusz2!F14</f>
        <v>#REF!</v>
      </c>
      <c r="G14" s="271" t="e">
        <f>Arkusz2!G14</f>
        <v>#REF!</v>
      </c>
      <c r="H14" s="271" t="e">
        <f>Arkusz2!H14</f>
        <v>#REF!</v>
      </c>
      <c r="I14" s="271" t="e">
        <f>Arkusz2!I14</f>
        <v>#REF!</v>
      </c>
    </row>
    <row r="15" spans="1:9" ht="33.75" x14ac:dyDescent="0.2">
      <c r="A15" s="270" t="s">
        <v>246</v>
      </c>
      <c r="B15" s="294">
        <v>1</v>
      </c>
      <c r="C15" s="271">
        <f>SUM(D15:I15)</f>
        <v>1750139.65</v>
      </c>
      <c r="D15" s="271">
        <f>Arkusz2!D16</f>
        <v>1444767.92</v>
      </c>
      <c r="E15" s="271">
        <f>Arkusz2!E16</f>
        <v>50857.88</v>
      </c>
      <c r="F15" s="271">
        <f>Arkusz2!F16</f>
        <v>0</v>
      </c>
      <c r="G15" s="271">
        <f>Arkusz2!G16</f>
        <v>0</v>
      </c>
      <c r="H15" s="271">
        <f>Arkusz2!H16</f>
        <v>254513.85</v>
      </c>
      <c r="I15" s="271">
        <f>Arkusz2!I16</f>
        <v>0</v>
      </c>
    </row>
    <row r="16" spans="1:9" ht="33.75" x14ac:dyDescent="0.2">
      <c r="A16" s="270" t="s">
        <v>49</v>
      </c>
      <c r="B16" s="294">
        <v>1</v>
      </c>
      <c r="C16" s="271">
        <f>SUM(D16:I16)</f>
        <v>3000</v>
      </c>
      <c r="D16" s="271">
        <f>Arkusz2!D15</f>
        <v>3000</v>
      </c>
      <c r="E16" s="271">
        <f>Arkusz2!E15</f>
        <v>0</v>
      </c>
      <c r="F16" s="271">
        <f>Arkusz2!F15</f>
        <v>0</v>
      </c>
      <c r="G16" s="271">
        <f>Arkusz2!G15</f>
        <v>0</v>
      </c>
      <c r="H16" s="271">
        <f>Arkusz2!H15</f>
        <v>0</v>
      </c>
      <c r="I16" s="271">
        <f>Arkusz2!I15</f>
        <v>0</v>
      </c>
    </row>
    <row r="17" spans="1:9" ht="22.5" x14ac:dyDescent="0.2">
      <c r="A17" s="270" t="s">
        <v>55</v>
      </c>
      <c r="B17" s="294">
        <v>5</v>
      </c>
      <c r="C17" s="271" t="e">
        <f>SUM(D17:I17)</f>
        <v>#REF!</v>
      </c>
      <c r="D17" s="271" t="e">
        <f>Arkusz2!D17</f>
        <v>#REF!</v>
      </c>
      <c r="E17" s="271" t="e">
        <f>Arkusz2!E17</f>
        <v>#REF!</v>
      </c>
      <c r="F17" s="271" t="e">
        <f>Arkusz2!F17</f>
        <v>#REF!</v>
      </c>
      <c r="G17" s="271" t="e">
        <f>Arkusz2!G17</f>
        <v>#REF!</v>
      </c>
      <c r="H17" s="271">
        <f>Arkusz2!H17</f>
        <v>0</v>
      </c>
      <c r="I17" s="271">
        <f>Arkusz2!I17</f>
        <v>0</v>
      </c>
    </row>
  </sheetData>
  <sortState ref="A13:I17">
    <sortCondition descending="1" ref="C13:C17"/>
  </sortState>
  <mergeCells count="4">
    <mergeCell ref="A10:A11"/>
    <mergeCell ref="B10:B11"/>
    <mergeCell ref="C10:C11"/>
    <mergeCell ref="D10:I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7" sqref="A7"/>
    </sheetView>
  </sheetViews>
  <sheetFormatPr defaultRowHeight="12.75" x14ac:dyDescent="0.2"/>
  <cols>
    <col min="1" max="1" width="57.28515625" style="296" customWidth="1"/>
    <col min="2" max="2" width="14.28515625" style="296" customWidth="1"/>
    <col min="3" max="16384" width="9.140625" style="296"/>
  </cols>
  <sheetData>
    <row r="1" spans="1:2" x14ac:dyDescent="0.2">
      <c r="A1" s="275" t="s">
        <v>349</v>
      </c>
      <c r="B1" s="275" t="s">
        <v>340</v>
      </c>
    </row>
    <row r="2" spans="1:2" ht="33" customHeight="1" x14ac:dyDescent="0.2">
      <c r="A2" s="297" t="s">
        <v>341</v>
      </c>
      <c r="B2" s="298">
        <f>B3+B9</f>
        <v>90529115</v>
      </c>
    </row>
    <row r="3" spans="1:2" ht="18" customHeight="1" x14ac:dyDescent="0.2">
      <c r="A3" s="299" t="s">
        <v>342</v>
      </c>
      <c r="B3" s="300">
        <f>SUM(B4:B8)</f>
        <v>9645189.5999999996</v>
      </c>
    </row>
    <row r="4" spans="1:2" ht="15.95" customHeight="1" x14ac:dyDescent="0.2">
      <c r="A4" s="301" t="s">
        <v>343</v>
      </c>
      <c r="B4" s="302">
        <f>6469993.96+1065266.71</f>
        <v>7535260.6699999999</v>
      </c>
    </row>
    <row r="5" spans="1:2" ht="42" customHeight="1" x14ac:dyDescent="0.2">
      <c r="A5" s="301" t="s">
        <v>347</v>
      </c>
      <c r="B5" s="302">
        <f>698346.34+37809.07</f>
        <v>736155.40999999992</v>
      </c>
    </row>
    <row r="6" spans="1:2" ht="30" customHeight="1" x14ac:dyDescent="0.2">
      <c r="A6" s="301" t="s">
        <v>344</v>
      </c>
      <c r="B6" s="302">
        <f>1343901.08-(3376+2376+14878.8)</f>
        <v>1323270.28</v>
      </c>
    </row>
    <row r="7" spans="1:2" ht="30" customHeight="1" x14ac:dyDescent="0.2">
      <c r="A7" s="301" t="s">
        <v>345</v>
      </c>
      <c r="B7" s="302">
        <v>29872.44</v>
      </c>
    </row>
    <row r="8" spans="1:2" ht="15.95" customHeight="1" x14ac:dyDescent="0.2">
      <c r="A8" s="301" t="s">
        <v>348</v>
      </c>
      <c r="B8" s="302">
        <f>3376+2376+14878.8</f>
        <v>20630.8</v>
      </c>
    </row>
    <row r="9" spans="1:2" ht="18" customHeight="1" x14ac:dyDescent="0.2">
      <c r="A9" s="299" t="s">
        <v>346</v>
      </c>
      <c r="B9" s="300">
        <f>SUM(B10:B11)</f>
        <v>80883925.400000006</v>
      </c>
    </row>
    <row r="10" spans="1:2" ht="15.95" customHeight="1" x14ac:dyDescent="0.2">
      <c r="A10" s="301" t="s">
        <v>343</v>
      </c>
      <c r="B10" s="302">
        <v>80279931.090000004</v>
      </c>
    </row>
    <row r="11" spans="1:2" ht="42" customHeight="1" x14ac:dyDescent="0.2">
      <c r="A11" s="301" t="s">
        <v>347</v>
      </c>
      <c r="B11" s="302">
        <v>603994.31000000006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" sqref="B1:B1048576"/>
    </sheetView>
  </sheetViews>
  <sheetFormatPr defaultRowHeight="12.75" x14ac:dyDescent="0.2"/>
  <cols>
    <col min="1" max="1" width="59.42578125" style="1" customWidth="1"/>
    <col min="2" max="2" width="13.5703125" style="201" customWidth="1"/>
    <col min="3" max="16384" width="9.140625" style="1"/>
  </cols>
  <sheetData>
    <row r="1" spans="1:2" s="303" customFormat="1" ht="15.95" customHeight="1" x14ac:dyDescent="0.2">
      <c r="A1" s="305" t="s">
        <v>349</v>
      </c>
      <c r="B1" s="306" t="s">
        <v>340</v>
      </c>
    </row>
    <row r="2" spans="1:2" ht="18" customHeight="1" x14ac:dyDescent="0.2">
      <c r="A2" s="257" t="s">
        <v>55</v>
      </c>
      <c r="B2" s="258">
        <f>484695.3+5673238.96+81590.86+578777.79+1065266.71+37809.07</f>
        <v>7921378.6900000004</v>
      </c>
    </row>
    <row r="3" spans="1:2" ht="18" customHeight="1" x14ac:dyDescent="0.2">
      <c r="A3" s="257" t="s">
        <v>350</v>
      </c>
      <c r="B3" s="258">
        <f>215206.87+37977.69</f>
        <v>253184.56</v>
      </c>
    </row>
    <row r="4" spans="1:2" ht="18" customHeight="1" x14ac:dyDescent="0.2">
      <c r="A4" s="257" t="s">
        <v>86</v>
      </c>
      <c r="B4" s="258">
        <f>53600.7</f>
        <v>53600.7</v>
      </c>
    </row>
    <row r="5" spans="1:2" ht="18" customHeight="1" x14ac:dyDescent="0.2">
      <c r="A5" s="257" t="s">
        <v>90</v>
      </c>
      <c r="B5" s="258">
        <f>43252.13</f>
        <v>43252.13</v>
      </c>
    </row>
    <row r="6" spans="1:2" s="202" customFormat="1" ht="21" customHeight="1" x14ac:dyDescent="0.2">
      <c r="A6" s="255" t="s">
        <v>231</v>
      </c>
      <c r="B6" s="256">
        <f>SUM(B2:B5)</f>
        <v>8271416.0800000001</v>
      </c>
    </row>
    <row r="9" spans="1:2" s="303" customFormat="1" ht="15.95" customHeight="1" x14ac:dyDescent="0.2">
      <c r="A9" s="305" t="s">
        <v>349</v>
      </c>
      <c r="B9" s="306" t="s">
        <v>340</v>
      </c>
    </row>
    <row r="10" spans="1:2" s="296" customFormat="1" ht="30" customHeight="1" x14ac:dyDescent="0.2">
      <c r="A10" s="307" t="s">
        <v>351</v>
      </c>
      <c r="B10" s="308">
        <f>1343901.08-(3376+2376+14878.8)</f>
        <v>1323270.28</v>
      </c>
    </row>
    <row r="11" spans="1:2" s="296" customFormat="1" ht="30" customHeight="1" x14ac:dyDescent="0.2">
      <c r="A11" s="307" t="s">
        <v>352</v>
      </c>
      <c r="B11" s="308">
        <f>29872.44</f>
        <v>29872.44</v>
      </c>
    </row>
    <row r="12" spans="1:2" s="296" customFormat="1" ht="30" customHeight="1" x14ac:dyDescent="0.2">
      <c r="A12" s="309" t="s">
        <v>353</v>
      </c>
      <c r="B12" s="308">
        <f>3376+2376+14878.8</f>
        <v>20630.8</v>
      </c>
    </row>
    <row r="13" spans="1:2" s="202" customFormat="1" ht="21" customHeight="1" x14ac:dyDescent="0.2">
      <c r="A13" s="255" t="s">
        <v>231</v>
      </c>
      <c r="B13" s="256">
        <f>SUM(B10:B12)</f>
        <v>1373773.52</v>
      </c>
    </row>
    <row r="15" spans="1:2" s="202" customFormat="1" x14ac:dyDescent="0.2">
      <c r="B15" s="304">
        <f>B13+B6</f>
        <v>9645189.5999999996</v>
      </c>
    </row>
  </sheetData>
  <sortState ref="A10:B12">
    <sortCondition descending="1" ref="B10:B1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6"/>
    </sheetView>
  </sheetViews>
  <sheetFormatPr defaultRowHeight="12.75" x14ac:dyDescent="0.2"/>
  <cols>
    <col min="1" max="1" width="58.7109375" customWidth="1"/>
    <col min="2" max="2" width="16.7109375" customWidth="1"/>
  </cols>
  <sheetData>
    <row r="1" spans="1:2" s="303" customFormat="1" ht="15.95" customHeight="1" x14ac:dyDescent="0.2">
      <c r="A1" s="305" t="s">
        <v>349</v>
      </c>
      <c r="B1" s="306" t="s">
        <v>340</v>
      </c>
    </row>
    <row r="2" spans="1:2" s="1" customFormat="1" ht="18" customHeight="1" x14ac:dyDescent="0.2">
      <c r="A2" s="257" t="s">
        <v>90</v>
      </c>
      <c r="B2" s="258">
        <f>41681717.77+1367729.83+70073.44+4725122.19+3936.03</f>
        <v>47848579.259999998</v>
      </c>
    </row>
    <row r="3" spans="1:2" s="1" customFormat="1" ht="18" customHeight="1" x14ac:dyDescent="0.2">
      <c r="A3" s="257" t="s">
        <v>86</v>
      </c>
      <c r="B3" s="258">
        <f>10111047.22+12729641.16+61596.27+2215542.18+35599.07+329445.27+925271.76+462831.92+892559.56+788.19+1745273.05+187787.75+308945.25+1331998.08+7902.99+160749.03</f>
        <v>31506978.750000004</v>
      </c>
    </row>
    <row r="4" spans="1:2" s="1" customFormat="1" ht="18" customHeight="1" x14ac:dyDescent="0.2">
      <c r="A4" s="257" t="s">
        <v>350</v>
      </c>
      <c r="B4" s="258">
        <f>767399.22+340490.66+233969.64</f>
        <v>1341859.52</v>
      </c>
    </row>
    <row r="5" spans="1:2" s="1" customFormat="1" ht="18" customHeight="1" x14ac:dyDescent="0.2">
      <c r="A5" s="257" t="s">
        <v>55</v>
      </c>
      <c r="B5" s="258">
        <f>113900+3400+35700+3973.86+20100+600+2570.61+6240+23.4</f>
        <v>186507.86999999997</v>
      </c>
    </row>
    <row r="6" spans="1:2" s="202" customFormat="1" ht="21" customHeight="1" x14ac:dyDescent="0.2">
      <c r="A6" s="255" t="s">
        <v>231</v>
      </c>
      <c r="B6" s="256">
        <f>SUM(B2:B5)</f>
        <v>80883925.400000006</v>
      </c>
    </row>
    <row r="7" spans="1:2" s="1" customFormat="1" x14ac:dyDescent="0.2">
      <c r="B7" s="201"/>
    </row>
  </sheetData>
  <sortState ref="A2:B5">
    <sortCondition descending="1" ref="B2:B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18" sqref="A18:B24"/>
    </sheetView>
  </sheetViews>
  <sheetFormatPr defaultRowHeight="12.75" x14ac:dyDescent="0.2"/>
  <cols>
    <col min="1" max="1" width="45.7109375" style="296" customWidth="1"/>
    <col min="2" max="2" width="14.7109375" style="296" customWidth="1"/>
    <col min="3" max="16384" width="9.140625" style="296"/>
  </cols>
  <sheetData>
    <row r="1" spans="1:2" ht="18" customHeight="1" x14ac:dyDescent="0.2">
      <c r="A1" s="310" t="s">
        <v>349</v>
      </c>
      <c r="B1" s="310" t="s">
        <v>354</v>
      </c>
    </row>
    <row r="2" spans="1:2" ht="33" customHeight="1" x14ac:dyDescent="0.2">
      <c r="A2" s="311" t="s">
        <v>355</v>
      </c>
      <c r="B2" s="312">
        <f>SUM(B3:B7)</f>
        <v>193249832</v>
      </c>
    </row>
    <row r="3" spans="1:2" ht="18" customHeight="1" x14ac:dyDescent="0.2">
      <c r="A3" s="314" t="s">
        <v>356</v>
      </c>
      <c r="B3" s="313">
        <v>11412776</v>
      </c>
    </row>
    <row r="4" spans="1:2" ht="18" customHeight="1" x14ac:dyDescent="0.2">
      <c r="A4" s="314" t="s">
        <v>357</v>
      </c>
      <c r="B4" s="313">
        <v>121828246</v>
      </c>
    </row>
    <row r="5" spans="1:2" ht="18" customHeight="1" x14ac:dyDescent="0.2">
      <c r="A5" s="314" t="s">
        <v>358</v>
      </c>
      <c r="B5" s="313">
        <v>48204297</v>
      </c>
    </row>
    <row r="6" spans="1:2" ht="18" customHeight="1" x14ac:dyDescent="0.2">
      <c r="A6" s="314" t="s">
        <v>261</v>
      </c>
      <c r="B6" s="313">
        <v>4012207</v>
      </c>
    </row>
    <row r="7" spans="1:2" ht="18" customHeight="1" x14ac:dyDescent="0.2">
      <c r="A7" s="314" t="s">
        <v>359</v>
      </c>
      <c r="B7" s="313">
        <v>7792306</v>
      </c>
    </row>
    <row r="11" spans="1:2" ht="18" customHeight="1" x14ac:dyDescent="0.2">
      <c r="A11" s="310" t="s">
        <v>349</v>
      </c>
      <c r="B11" s="310" t="s">
        <v>354</v>
      </c>
    </row>
    <row r="12" spans="1:2" ht="21" customHeight="1" x14ac:dyDescent="0.2">
      <c r="A12" s="311" t="s">
        <v>254</v>
      </c>
      <c r="B12" s="312">
        <f>SUM(B13:B15)</f>
        <v>10735396</v>
      </c>
    </row>
    <row r="13" spans="1:2" ht="18" customHeight="1" x14ac:dyDescent="0.2">
      <c r="A13" s="314" t="s">
        <v>356</v>
      </c>
      <c r="B13" s="313">
        <v>495142</v>
      </c>
    </row>
    <row r="14" spans="1:2" ht="18" customHeight="1" x14ac:dyDescent="0.2">
      <c r="A14" s="314" t="s">
        <v>357</v>
      </c>
      <c r="B14" s="313">
        <v>9149758</v>
      </c>
    </row>
    <row r="15" spans="1:2" ht="18" customHeight="1" x14ac:dyDescent="0.2">
      <c r="A15" s="314" t="s">
        <v>261</v>
      </c>
      <c r="B15" s="313">
        <v>1090496</v>
      </c>
    </row>
    <row r="18" spans="1:2" ht="18" customHeight="1" x14ac:dyDescent="0.2">
      <c r="A18" s="310" t="s">
        <v>349</v>
      </c>
      <c r="B18" s="310" t="s">
        <v>354</v>
      </c>
    </row>
    <row r="19" spans="1:2" ht="21" customHeight="1" x14ac:dyDescent="0.2">
      <c r="A19" s="311" t="s">
        <v>244</v>
      </c>
      <c r="B19" s="312">
        <f>SUM(B20:B24)</f>
        <v>182514436</v>
      </c>
    </row>
    <row r="20" spans="1:2" ht="18" customHeight="1" x14ac:dyDescent="0.2">
      <c r="A20" s="314" t="s">
        <v>356</v>
      </c>
      <c r="B20" s="313">
        <v>10917634</v>
      </c>
    </row>
    <row r="21" spans="1:2" ht="18" customHeight="1" x14ac:dyDescent="0.2">
      <c r="A21" s="314" t="s">
        <v>357</v>
      </c>
      <c r="B21" s="313">
        <v>112678488</v>
      </c>
    </row>
    <row r="22" spans="1:2" ht="18" customHeight="1" x14ac:dyDescent="0.2">
      <c r="A22" s="314" t="s">
        <v>358</v>
      </c>
      <c r="B22" s="313">
        <v>48204297</v>
      </c>
    </row>
    <row r="23" spans="1:2" ht="18" customHeight="1" x14ac:dyDescent="0.2">
      <c r="A23" s="314" t="s">
        <v>261</v>
      </c>
      <c r="B23" s="313">
        <v>2921711</v>
      </c>
    </row>
    <row r="24" spans="1:2" ht="18" customHeight="1" x14ac:dyDescent="0.2">
      <c r="A24" s="314" t="s">
        <v>359</v>
      </c>
      <c r="B24" s="313">
        <v>7792306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24" sqref="B24"/>
    </sheetView>
  </sheetViews>
  <sheetFormatPr defaultRowHeight="12.75" x14ac:dyDescent="0.2"/>
  <cols>
    <col min="1" max="1" width="18.85546875" customWidth="1"/>
    <col min="2" max="8" width="14.7109375" style="247" customWidth="1"/>
    <col min="9" max="9" width="12.7109375" style="247" customWidth="1"/>
  </cols>
  <sheetData>
    <row r="1" spans="1:8" x14ac:dyDescent="0.2">
      <c r="B1" s="248" t="s">
        <v>231</v>
      </c>
      <c r="C1" s="248" t="s">
        <v>232</v>
      </c>
      <c r="D1" s="248" t="s">
        <v>233</v>
      </c>
      <c r="E1" s="248" t="s">
        <v>234</v>
      </c>
      <c r="F1" s="248" t="s">
        <v>237</v>
      </c>
      <c r="G1" s="248" t="s">
        <v>235</v>
      </c>
      <c r="H1" s="248" t="s">
        <v>236</v>
      </c>
    </row>
    <row r="2" spans="1:8" x14ac:dyDescent="0.2">
      <c r="A2" s="246" t="s">
        <v>223</v>
      </c>
      <c r="B2" s="247" t="e">
        <f>SUM(C2:H2)</f>
        <v>#REF!</v>
      </c>
      <c r="C2" s="247" t="e">
        <f t="shared" ref="C2:H2" si="0">SUM(C3:C9)</f>
        <v>#REF!</v>
      </c>
      <c r="D2" s="247" t="e">
        <f t="shared" si="0"/>
        <v>#REF!</v>
      </c>
      <c r="E2" s="247" t="e">
        <f t="shared" si="0"/>
        <v>#REF!</v>
      </c>
      <c r="F2" s="247" t="e">
        <f t="shared" si="0"/>
        <v>#REF!</v>
      </c>
      <c r="G2" s="247" t="e">
        <f t="shared" si="0"/>
        <v>#REF!</v>
      </c>
      <c r="H2" s="247" t="e">
        <f t="shared" si="0"/>
        <v>#REF!</v>
      </c>
    </row>
    <row r="3" spans="1:8" x14ac:dyDescent="0.2">
      <c r="A3" s="246" t="s">
        <v>224</v>
      </c>
      <c r="B3" s="247" t="e">
        <f>SUM(C3:H3)</f>
        <v>#REF!</v>
      </c>
      <c r="C3" s="247" t="e">
        <f>'przedsiewziecia UE'!L59+'przedsiewziecia UE'!L91+'przedsiewziecia UE'!L102+'przedsiewziecia UE'!L154+'przedsiewziecia UE'!L210+'przedsiewziecia UE'!L239+'przedsiewziecia UE'!L250+'przedsiewziecia UE'!L259+'przedsiewziecia UE'!#REF!+'przedsiewziecia UE'!L268+'przedsiewziecia UE'!L279+'przedsiewziecia UE'!L289+'przedsiewziecia UE'!L298+'przedsiewziecia UE'!L316+'przedsiewziecia UE'!L329+'przedsiewziecia UE'!L340+'przedsiewziecia UE'!L349+'przedsiewziecia UE'!L358+'przedsiewziecia UE'!L367+'przedsiewziecia UE'!L376+'przedsiewziecia UE'!L385</f>
        <v>#REF!</v>
      </c>
      <c r="D3" s="247" t="e">
        <f>'przedsiewziecia UE'!L60+'przedsiewziecia UE'!L92+'przedsiewziecia UE'!L103+'przedsiewziecia UE'!L155+'przedsiewziecia UE'!L211+'przedsiewziecia UE'!L240+'przedsiewziecia UE'!L251+'przedsiewziecia UE'!L260+'przedsiewziecia UE'!#REF!+'przedsiewziecia UE'!L269+'przedsiewziecia UE'!L280+'przedsiewziecia UE'!L290+'przedsiewziecia UE'!L299+'przedsiewziecia UE'!L317+'przedsiewziecia UE'!L330+'przedsiewziecia UE'!L341+'przedsiewziecia UE'!L350+'przedsiewziecia UE'!L359+'przedsiewziecia UE'!L368+'przedsiewziecia UE'!L377+'przedsiewziecia UE'!L386</f>
        <v>#REF!</v>
      </c>
      <c r="E3" s="247" t="e">
        <f>'przedsiewziecia UE'!L61+'przedsiewziecia UE'!L93+'przedsiewziecia UE'!L104+'przedsiewziecia UE'!L156+'przedsiewziecia UE'!L212+'przedsiewziecia UE'!L241+'przedsiewziecia UE'!L252+'przedsiewziecia UE'!L261+'przedsiewziecia UE'!#REF!+'przedsiewziecia UE'!L270+'przedsiewziecia UE'!L281+'przedsiewziecia UE'!L291+'przedsiewziecia UE'!L300+'przedsiewziecia UE'!L318+'przedsiewziecia UE'!L331+'przedsiewziecia UE'!L342+'przedsiewziecia UE'!L351+'przedsiewziecia UE'!L360+'przedsiewziecia UE'!L369+'przedsiewziecia UE'!L378+'przedsiewziecia UE'!L387</f>
        <v>#REF!</v>
      </c>
      <c r="F3" s="247" t="e">
        <f>'przedsiewziecia UE'!L62+'przedsiewziecia UE'!L94+'przedsiewziecia UE'!L105+'przedsiewziecia UE'!L157+'przedsiewziecia UE'!L213+'przedsiewziecia UE'!L242+'przedsiewziecia UE'!L253+'przedsiewziecia UE'!L262+'przedsiewziecia UE'!#REF!+'przedsiewziecia UE'!L271+'przedsiewziecia UE'!L282+'przedsiewziecia UE'!L292+'przedsiewziecia UE'!L301+'przedsiewziecia UE'!L319+'przedsiewziecia UE'!L332+'przedsiewziecia UE'!L343+'przedsiewziecia UE'!L352+'przedsiewziecia UE'!L361+'przedsiewziecia UE'!L370+'przedsiewziecia UE'!L379+'przedsiewziecia UE'!L388</f>
        <v>#REF!</v>
      </c>
      <c r="G3" s="247" t="e">
        <f>'przedsiewziecia UE'!L63+'przedsiewziecia UE'!L95+'przedsiewziecia UE'!L106+'przedsiewziecia UE'!L158+'przedsiewziecia UE'!L214+'przedsiewziecia UE'!L243+'przedsiewziecia UE'!L254+'przedsiewziecia UE'!L263+'przedsiewziecia UE'!#REF!+'przedsiewziecia UE'!L272+'przedsiewziecia UE'!L283+'przedsiewziecia UE'!L293+'przedsiewziecia UE'!L302+'przedsiewziecia UE'!L320+'przedsiewziecia UE'!L333+'przedsiewziecia UE'!L344+'przedsiewziecia UE'!L353+'przedsiewziecia UE'!L362+'przedsiewziecia UE'!L371+'przedsiewziecia UE'!L380+'przedsiewziecia UE'!L389</f>
        <v>#REF!</v>
      </c>
      <c r="H3" s="247" t="e">
        <f>'przedsiewziecia UE'!L64+'przedsiewziecia UE'!L96+'przedsiewziecia UE'!L107+'przedsiewziecia UE'!L159+'przedsiewziecia UE'!L215+'przedsiewziecia UE'!L244+'przedsiewziecia UE'!L255+'przedsiewziecia UE'!L264+'przedsiewziecia UE'!#REF!+'przedsiewziecia UE'!L273+'przedsiewziecia UE'!L284+'przedsiewziecia UE'!L294+'przedsiewziecia UE'!L303+'przedsiewziecia UE'!L321+'przedsiewziecia UE'!L334+'przedsiewziecia UE'!L345+'przedsiewziecia UE'!L354+'przedsiewziecia UE'!L363+'przedsiewziecia UE'!L372+'przedsiewziecia UE'!#REF!+'przedsiewziecia UE'!L390</f>
        <v>#REF!</v>
      </c>
    </row>
    <row r="4" spans="1:8" x14ac:dyDescent="0.2">
      <c r="A4" s="246" t="s">
        <v>225</v>
      </c>
      <c r="B4" s="247">
        <f t="shared" ref="B4:B9" si="1">SUM(C4:H4)</f>
        <v>327354</v>
      </c>
      <c r="C4" s="247">
        <f>'przedsiewziecia UE'!L50+'przedsiewziecia UE'!L130</f>
        <v>0</v>
      </c>
      <c r="D4" s="247">
        <f>'przedsiewziecia UE'!L51+'przedsiewziecia UE'!L131</f>
        <v>278252</v>
      </c>
      <c r="E4" s="247">
        <f>'przedsiewziecia UE'!L52+'przedsiewziecia UE'!L132</f>
        <v>0</v>
      </c>
      <c r="F4" s="247">
        <f>'przedsiewziecia UE'!L53+'przedsiewziecia UE'!L133</f>
        <v>49102</v>
      </c>
      <c r="G4" s="247">
        <f>'przedsiewziecia UE'!L54+'przedsiewziecia UE'!L134</f>
        <v>0</v>
      </c>
      <c r="H4" s="247">
        <f>'przedsiewziecia UE'!L55+'przedsiewziecia UE'!L135</f>
        <v>0</v>
      </c>
    </row>
    <row r="5" spans="1:8" x14ac:dyDescent="0.2">
      <c r="A5" s="246" t="s">
        <v>226</v>
      </c>
      <c r="B5" s="247">
        <f t="shared" si="1"/>
        <v>629105</v>
      </c>
      <c r="C5" s="247">
        <f>'przedsiewziecia UE'!L484+'przedsiewziecia UE'!L495</f>
        <v>83847</v>
      </c>
      <c r="D5" s="247">
        <f>'przedsiewziecia UE'!L485+'przedsiewziecia UE'!L496</f>
        <v>506693</v>
      </c>
      <c r="E5" s="247">
        <f>'przedsiewziecia UE'!L486+'przedsiewziecia UE'!L497</f>
        <v>0</v>
      </c>
      <c r="F5" s="247">
        <f>'przedsiewziecia UE'!L487+'przedsiewziecia UE'!L498</f>
        <v>38565</v>
      </c>
      <c r="G5" s="247">
        <f>'przedsiewziecia UE'!L488+'przedsiewziecia UE'!L499</f>
        <v>0</v>
      </c>
      <c r="H5" s="247">
        <f>'przedsiewziecia UE'!L489+'przedsiewziecia UE'!L500</f>
        <v>0</v>
      </c>
    </row>
    <row r="6" spans="1:8" x14ac:dyDescent="0.2">
      <c r="A6" s="246" t="s">
        <v>227</v>
      </c>
      <c r="B6" s="247">
        <f t="shared" si="1"/>
        <v>166779</v>
      </c>
      <c r="C6" s="247">
        <f>'przedsiewziecia UE'!L506+'przedsiewziecia UE'!L520+'przedsiewziecia UE'!L555</f>
        <v>33155</v>
      </c>
      <c r="D6" s="247">
        <f>'przedsiewziecia UE'!L507+'przedsiewziecia UE'!L521+'przedsiewziecia UE'!L556</f>
        <v>133624</v>
      </c>
      <c r="E6" s="247">
        <f>'przedsiewziecia UE'!L508+'przedsiewziecia UE'!L522+'przedsiewziecia UE'!L557</f>
        <v>0</v>
      </c>
      <c r="F6" s="247">
        <f>'przedsiewziecia UE'!L509+'przedsiewziecia UE'!L523+'przedsiewziecia UE'!L558</f>
        <v>0</v>
      </c>
      <c r="G6" s="247">
        <f>'przedsiewziecia UE'!L510+'przedsiewziecia UE'!L524+'przedsiewziecia UE'!L559</f>
        <v>0</v>
      </c>
      <c r="H6" s="247">
        <f>'przedsiewziecia UE'!L511+'przedsiewziecia UE'!L525+'przedsiewziecia UE'!L560</f>
        <v>0</v>
      </c>
    </row>
    <row r="7" spans="1:8" x14ac:dyDescent="0.2">
      <c r="A7" s="246" t="s">
        <v>82</v>
      </c>
      <c r="B7" s="247" t="e">
        <f t="shared" si="1"/>
        <v>#REF!</v>
      </c>
      <c r="C7" s="247" t="e">
        <f>'przedsiewziecia UE'!L394+'przedsiewziecia UE'!#REF!+'przedsiewziecia UE'!L403+'przedsiewziecia UE'!#REF!+'przedsiewziecia UE'!#REF!+'przedsiewziecia UE'!L412+'przedsiewziecia UE'!L421+'przedsiewziecia UE'!#REF!+'przedsiewziecia UE'!L430+'przedsiewziecia UE'!L439+'[1]Załącznik 9'!G32</f>
        <v>#REF!</v>
      </c>
      <c r="D7" s="247" t="e">
        <f>'przedsiewziecia UE'!L395+'przedsiewziecia UE'!#REF!+'przedsiewziecia UE'!L404+'przedsiewziecia UE'!#REF!+'przedsiewziecia UE'!#REF!+'przedsiewziecia UE'!L413+'przedsiewziecia UE'!L422+'przedsiewziecia UE'!#REF!+'przedsiewziecia UE'!L431+'przedsiewziecia UE'!L440+'[1]Załącznik 9'!G33</f>
        <v>#REF!</v>
      </c>
      <c r="E7" s="247" t="e">
        <f>'przedsiewziecia UE'!L396+'przedsiewziecia UE'!#REF!+'przedsiewziecia UE'!L405+'przedsiewziecia UE'!#REF!+'przedsiewziecia UE'!#REF!+'przedsiewziecia UE'!L414+'przedsiewziecia UE'!L423+'przedsiewziecia UE'!#REF!+'przedsiewziecia UE'!L432+'przedsiewziecia UE'!L441+'[1]Załącznik 9'!G34</f>
        <v>#REF!</v>
      </c>
    </row>
    <row r="8" spans="1:8" x14ac:dyDescent="0.2">
      <c r="A8" s="246" t="s">
        <v>229</v>
      </c>
      <c r="B8" s="247" t="e">
        <f t="shared" si="1"/>
        <v>#REF!</v>
      </c>
      <c r="C8" s="247" t="e">
        <f>'przedsiewziecia UE'!#REF!+'przedsiewziecia UE'!L448+'przedsiewziecia UE'!#REF!+'przedsiewziecia UE'!L457+'przedsiewziecia UE'!L466</f>
        <v>#REF!</v>
      </c>
      <c r="D8" s="247" t="e">
        <f>'przedsiewziecia UE'!#REF!+'przedsiewziecia UE'!L449+'przedsiewziecia UE'!#REF!+'przedsiewziecia UE'!L458+'przedsiewziecia UE'!L467</f>
        <v>#REF!</v>
      </c>
      <c r="E8" s="247" t="e">
        <f>'przedsiewziecia UE'!#REF!+'przedsiewziecia UE'!L450+'przedsiewziecia UE'!#REF!+'przedsiewziecia UE'!L459+'przedsiewziecia UE'!L468</f>
        <v>#REF!</v>
      </c>
    </row>
    <row r="9" spans="1:8" x14ac:dyDescent="0.2">
      <c r="A9" s="246" t="s">
        <v>339</v>
      </c>
      <c r="B9" s="247">
        <f t="shared" si="1"/>
        <v>722029</v>
      </c>
      <c r="C9" s="247">
        <f>'[1]Załącznik 9'!G39+'[2]przedsiewziecia UE'!L208+'[2]przedsiewziecia UE'!L215+'[2]przedsiewziecia UE'!L222+'przedsiewziecia UE'!L39</f>
        <v>112042</v>
      </c>
      <c r="D9" s="247">
        <f>'[1]Załącznik 9'!G40+'[2]przedsiewziecia UE'!L211+'[2]przedsiewziecia UE'!L218+'[2]przedsiewziecia UE'!L225+'przedsiewziecia UE'!L40</f>
        <v>609987</v>
      </c>
    </row>
    <row r="11" spans="1:8" x14ac:dyDescent="0.2">
      <c r="A11" s="246" t="s">
        <v>228</v>
      </c>
      <c r="B11" s="247">
        <f t="shared" ref="B11:B16" si="2">SUM(C11:H11)</f>
        <v>225645316</v>
      </c>
      <c r="C11" s="247">
        <f t="shared" ref="C11:H11" si="3">SUM(C12:C16)</f>
        <v>40032525</v>
      </c>
      <c r="D11" s="247">
        <f t="shared" si="3"/>
        <v>110422420</v>
      </c>
      <c r="E11" s="247">
        <f t="shared" si="3"/>
        <v>60168962</v>
      </c>
      <c r="F11" s="247">
        <f t="shared" si="3"/>
        <v>2942271</v>
      </c>
      <c r="G11" s="247">
        <f t="shared" si="3"/>
        <v>12079138</v>
      </c>
      <c r="H11" s="247">
        <f t="shared" si="3"/>
        <v>0</v>
      </c>
    </row>
    <row r="12" spans="1:8" x14ac:dyDescent="0.2">
      <c r="A12" s="246" t="s">
        <v>226</v>
      </c>
      <c r="B12" s="247">
        <f t="shared" si="2"/>
        <v>96942993</v>
      </c>
      <c r="C12" s="247">
        <f>'przedsiewziecia UE'!L651+'przedsiewziecia UE'!L679+'przedsiewziecia UE'!L688+'przedsiewziecia UE'!L698+'przedsiewziecia UE'!L707+'przedsiewziecia UE'!L716+'przedsiewziecia UE'!L795+'przedsiewziecia UE'!L805+'przedsiewziecia UE'!L816+'przedsiewziecia UE'!L825</f>
        <v>23014615</v>
      </c>
      <c r="D12" s="247">
        <f>'przedsiewziecia UE'!L652+'przedsiewziecia UE'!L680+'przedsiewziecia UE'!L689+'przedsiewziecia UE'!L699+'przedsiewziecia UE'!L708+'przedsiewziecia UE'!L717+'przedsiewziecia UE'!L796+'przedsiewziecia UE'!L806+'przedsiewziecia UE'!L817+'przedsiewziecia UE'!L826</f>
        <v>25766923</v>
      </c>
      <c r="E12" s="247">
        <f>'przedsiewziecia UE'!L653+'przedsiewziecia UE'!L681+'przedsiewziecia UE'!L690+'przedsiewziecia UE'!L700+'przedsiewziecia UE'!L709+'przedsiewziecia UE'!L718+'przedsiewziecia UE'!L797+'przedsiewziecia UE'!L807+'przedsiewziecia UE'!L818+'przedsiewziecia UE'!L827</f>
        <v>42891080</v>
      </c>
      <c r="F12" s="247">
        <f>'przedsiewziecia UE'!L654+'przedsiewziecia UE'!L682+'przedsiewziecia UE'!L691+'przedsiewziecia UE'!L701+'przedsiewziecia UE'!L710+'przedsiewziecia UE'!L719+'przedsiewziecia UE'!L798+'przedsiewziecia UE'!L808+'przedsiewziecia UE'!L819+'przedsiewziecia UE'!L828</f>
        <v>45000</v>
      </c>
      <c r="G12" s="247">
        <f>'przedsiewziecia UE'!L655+'przedsiewziecia UE'!L683+'przedsiewziecia UE'!L692+'przedsiewziecia UE'!L702+'przedsiewziecia UE'!L711+'przedsiewziecia UE'!L720+'przedsiewziecia UE'!L799+'przedsiewziecia UE'!L809+'przedsiewziecia UE'!L820+'przedsiewziecia UE'!L829</f>
        <v>5225375</v>
      </c>
      <c r="H12" s="247">
        <f>'przedsiewziecia UE'!L656+'przedsiewziecia UE'!L684+'przedsiewziecia UE'!L693+'przedsiewziecia UE'!L703+'przedsiewziecia UE'!L712+'przedsiewziecia UE'!L721+'przedsiewziecia UE'!L800+'przedsiewziecia UE'!L810+'przedsiewziecia UE'!L821+'przedsiewziecia UE'!L830</f>
        <v>0</v>
      </c>
    </row>
    <row r="13" spans="1:8" x14ac:dyDescent="0.2">
      <c r="A13" s="246" t="s">
        <v>227</v>
      </c>
      <c r="B13" s="247">
        <f t="shared" si="2"/>
        <v>83845063</v>
      </c>
      <c r="C13" s="247">
        <f>'przedsiewziecia UE'!L582+'przedsiewziecia UE'!L595+'przedsiewziecia UE'!L725+'przedsiewziecia UE'!L734+'przedsiewziecia UE'!L744+'przedsiewziecia UE'!L755+'przedsiewziecia UE'!L775+'[1]Załącznik 9'!$G$67</f>
        <v>8293948</v>
      </c>
      <c r="D13" s="247">
        <f>'przedsiewziecia UE'!L583+'przedsiewziecia UE'!L596+'przedsiewziecia UE'!L726+'przedsiewziecia UE'!L735+'przedsiewziecia UE'!L745+'przedsiewziecia UE'!L756+'przedsiewziecia UE'!L776+'[1]Załącznik 9'!$G$68</f>
        <v>48921009</v>
      </c>
      <c r="E13" s="247">
        <f>'przedsiewziecia UE'!L584+'przedsiewziecia UE'!L597+'przedsiewziecia UE'!L727+'przedsiewziecia UE'!L736+'przedsiewziecia UE'!L746+'przedsiewziecia UE'!L757+'przedsiewziecia UE'!L777</f>
        <v>17277882</v>
      </c>
      <c r="F13" s="247">
        <f>'przedsiewziecia UE'!L585+'przedsiewziecia UE'!L598+'przedsiewziecia UE'!L728+'przedsiewziecia UE'!L737+'przedsiewziecia UE'!L747+'przedsiewziecia UE'!L758+'przedsiewziecia UE'!L778</f>
        <v>2876711</v>
      </c>
      <c r="G13" s="247">
        <f>'przedsiewziecia UE'!L586+'przedsiewziecia UE'!L599+'przedsiewziecia UE'!L729+'przedsiewziecia UE'!L738+'przedsiewziecia UE'!L748+'przedsiewziecia UE'!L759+'przedsiewziecia UE'!L779</f>
        <v>6475513</v>
      </c>
      <c r="H13" s="247">
        <f>'przedsiewziecia UE'!L587+'przedsiewziecia UE'!L600+'przedsiewziecia UE'!L730+'przedsiewziecia UE'!L739+'przedsiewziecia UE'!L749+'przedsiewziecia UE'!L760+'przedsiewziecia UE'!L780</f>
        <v>0</v>
      </c>
    </row>
    <row r="14" spans="1:8" x14ac:dyDescent="0.2">
      <c r="A14" s="246" t="s">
        <v>225</v>
      </c>
      <c r="B14" s="247">
        <f t="shared" si="2"/>
        <v>6690</v>
      </c>
      <c r="C14" s="247">
        <f>'przedsiewziecia UE'!L617</f>
        <v>6690</v>
      </c>
    </row>
    <row r="15" spans="1:8" x14ac:dyDescent="0.2">
      <c r="A15" s="246" t="s">
        <v>230</v>
      </c>
      <c r="B15" s="247">
        <f t="shared" si="2"/>
        <v>44685078</v>
      </c>
      <c r="C15" s="247">
        <f>'przedsiewziecia UE'!L670</f>
        <v>8717272</v>
      </c>
      <c r="D15" s="247">
        <f>'przedsiewziecia UE'!L671</f>
        <v>35589556</v>
      </c>
      <c r="E15" s="247">
        <f>'przedsiewziecia UE'!L672</f>
        <v>0</v>
      </c>
      <c r="F15" s="247">
        <f>'przedsiewziecia UE'!L673</f>
        <v>0</v>
      </c>
      <c r="G15" s="247">
        <f>'przedsiewziecia UE'!L674</f>
        <v>378250</v>
      </c>
      <c r="H15" s="247">
        <f>'przedsiewziecia UE'!L675</f>
        <v>0</v>
      </c>
    </row>
    <row r="16" spans="1:8" x14ac:dyDescent="0.2">
      <c r="A16" s="246" t="s">
        <v>224</v>
      </c>
      <c r="B16" s="247">
        <f t="shared" si="2"/>
        <v>165492</v>
      </c>
      <c r="C16" s="247">
        <f>'[1]Załącznik 9'!$G$60+'[1]Załącznik 9'!$G$74+'[1]Załącznik 9'!$G$95</f>
        <v>0</v>
      </c>
      <c r="D16" s="247">
        <f>'[1]Załącznik 9'!$G$61+'[1]Załącznik 9'!$G$75+'[1]Załącznik 9'!$G$96</f>
        <v>144932</v>
      </c>
      <c r="F16" s="247">
        <f>'[1]Załącznik 9'!$G$62+'[1]Załącznik 9'!$G$76+'[1]Załącznik 9'!$G$97</f>
        <v>20560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28" sqref="G28"/>
    </sheetView>
  </sheetViews>
  <sheetFormatPr defaultRowHeight="12.75" x14ac:dyDescent="0.2"/>
  <cols>
    <col min="1" max="1" width="18.85546875" customWidth="1"/>
    <col min="2" max="8" width="14.7109375" style="247" customWidth="1"/>
    <col min="9" max="9" width="12.7109375" style="247" customWidth="1"/>
  </cols>
  <sheetData>
    <row r="1" spans="1:8" x14ac:dyDescent="0.2">
      <c r="B1" s="248" t="s">
        <v>231</v>
      </c>
      <c r="C1" s="248" t="s">
        <v>232</v>
      </c>
      <c r="D1" s="248" t="s">
        <v>233</v>
      </c>
      <c r="E1" s="248" t="s">
        <v>234</v>
      </c>
      <c r="F1" s="248" t="s">
        <v>237</v>
      </c>
      <c r="G1" s="248" t="s">
        <v>235</v>
      </c>
      <c r="H1" s="248" t="s">
        <v>236</v>
      </c>
    </row>
    <row r="2" spans="1:8" x14ac:dyDescent="0.2">
      <c r="A2" s="246" t="s">
        <v>223</v>
      </c>
      <c r="B2" s="247" t="e">
        <f>SUM(C2:H2)</f>
        <v>#REF!</v>
      </c>
      <c r="C2" s="247" t="e">
        <f t="shared" ref="C2:H2" si="0">SUM(C3:C9)</f>
        <v>#REF!</v>
      </c>
      <c r="D2" s="247" t="e">
        <f t="shared" si="0"/>
        <v>#REF!</v>
      </c>
      <c r="E2" s="247" t="e">
        <f t="shared" si="0"/>
        <v>#REF!</v>
      </c>
      <c r="F2" s="247" t="e">
        <f t="shared" si="0"/>
        <v>#REF!</v>
      </c>
      <c r="G2" s="247" t="e">
        <f t="shared" si="0"/>
        <v>#REF!</v>
      </c>
      <c r="H2" s="247" t="e">
        <f t="shared" si="0"/>
        <v>#REF!</v>
      </c>
    </row>
    <row r="3" spans="1:8" x14ac:dyDescent="0.2">
      <c r="A3" s="246" t="s">
        <v>224</v>
      </c>
      <c r="B3" s="247" t="e">
        <f>SUM(C3:H3)</f>
        <v>#REF!</v>
      </c>
      <c r="C3" s="247" t="e">
        <f>'przedsiewziecia UE'!L59+'przedsiewziecia UE'!L91+'przedsiewziecia UE'!L102+'przedsiewziecia UE'!L154+'przedsiewziecia UE'!L210+'przedsiewziecia UE'!L239+'przedsiewziecia UE'!L250+'przedsiewziecia UE'!L259+'przedsiewziecia UE'!#REF!+'przedsiewziecia UE'!L268+'przedsiewziecia UE'!L279+'przedsiewziecia UE'!L289+'przedsiewziecia UE'!L298+'przedsiewziecia UE'!L316+'przedsiewziecia UE'!L329+'przedsiewziecia UE'!L340+'przedsiewziecia UE'!L349+'przedsiewziecia UE'!L358+'przedsiewziecia UE'!L367+'przedsiewziecia UE'!L376+'przedsiewziecia UE'!L385</f>
        <v>#REF!</v>
      </c>
      <c r="D3" s="247" t="e">
        <f>'przedsiewziecia UE'!L60+'przedsiewziecia UE'!L92+'przedsiewziecia UE'!L103+'przedsiewziecia UE'!L155+'przedsiewziecia UE'!L211+'przedsiewziecia UE'!L240+'przedsiewziecia UE'!L251+'przedsiewziecia UE'!L260+'przedsiewziecia UE'!#REF!+'przedsiewziecia UE'!L269+'przedsiewziecia UE'!L280+'przedsiewziecia UE'!L290+'przedsiewziecia UE'!L299+'przedsiewziecia UE'!L317+'przedsiewziecia UE'!L330+'przedsiewziecia UE'!L341+'przedsiewziecia UE'!L350+'przedsiewziecia UE'!L359+'przedsiewziecia UE'!L368+'przedsiewziecia UE'!L377+'przedsiewziecia UE'!L386</f>
        <v>#REF!</v>
      </c>
      <c r="E3" s="247" t="e">
        <f>'przedsiewziecia UE'!L61+'przedsiewziecia UE'!L93+'przedsiewziecia UE'!L104+'przedsiewziecia UE'!L156+'przedsiewziecia UE'!L212+'przedsiewziecia UE'!L241+'przedsiewziecia UE'!L252+'przedsiewziecia UE'!L261+'przedsiewziecia UE'!#REF!+'przedsiewziecia UE'!L270+'przedsiewziecia UE'!L281+'przedsiewziecia UE'!L291+'przedsiewziecia UE'!L300+'przedsiewziecia UE'!L318+'przedsiewziecia UE'!L331+'przedsiewziecia UE'!L342+'przedsiewziecia UE'!L351+'przedsiewziecia UE'!L360+'przedsiewziecia UE'!L369+'przedsiewziecia UE'!L378+'przedsiewziecia UE'!L387</f>
        <v>#REF!</v>
      </c>
      <c r="F3" s="247" t="e">
        <f>'przedsiewziecia UE'!L62+'przedsiewziecia UE'!L94+'przedsiewziecia UE'!L105+'przedsiewziecia UE'!L157+'przedsiewziecia UE'!L213+'przedsiewziecia UE'!L242+'przedsiewziecia UE'!L253+'przedsiewziecia UE'!L262+'przedsiewziecia UE'!#REF!+'przedsiewziecia UE'!L271+'przedsiewziecia UE'!L282+'przedsiewziecia UE'!L292+'przedsiewziecia UE'!L301+'przedsiewziecia UE'!L319+'przedsiewziecia UE'!L332+'przedsiewziecia UE'!L343+'przedsiewziecia UE'!L352+'przedsiewziecia UE'!L361+'przedsiewziecia UE'!L370+'przedsiewziecia UE'!L379+'przedsiewziecia UE'!L388</f>
        <v>#REF!</v>
      </c>
      <c r="G3" s="247" t="e">
        <f>'przedsiewziecia UE'!L63+'przedsiewziecia UE'!L95+'przedsiewziecia UE'!L106+'przedsiewziecia UE'!L158+'przedsiewziecia UE'!L214+'przedsiewziecia UE'!L243+'przedsiewziecia UE'!L254+'przedsiewziecia UE'!L263+'przedsiewziecia UE'!#REF!+'przedsiewziecia UE'!L272+'przedsiewziecia UE'!L283+'przedsiewziecia UE'!L293+'przedsiewziecia UE'!L302+'przedsiewziecia UE'!L320+'przedsiewziecia UE'!L333+'przedsiewziecia UE'!L344+'przedsiewziecia UE'!L353+'przedsiewziecia UE'!L362+'przedsiewziecia UE'!L371+'przedsiewziecia UE'!L380+'przedsiewziecia UE'!L389</f>
        <v>#REF!</v>
      </c>
      <c r="H3" s="247" t="e">
        <f>'przedsiewziecia UE'!L64+'przedsiewziecia UE'!L96+'przedsiewziecia UE'!L107+'przedsiewziecia UE'!L159+'przedsiewziecia UE'!L215+'przedsiewziecia UE'!L244+'przedsiewziecia UE'!L255+'przedsiewziecia UE'!L264+'przedsiewziecia UE'!#REF!+'przedsiewziecia UE'!L273+'przedsiewziecia UE'!L284+'przedsiewziecia UE'!L294+'przedsiewziecia UE'!L303+'przedsiewziecia UE'!L321+'przedsiewziecia UE'!L334+'przedsiewziecia UE'!L345+'przedsiewziecia UE'!L354+'przedsiewziecia UE'!L363+'przedsiewziecia UE'!L372+'przedsiewziecia UE'!#REF!+'przedsiewziecia UE'!L390</f>
        <v>#REF!</v>
      </c>
    </row>
    <row r="4" spans="1:8" x14ac:dyDescent="0.2">
      <c r="A4" s="246" t="s">
        <v>225</v>
      </c>
      <c r="B4" s="247">
        <f t="shared" ref="B4:B9" si="1">SUM(C4:H4)</f>
        <v>327354</v>
      </c>
      <c r="C4" s="247">
        <f>'przedsiewziecia UE'!L50+'przedsiewziecia UE'!L130</f>
        <v>0</v>
      </c>
      <c r="D4" s="247">
        <f>'przedsiewziecia UE'!L51+'przedsiewziecia UE'!L131</f>
        <v>278252</v>
      </c>
      <c r="E4" s="247">
        <f>'przedsiewziecia UE'!L52+'przedsiewziecia UE'!L132</f>
        <v>0</v>
      </c>
      <c r="F4" s="247">
        <f>'przedsiewziecia UE'!L53+'przedsiewziecia UE'!L133</f>
        <v>49102</v>
      </c>
      <c r="G4" s="247">
        <f>'przedsiewziecia UE'!L54+'przedsiewziecia UE'!L134</f>
        <v>0</v>
      </c>
      <c r="H4" s="247">
        <f>'przedsiewziecia UE'!L55+'przedsiewziecia UE'!L135</f>
        <v>0</v>
      </c>
    </row>
    <row r="5" spans="1:8" x14ac:dyDescent="0.2">
      <c r="A5" s="246" t="s">
        <v>226</v>
      </c>
      <c r="B5" s="247">
        <f t="shared" si="1"/>
        <v>629105</v>
      </c>
      <c r="C5" s="247">
        <f>'przedsiewziecia UE'!L484+'przedsiewziecia UE'!L495</f>
        <v>83847</v>
      </c>
      <c r="D5" s="247">
        <f>'przedsiewziecia UE'!L485+'przedsiewziecia UE'!L496</f>
        <v>506693</v>
      </c>
      <c r="E5" s="247">
        <f>'przedsiewziecia UE'!L486+'przedsiewziecia UE'!L497</f>
        <v>0</v>
      </c>
      <c r="F5" s="247">
        <f>'przedsiewziecia UE'!L487+'przedsiewziecia UE'!L498</f>
        <v>38565</v>
      </c>
      <c r="G5" s="247">
        <f>'przedsiewziecia UE'!L488+'przedsiewziecia UE'!L499</f>
        <v>0</v>
      </c>
      <c r="H5" s="247">
        <f>'przedsiewziecia UE'!L489+'przedsiewziecia UE'!L500</f>
        <v>0</v>
      </c>
    </row>
    <row r="6" spans="1:8" x14ac:dyDescent="0.2">
      <c r="A6" s="246" t="s">
        <v>227</v>
      </c>
      <c r="B6" s="247">
        <f t="shared" si="1"/>
        <v>166779</v>
      </c>
      <c r="C6" s="247">
        <f>'przedsiewziecia UE'!L506+'przedsiewziecia UE'!L520+'przedsiewziecia UE'!L555</f>
        <v>33155</v>
      </c>
      <c r="D6" s="247">
        <f>'przedsiewziecia UE'!L507+'przedsiewziecia UE'!L521+'przedsiewziecia UE'!L556</f>
        <v>133624</v>
      </c>
      <c r="E6" s="247">
        <f>'przedsiewziecia UE'!L508+'przedsiewziecia UE'!L522+'przedsiewziecia UE'!L557</f>
        <v>0</v>
      </c>
      <c r="F6" s="247">
        <f>'przedsiewziecia UE'!L509+'przedsiewziecia UE'!L523+'przedsiewziecia UE'!L558</f>
        <v>0</v>
      </c>
      <c r="G6" s="247">
        <f>'przedsiewziecia UE'!L510+'przedsiewziecia UE'!L524+'przedsiewziecia UE'!L559</f>
        <v>0</v>
      </c>
      <c r="H6" s="247">
        <f>'przedsiewziecia UE'!L511+'przedsiewziecia UE'!L525+'przedsiewziecia UE'!L560</f>
        <v>0</v>
      </c>
    </row>
    <row r="7" spans="1:8" x14ac:dyDescent="0.2">
      <c r="A7" s="246" t="s">
        <v>82</v>
      </c>
      <c r="B7" s="247" t="e">
        <f t="shared" si="1"/>
        <v>#REF!</v>
      </c>
      <c r="C7" s="247" t="e">
        <f>'przedsiewziecia UE'!L394+'przedsiewziecia UE'!#REF!+'przedsiewziecia UE'!L403+'przedsiewziecia UE'!#REF!+'przedsiewziecia UE'!#REF!+'przedsiewziecia UE'!L412+'przedsiewziecia UE'!L421+'przedsiewziecia UE'!#REF!+'przedsiewziecia UE'!L430+'przedsiewziecia UE'!L439+'[1]Załącznik 9'!G32</f>
        <v>#REF!</v>
      </c>
      <c r="D7" s="247" t="e">
        <f>'przedsiewziecia UE'!L395+'przedsiewziecia UE'!#REF!+'przedsiewziecia UE'!L404+'przedsiewziecia UE'!#REF!+'przedsiewziecia UE'!#REF!+'przedsiewziecia UE'!L413+'przedsiewziecia UE'!L422+'przedsiewziecia UE'!#REF!+'przedsiewziecia UE'!L431+'przedsiewziecia UE'!L440+'[1]Załącznik 9'!G33</f>
        <v>#REF!</v>
      </c>
      <c r="E7" s="247" t="e">
        <f>'przedsiewziecia UE'!L396+'przedsiewziecia UE'!#REF!+'przedsiewziecia UE'!L405+'przedsiewziecia UE'!#REF!+'przedsiewziecia UE'!#REF!+'przedsiewziecia UE'!L414+'przedsiewziecia UE'!L423+'przedsiewziecia UE'!#REF!+'przedsiewziecia UE'!L432+'przedsiewziecia UE'!L441+'[1]Załącznik 9'!G34</f>
        <v>#REF!</v>
      </c>
    </row>
    <row r="8" spans="1:8" x14ac:dyDescent="0.2">
      <c r="A8" s="246" t="s">
        <v>229</v>
      </c>
      <c r="B8" s="247" t="e">
        <f t="shared" si="1"/>
        <v>#REF!</v>
      </c>
      <c r="C8" s="247" t="e">
        <f>'przedsiewziecia UE'!#REF!+'przedsiewziecia UE'!L448+'przedsiewziecia UE'!#REF!+'przedsiewziecia UE'!L457+'przedsiewziecia UE'!L466</f>
        <v>#REF!</v>
      </c>
      <c r="D8" s="247" t="e">
        <f>'przedsiewziecia UE'!#REF!+'przedsiewziecia UE'!L449+'przedsiewziecia UE'!#REF!+'przedsiewziecia UE'!L458+'przedsiewziecia UE'!L467</f>
        <v>#REF!</v>
      </c>
      <c r="E8" s="247" t="e">
        <f>'przedsiewziecia UE'!#REF!+'przedsiewziecia UE'!L450+'przedsiewziecia UE'!#REF!+'przedsiewziecia UE'!L459+'przedsiewziecia UE'!L468</f>
        <v>#REF!</v>
      </c>
    </row>
    <row r="9" spans="1:8" x14ac:dyDescent="0.2">
      <c r="A9" s="246" t="s">
        <v>339</v>
      </c>
      <c r="B9" s="247">
        <f t="shared" si="1"/>
        <v>722029</v>
      </c>
      <c r="C9" s="247">
        <f>'[1]Załącznik 9'!G39+'[2]przedsiewziecia UE'!L208+'[2]przedsiewziecia UE'!L215+'[2]przedsiewziecia UE'!L222+'przedsiewziecia UE'!L39</f>
        <v>112042</v>
      </c>
      <c r="D9" s="247">
        <f>'[1]Załącznik 9'!G40+'[2]przedsiewziecia UE'!L211+'[2]przedsiewziecia UE'!L218+'[2]przedsiewziecia UE'!L225+'przedsiewziecia UE'!L40</f>
        <v>609987</v>
      </c>
    </row>
    <row r="11" spans="1:8" x14ac:dyDescent="0.2">
      <c r="A11" s="246" t="s">
        <v>228</v>
      </c>
      <c r="B11" s="247">
        <f t="shared" ref="B11:B16" si="2">SUM(C11:H11)</f>
        <v>43163292.43</v>
      </c>
      <c r="C11" s="247">
        <f t="shared" ref="C11:H11" si="3">SUM(C12:C16)</f>
        <v>7906392.04</v>
      </c>
      <c r="D11" s="247">
        <f t="shared" si="3"/>
        <v>18915101.319999997</v>
      </c>
      <c r="E11" s="247">
        <f t="shared" si="3"/>
        <v>13534521.050000001</v>
      </c>
      <c r="F11" s="247">
        <f t="shared" si="3"/>
        <v>7090.49</v>
      </c>
      <c r="G11" s="247">
        <f t="shared" si="3"/>
        <v>2800187.5300000003</v>
      </c>
      <c r="H11" s="247">
        <f t="shared" si="3"/>
        <v>0</v>
      </c>
    </row>
    <row r="12" spans="1:8" x14ac:dyDescent="0.2">
      <c r="A12" s="246" t="s">
        <v>226</v>
      </c>
      <c r="B12" s="247">
        <f t="shared" si="2"/>
        <v>27905235.969999999</v>
      </c>
      <c r="C12" s="247">
        <f>'przedsiewziecia UE'!M651+'przedsiewziecia UE'!M679+'przedsiewziecia UE'!M688+'przedsiewziecia UE'!M698+'przedsiewziecia UE'!M707+'przedsiewziecia UE'!M716+'przedsiewziecia UE'!M795+'przedsiewziecia UE'!M805+'przedsiewziecia UE'!M816+'przedsiewziecia UE'!M825</f>
        <v>5198541.8</v>
      </c>
      <c r="D12" s="247">
        <f>'przedsiewziecia UE'!M652+'przedsiewziecia UE'!M680+'przedsiewziecia UE'!M689+'przedsiewziecia UE'!M699+'przedsiewziecia UE'!M708+'przedsiewziecia UE'!M717+'przedsiewziecia UE'!M796+'przedsiewziecia UE'!M806+'przedsiewziecia UE'!M817+'przedsiewziecia UE'!M826</f>
        <v>10992007.449999999</v>
      </c>
      <c r="E12" s="247">
        <f>'przedsiewziecia UE'!M653+'przedsiewziecia UE'!M681+'przedsiewziecia UE'!M690+'przedsiewziecia UE'!M700+'przedsiewziecia UE'!M709+'przedsiewziecia UE'!M718+'przedsiewziecia UE'!M797+'przedsiewziecia UE'!M807+'przedsiewziecia UE'!M818+'przedsiewziecia UE'!M827</f>
        <v>10043488.720000001</v>
      </c>
      <c r="F12" s="247">
        <f>'przedsiewziecia UE'!M654+'przedsiewziecia UE'!M682+'przedsiewziecia UE'!M691+'przedsiewziecia UE'!M701+'przedsiewziecia UE'!M710+'przedsiewziecia UE'!M719+'przedsiewziecia UE'!M798+'przedsiewziecia UE'!M808+'przedsiewziecia UE'!M819+'przedsiewziecia UE'!M828</f>
        <v>0</v>
      </c>
      <c r="G12" s="247">
        <f>'przedsiewziecia UE'!M655+'przedsiewziecia UE'!M683+'przedsiewziecia UE'!M692+'przedsiewziecia UE'!M702+'przedsiewziecia UE'!M711+'przedsiewziecia UE'!M720+'przedsiewziecia UE'!M799+'przedsiewziecia UE'!M809+'przedsiewziecia UE'!M820+'przedsiewziecia UE'!M829</f>
        <v>1671198</v>
      </c>
      <c r="H12" s="247">
        <f>'przedsiewziecia UE'!M656+'przedsiewziecia UE'!M684+'przedsiewziecia UE'!M693+'przedsiewziecia UE'!M703+'przedsiewziecia UE'!M712+'przedsiewziecia UE'!M721+'przedsiewziecia UE'!M800+'przedsiewziecia UE'!M810+'przedsiewziecia UE'!M821+'przedsiewziecia UE'!M830</f>
        <v>0</v>
      </c>
    </row>
    <row r="13" spans="1:8" x14ac:dyDescent="0.2">
      <c r="A13" s="246" t="s">
        <v>227</v>
      </c>
      <c r="B13" s="247">
        <f t="shared" si="2"/>
        <v>13443246.109999998</v>
      </c>
      <c r="C13" s="247">
        <f>'przedsiewziecia UE'!M582+'przedsiewziecia UE'!M595+'przedsiewziecia UE'!M725+'przedsiewziecia UE'!M734+'przedsiewziecia UE'!M744+'przedsiewziecia UE'!M755+'przedsiewziecia UE'!M775+'[1]Załącznik 9'!$H$67</f>
        <v>1260082.32</v>
      </c>
      <c r="D13" s="247">
        <f>'przedsiewziecia UE'!M583+'przedsiewziecia UE'!M596+'przedsiewziecia UE'!M726+'przedsiewziecia UE'!M735+'przedsiewziecia UE'!M745+'przedsiewziecia UE'!M756+'przedsiewziecia UE'!M776+'[1]Załącznik 9'!$H$68</f>
        <v>7815550.5099999988</v>
      </c>
      <c r="E13" s="247">
        <f>'przedsiewziecia UE'!M584+'przedsiewziecia UE'!M597+'przedsiewziecia UE'!M727+'przedsiewziecia UE'!M736+'przedsiewziecia UE'!M746+'przedsiewziecia UE'!M757+'przedsiewziecia UE'!M777</f>
        <v>3491032.33</v>
      </c>
      <c r="F13" s="247">
        <f>'przedsiewziecia UE'!M585+'przedsiewziecia UE'!M598+'przedsiewziecia UE'!M728+'przedsiewziecia UE'!M737+'przedsiewziecia UE'!M747+'przedsiewziecia UE'!M758+'przedsiewziecia UE'!M778</f>
        <v>2105.27</v>
      </c>
      <c r="G13" s="247">
        <f>'przedsiewziecia UE'!M586+'przedsiewziecia UE'!M599+'przedsiewziecia UE'!M729+'przedsiewziecia UE'!M738+'przedsiewziecia UE'!M748+'przedsiewziecia UE'!M759+'przedsiewziecia UE'!M779</f>
        <v>874475.68</v>
      </c>
      <c r="H13" s="247">
        <f>'przedsiewziecia UE'!M587+'przedsiewziecia UE'!M600+'przedsiewziecia UE'!M730+'przedsiewziecia UE'!M739+'przedsiewziecia UE'!M749+'przedsiewziecia UE'!M760+'przedsiewziecia UE'!M780</f>
        <v>0</v>
      </c>
    </row>
    <row r="14" spans="1:8" x14ac:dyDescent="0.2">
      <c r="A14" s="246" t="s">
        <v>225</v>
      </c>
      <c r="B14" s="247">
        <f t="shared" si="2"/>
        <v>3000</v>
      </c>
      <c r="C14" s="247">
        <f>'przedsiewziecia UE'!M617</f>
        <v>3000</v>
      </c>
    </row>
    <row r="15" spans="1:8" x14ac:dyDescent="0.2">
      <c r="A15" s="246" t="s">
        <v>230</v>
      </c>
      <c r="B15" s="247">
        <f t="shared" si="2"/>
        <v>1750139.65</v>
      </c>
      <c r="C15" s="247">
        <f>'przedsiewziecia UE'!M670</f>
        <v>1444767.92</v>
      </c>
      <c r="D15" s="247">
        <f>'przedsiewziecia UE'!M671</f>
        <v>50857.88</v>
      </c>
      <c r="E15" s="247">
        <f>'przedsiewziecia UE'!M672</f>
        <v>0</v>
      </c>
      <c r="F15" s="247">
        <f>'przedsiewziecia UE'!M673</f>
        <v>0</v>
      </c>
      <c r="G15" s="247">
        <f>'przedsiewziecia UE'!M674</f>
        <v>254513.85</v>
      </c>
      <c r="H15" s="247">
        <f>'przedsiewziecia UE'!M675</f>
        <v>0</v>
      </c>
    </row>
    <row r="16" spans="1:8" x14ac:dyDescent="0.2">
      <c r="A16" s="246" t="s">
        <v>224</v>
      </c>
      <c r="B16" s="247">
        <f t="shared" si="2"/>
        <v>61670.700000000004</v>
      </c>
      <c r="C16" s="247">
        <f>'[1]Załącznik 9'!$H$60+'[1]Załącznik 9'!$H$74+'[1]Załącznik 9'!$H$95</f>
        <v>0</v>
      </c>
      <c r="D16" s="247">
        <f>'[1]Załącznik 9'!$H$61+'[1]Załącznik 9'!$H$75+'[1]Załącznik 9'!$H$96</f>
        <v>56685.48</v>
      </c>
      <c r="F16" s="247">
        <f>'[1]Załącznik 9'!$H$62+'[1]Załącznik 9'!$H$76+'[1]Załącznik 9'!$H$97</f>
        <v>4985.22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M13" sqref="M13:M17"/>
    </sheetView>
  </sheetViews>
  <sheetFormatPr defaultRowHeight="12.75" x14ac:dyDescent="0.2"/>
  <cols>
    <col min="1" max="2" width="19.7109375" customWidth="1"/>
    <col min="3" max="9" width="14.7109375" customWidth="1"/>
  </cols>
  <sheetData>
    <row r="1" spans="1:13" s="251" customFormat="1" x14ac:dyDescent="0.2">
      <c r="C1" s="252" t="s">
        <v>231</v>
      </c>
      <c r="D1" s="252" t="s">
        <v>232</v>
      </c>
      <c r="E1" s="252" t="s">
        <v>233</v>
      </c>
      <c r="F1" s="252" t="s">
        <v>234</v>
      </c>
      <c r="G1" s="252" t="s">
        <v>237</v>
      </c>
      <c r="H1" s="252" t="s">
        <v>235</v>
      </c>
      <c r="I1" s="252" t="s">
        <v>236</v>
      </c>
    </row>
    <row r="2" spans="1:13" s="249" customFormat="1" x14ac:dyDescent="0.2">
      <c r="A2" s="249" t="s">
        <v>240</v>
      </c>
      <c r="C2" s="250" t="e">
        <f>SUM(D2:I2)</f>
        <v>#REF!</v>
      </c>
      <c r="D2" s="250" t="e">
        <f t="shared" ref="D2:I2" si="0">SUM(D3:D9)</f>
        <v>#REF!</v>
      </c>
      <c r="E2" s="250" t="e">
        <f t="shared" si="0"/>
        <v>#REF!</v>
      </c>
      <c r="F2" s="250" t="e">
        <f t="shared" si="0"/>
        <v>#REF!</v>
      </c>
      <c r="G2" s="250" t="e">
        <f t="shared" si="0"/>
        <v>#REF!</v>
      </c>
      <c r="H2" s="250" t="e">
        <f t="shared" si="0"/>
        <v>#REF!</v>
      </c>
      <c r="I2" s="250" t="e">
        <f t="shared" si="0"/>
        <v>#REF!</v>
      </c>
      <c r="M2" s="249">
        <f>SUM(M3:M9)</f>
        <v>49</v>
      </c>
    </row>
    <row r="3" spans="1:13" x14ac:dyDescent="0.2">
      <c r="A3" s="246" t="s">
        <v>224</v>
      </c>
      <c r="B3" s="246"/>
      <c r="C3" s="247" t="e">
        <f>SUM(D3:I3)</f>
        <v>#REF!</v>
      </c>
      <c r="D3" s="247" t="e">
        <f>'przedsiewziecia UE'!M59+'przedsiewziecia UE'!M91+'przedsiewziecia UE'!M102+'przedsiewziecia UE'!M154+'przedsiewziecia UE'!M210+'przedsiewziecia UE'!M239+'przedsiewziecia UE'!M250+'przedsiewziecia UE'!M259+'przedsiewziecia UE'!#REF!+'przedsiewziecia UE'!M268+'przedsiewziecia UE'!M279+'przedsiewziecia UE'!M289+'przedsiewziecia UE'!M298+'przedsiewziecia UE'!M316+'przedsiewziecia UE'!M329+'przedsiewziecia UE'!M340+'przedsiewziecia UE'!M349+'przedsiewziecia UE'!M358+'przedsiewziecia UE'!M367+'przedsiewziecia UE'!M376+'przedsiewziecia UE'!M385</f>
        <v>#REF!</v>
      </c>
      <c r="E3" s="247" t="e">
        <f>'przedsiewziecia UE'!M60+'przedsiewziecia UE'!M92+'przedsiewziecia UE'!M103+'przedsiewziecia UE'!M155+'przedsiewziecia UE'!M211+'przedsiewziecia UE'!M240+'przedsiewziecia UE'!M251+'przedsiewziecia UE'!M260+'przedsiewziecia UE'!#REF!+'przedsiewziecia UE'!M269+'przedsiewziecia UE'!M280+'przedsiewziecia UE'!M290+'przedsiewziecia UE'!M299+'przedsiewziecia UE'!M317+'przedsiewziecia UE'!M330+'przedsiewziecia UE'!M341+'przedsiewziecia UE'!M350+'przedsiewziecia UE'!M359+'przedsiewziecia UE'!M368+'przedsiewziecia UE'!M377+'przedsiewziecia UE'!M386</f>
        <v>#REF!</v>
      </c>
      <c r="F3" s="247" t="e">
        <f>'przedsiewziecia UE'!M61+'przedsiewziecia UE'!M93+'przedsiewziecia UE'!M104+'przedsiewziecia UE'!M156+'przedsiewziecia UE'!M212+'przedsiewziecia UE'!M241+'przedsiewziecia UE'!M252+'przedsiewziecia UE'!M261+'przedsiewziecia UE'!#REF!+'przedsiewziecia UE'!M270+'przedsiewziecia UE'!M281+'przedsiewziecia UE'!M291+'przedsiewziecia UE'!M300+'przedsiewziecia UE'!M318+'przedsiewziecia UE'!M331+'przedsiewziecia UE'!M342+'przedsiewziecia UE'!M351+'przedsiewziecia UE'!M360+'przedsiewziecia UE'!M369+'przedsiewziecia UE'!M378+'przedsiewziecia UE'!M387</f>
        <v>#REF!</v>
      </c>
      <c r="G3" s="247" t="e">
        <f>'przedsiewziecia UE'!M62+'przedsiewziecia UE'!M94+'przedsiewziecia UE'!M105+'przedsiewziecia UE'!M157+'przedsiewziecia UE'!M213+'przedsiewziecia UE'!M242+'przedsiewziecia UE'!M253+'przedsiewziecia UE'!M262+'przedsiewziecia UE'!#REF!+'przedsiewziecia UE'!M271+'przedsiewziecia UE'!M282+'przedsiewziecia UE'!M292+'przedsiewziecia UE'!M301+'przedsiewziecia UE'!M319+'przedsiewziecia UE'!M332+'przedsiewziecia UE'!M343+'przedsiewziecia UE'!M352+'przedsiewziecia UE'!M361+'przedsiewziecia UE'!M370+'przedsiewziecia UE'!M379+'przedsiewziecia UE'!M388</f>
        <v>#REF!</v>
      </c>
      <c r="H3" s="247" t="e">
        <f>'przedsiewziecia UE'!M63+'przedsiewziecia UE'!M95+'przedsiewziecia UE'!M106+'przedsiewziecia UE'!M158+'przedsiewziecia UE'!M214+'przedsiewziecia UE'!M243+'przedsiewziecia UE'!M254+'przedsiewziecia UE'!M263+'przedsiewziecia UE'!#REF!+'przedsiewziecia UE'!M272+'przedsiewziecia UE'!M283+'przedsiewziecia UE'!M293+'przedsiewziecia UE'!M302+'przedsiewziecia UE'!M320+'przedsiewziecia UE'!M333+'przedsiewziecia UE'!M344+'przedsiewziecia UE'!M353+'przedsiewziecia UE'!M362+'przedsiewziecia UE'!M371+'przedsiewziecia UE'!M380+'przedsiewziecia UE'!M389</f>
        <v>#REF!</v>
      </c>
      <c r="I3" s="247" t="e">
        <f>'przedsiewziecia UE'!M64+'przedsiewziecia UE'!M96+'przedsiewziecia UE'!M107+'przedsiewziecia UE'!M159+'przedsiewziecia UE'!M215+'przedsiewziecia UE'!M244+'przedsiewziecia UE'!M255+'przedsiewziecia UE'!M264+'przedsiewziecia UE'!#REF!+'przedsiewziecia UE'!M273+'przedsiewziecia UE'!M284+'przedsiewziecia UE'!M294+'przedsiewziecia UE'!M303+'przedsiewziecia UE'!M321+'przedsiewziecia UE'!M334+'przedsiewziecia UE'!M345+'przedsiewziecia UE'!M354+'przedsiewziecia UE'!M363+'przedsiewziecia UE'!M372+'przedsiewziecia UE'!#REF!+'przedsiewziecia UE'!M390</f>
        <v>#REF!</v>
      </c>
      <c r="M3">
        <v>21</v>
      </c>
    </row>
    <row r="4" spans="1:13" x14ac:dyDescent="0.2">
      <c r="A4" s="246" t="s">
        <v>225</v>
      </c>
      <c r="B4" s="246"/>
      <c r="C4" s="247">
        <f t="shared" ref="C4:C9" si="1">SUM(D4:I4)</f>
        <v>158341.03999999998</v>
      </c>
      <c r="D4" s="247">
        <f>'przedsiewziecia UE'!M50+'przedsiewziecia UE'!M130</f>
        <v>0</v>
      </c>
      <c r="E4" s="247">
        <f>'przedsiewziecia UE'!M51+'przedsiewziecia UE'!M131</f>
        <v>134589.4</v>
      </c>
      <c r="F4" s="247">
        <f>'przedsiewziecia UE'!M52+'przedsiewziecia UE'!M132</f>
        <v>0</v>
      </c>
      <c r="G4" s="247">
        <f>'przedsiewziecia UE'!M53+'przedsiewziecia UE'!M133</f>
        <v>23751.64</v>
      </c>
      <c r="H4" s="247">
        <f>'przedsiewziecia UE'!M54+'przedsiewziecia UE'!M134</f>
        <v>0</v>
      </c>
      <c r="I4" s="247">
        <f>'przedsiewziecia UE'!M55+'przedsiewziecia UE'!M135</f>
        <v>0</v>
      </c>
      <c r="M4">
        <v>2</v>
      </c>
    </row>
    <row r="5" spans="1:13" x14ac:dyDescent="0.2">
      <c r="A5" s="246" t="s">
        <v>226</v>
      </c>
      <c r="B5" s="246"/>
      <c r="C5" s="247">
        <f t="shared" si="1"/>
        <v>352293.77999999997</v>
      </c>
      <c r="D5" s="247">
        <f>'przedsiewziecia UE'!M484+'przedsiewziecia UE'!M495</f>
        <v>44865.98</v>
      </c>
      <c r="E5" s="247">
        <f>'przedsiewziecia UE'!M485+'przedsiewziecia UE'!M496</f>
        <v>282867.74</v>
      </c>
      <c r="F5" s="247">
        <f>'przedsiewziecia UE'!M486+'przedsiewziecia UE'!M497</f>
        <v>0</v>
      </c>
      <c r="G5" s="247">
        <f>'przedsiewziecia UE'!M487+'przedsiewziecia UE'!M498</f>
        <v>24560.06</v>
      </c>
      <c r="H5" s="247">
        <f>'przedsiewziecia UE'!M488+'przedsiewziecia UE'!M499</f>
        <v>0</v>
      </c>
      <c r="I5" s="247">
        <f>'przedsiewziecia UE'!M489+'przedsiewziecia UE'!M500</f>
        <v>0</v>
      </c>
      <c r="M5">
        <v>2</v>
      </c>
    </row>
    <row r="6" spans="1:13" x14ac:dyDescent="0.2">
      <c r="A6" s="246" t="s">
        <v>227</v>
      </c>
      <c r="B6" s="246"/>
      <c r="C6" s="247">
        <f t="shared" si="1"/>
        <v>7862.9</v>
      </c>
      <c r="D6" s="247">
        <f>'przedsiewziecia UE'!M506+'przedsiewziecia UE'!M520+'przedsiewziecia UE'!M555</f>
        <v>1572.58</v>
      </c>
      <c r="E6" s="247">
        <f>'przedsiewziecia UE'!M507+'przedsiewziecia UE'!M521+'przedsiewziecia UE'!M556</f>
        <v>6290.32</v>
      </c>
      <c r="F6" s="247">
        <f>'przedsiewziecia UE'!M508+'przedsiewziecia UE'!M522+'przedsiewziecia UE'!M557</f>
        <v>0</v>
      </c>
      <c r="G6" s="247">
        <f>'przedsiewziecia UE'!M509+'przedsiewziecia UE'!M523+'przedsiewziecia UE'!M558</f>
        <v>0</v>
      </c>
      <c r="H6" s="247">
        <f>'przedsiewziecia UE'!M510+'przedsiewziecia UE'!M524+'przedsiewziecia UE'!M559</f>
        <v>0</v>
      </c>
      <c r="I6" s="247">
        <f>'przedsiewziecia UE'!M511+'przedsiewziecia UE'!M525+'przedsiewziecia UE'!M560</f>
        <v>0</v>
      </c>
      <c r="M6">
        <v>3</v>
      </c>
    </row>
    <row r="7" spans="1:13" x14ac:dyDescent="0.2">
      <c r="A7" s="246" t="s">
        <v>82</v>
      </c>
      <c r="B7" s="246"/>
      <c r="C7" s="247" t="e">
        <f t="shared" si="1"/>
        <v>#REF!</v>
      </c>
      <c r="D7" s="247" t="e">
        <f>'przedsiewziecia UE'!M394+'przedsiewziecia UE'!#REF!+'przedsiewziecia UE'!M403+'przedsiewziecia UE'!#REF!+'przedsiewziecia UE'!#REF!+'przedsiewziecia UE'!M412+'przedsiewziecia UE'!M421+'przedsiewziecia UE'!#REF!+'przedsiewziecia UE'!M430+'przedsiewziecia UE'!M439+'[1]Załącznik 9'!H32</f>
        <v>#REF!</v>
      </c>
      <c r="E7" s="247" t="e">
        <f>'przedsiewziecia UE'!M395+'przedsiewziecia UE'!#REF!+'przedsiewziecia UE'!M404+'przedsiewziecia UE'!#REF!+'przedsiewziecia UE'!#REF!+'przedsiewziecia UE'!M413+'przedsiewziecia UE'!M422+'przedsiewziecia UE'!#REF!+'przedsiewziecia UE'!M431+'przedsiewziecia UE'!M440+'[1]Załącznik 9'!H33</f>
        <v>#REF!</v>
      </c>
      <c r="F7" s="247" t="e">
        <f>'przedsiewziecia UE'!M396+'przedsiewziecia UE'!#REF!+'przedsiewziecia UE'!M405+'przedsiewziecia UE'!#REF!+'przedsiewziecia UE'!#REF!+'przedsiewziecia UE'!M414+'przedsiewziecia UE'!M423+'przedsiewziecia UE'!#REF!+'przedsiewziecia UE'!M432+'przedsiewziecia UE'!M441+'[1]Załącznik 9'!H34</f>
        <v>#REF!</v>
      </c>
      <c r="G7" s="247"/>
      <c r="H7" s="247"/>
      <c r="I7" s="247"/>
      <c r="M7">
        <v>11</v>
      </c>
    </row>
    <row r="8" spans="1:13" x14ac:dyDescent="0.2">
      <c r="A8" s="246" t="s">
        <v>229</v>
      </c>
      <c r="B8" s="246"/>
      <c r="C8" s="247" t="e">
        <f t="shared" si="1"/>
        <v>#REF!</v>
      </c>
      <c r="D8" s="247" t="e">
        <f>'przedsiewziecia UE'!#REF!+'przedsiewziecia UE'!M448+'przedsiewziecia UE'!#REF!+'przedsiewziecia UE'!M457+'przedsiewziecia UE'!M466</f>
        <v>#REF!</v>
      </c>
      <c r="E8" s="247" t="e">
        <f>'przedsiewziecia UE'!#REF!+'przedsiewziecia UE'!M449+'przedsiewziecia UE'!#REF!+'przedsiewziecia UE'!M458+'przedsiewziecia UE'!M467</f>
        <v>#REF!</v>
      </c>
      <c r="F8" s="247" t="e">
        <f>'przedsiewziecia UE'!#REF!+'przedsiewziecia UE'!M450+'przedsiewziecia UE'!#REF!+'przedsiewziecia UE'!M459+'przedsiewziecia UE'!M468</f>
        <v>#REF!</v>
      </c>
      <c r="G8" s="247"/>
      <c r="H8" s="247"/>
      <c r="I8" s="247"/>
      <c r="M8">
        <v>5</v>
      </c>
    </row>
    <row r="9" spans="1:13" x14ac:dyDescent="0.2">
      <c r="A9" s="246" t="s">
        <v>339</v>
      </c>
      <c r="B9" s="246"/>
      <c r="C9" s="247">
        <f t="shared" si="1"/>
        <v>130951.36</v>
      </c>
      <c r="D9" s="247">
        <f>'[1]Załącznik 9'!H39+'[2]przedsiewziecia UE'!M208+'[2]przedsiewziecia UE'!M215+'[2]przedsiewziecia UE'!M222+'przedsiewziecia UE'!M39</f>
        <v>23543.690000000002</v>
      </c>
      <c r="E9" s="247">
        <f>'[1]Załącznik 9'!H40+'[2]przedsiewziecia UE'!M211+'[2]przedsiewziecia UE'!M218+'[2]przedsiewziecia UE'!M225+'przedsiewziecia UE'!M40</f>
        <v>107407.67</v>
      </c>
      <c r="F9" s="247"/>
      <c r="G9" s="247"/>
      <c r="H9" s="247"/>
      <c r="I9" s="247"/>
      <c r="M9">
        <v>5</v>
      </c>
    </row>
    <row r="10" spans="1:13" x14ac:dyDescent="0.2">
      <c r="A10" s="246"/>
      <c r="B10" s="246"/>
      <c r="C10" s="247"/>
      <c r="D10" s="247"/>
      <c r="E10" s="247"/>
      <c r="F10" s="247"/>
      <c r="G10" s="247"/>
      <c r="H10" s="247"/>
      <c r="I10" s="247"/>
    </row>
    <row r="11" spans="1:13" x14ac:dyDescent="0.2">
      <c r="A11" s="246"/>
      <c r="C11" s="247"/>
      <c r="D11" s="247"/>
      <c r="E11" s="247"/>
      <c r="F11" s="247"/>
      <c r="G11" s="247"/>
      <c r="H11" s="247"/>
      <c r="I11" s="247"/>
    </row>
    <row r="12" spans="1:13" s="249" customFormat="1" x14ac:dyDescent="0.2">
      <c r="A12" s="249" t="s">
        <v>228</v>
      </c>
      <c r="C12" s="250" t="e">
        <f t="shared" ref="C12:C17" si="2">SUM(D12:I12)</f>
        <v>#REF!</v>
      </c>
      <c r="D12" s="250" t="e">
        <f t="shared" ref="D12:I12" si="3">SUM(D13:D17)</f>
        <v>#REF!</v>
      </c>
      <c r="E12" s="250" t="e">
        <f t="shared" si="3"/>
        <v>#REF!</v>
      </c>
      <c r="F12" s="250" t="e">
        <f t="shared" si="3"/>
        <v>#REF!</v>
      </c>
      <c r="G12" s="250" t="e">
        <f t="shared" si="3"/>
        <v>#REF!</v>
      </c>
      <c r="H12" s="250" t="e">
        <f t="shared" si="3"/>
        <v>#REF!</v>
      </c>
      <c r="I12" s="250" t="e">
        <f t="shared" si="3"/>
        <v>#REF!</v>
      </c>
      <c r="M12" s="249">
        <f>SUM(M13:M17)</f>
        <v>25</v>
      </c>
    </row>
    <row r="13" spans="1:13" x14ac:dyDescent="0.2">
      <c r="A13" s="246" t="s">
        <v>226</v>
      </c>
      <c r="B13" s="246"/>
      <c r="C13" s="247" t="e">
        <f t="shared" si="2"/>
        <v>#REF!</v>
      </c>
      <c r="D13" s="247" t="e">
        <f>'przedsiewziecia UE'!M651+'przedsiewziecia UE'!M679+'przedsiewziecia UE'!M688+'przedsiewziecia UE'!#REF!+'przedsiewziecia UE'!M698+'przedsiewziecia UE'!M707+'przedsiewziecia UE'!M716</f>
        <v>#REF!</v>
      </c>
      <c r="E13" s="247" t="e">
        <f>'przedsiewziecia UE'!M652+'przedsiewziecia UE'!M680+'przedsiewziecia UE'!M689+'przedsiewziecia UE'!#REF!+'przedsiewziecia UE'!M699+'przedsiewziecia UE'!M708+'przedsiewziecia UE'!M717</f>
        <v>#REF!</v>
      </c>
      <c r="F13" s="247" t="e">
        <f>'przedsiewziecia UE'!M653+'przedsiewziecia UE'!M681+'przedsiewziecia UE'!M690+'przedsiewziecia UE'!#REF!+'przedsiewziecia UE'!M700+'przedsiewziecia UE'!M709+'przedsiewziecia UE'!M718</f>
        <v>#REF!</v>
      </c>
      <c r="G13" s="247" t="e">
        <f>'przedsiewziecia UE'!M654+'przedsiewziecia UE'!M682+'przedsiewziecia UE'!M691+'przedsiewziecia UE'!#REF!+'przedsiewziecia UE'!M701+'przedsiewziecia UE'!M710+'przedsiewziecia UE'!M719</f>
        <v>#REF!</v>
      </c>
      <c r="H13" s="247" t="e">
        <f>'przedsiewziecia UE'!M655+'przedsiewziecia UE'!M683+'przedsiewziecia UE'!M692+'przedsiewziecia UE'!#REF!+'przedsiewziecia UE'!M702+'przedsiewziecia UE'!M711+'przedsiewziecia UE'!M720</f>
        <v>#REF!</v>
      </c>
      <c r="I13" s="247" t="e">
        <f>'przedsiewziecia UE'!M656+'przedsiewziecia UE'!M684+'przedsiewziecia UE'!M693+'przedsiewziecia UE'!#REF!+'przedsiewziecia UE'!M703+'przedsiewziecia UE'!M712+'przedsiewziecia UE'!M721</f>
        <v>#REF!</v>
      </c>
      <c r="M13">
        <v>7</v>
      </c>
    </row>
    <row r="14" spans="1:13" x14ac:dyDescent="0.2">
      <c r="A14" s="246" t="s">
        <v>227</v>
      </c>
      <c r="B14" s="246"/>
      <c r="C14" s="247" t="e">
        <f t="shared" si="2"/>
        <v>#REF!</v>
      </c>
      <c r="D14" s="247" t="e">
        <f>'przedsiewziecia UE'!M582+'przedsiewziecia UE'!M595+'przedsiewziecia UE'!M725+'przedsiewziecia UE'!M734+'przedsiewziecia UE'!#REF!+'przedsiewziecia UE'!M744+'przedsiewziecia UE'!#REF!+'przedsiewziecia UE'!#REF!+'przedsiewziecia UE'!M755+'przedsiewziecia UE'!#REF!+'przedsiewziecia UE'!#REF!</f>
        <v>#REF!</v>
      </c>
      <c r="E14" s="247" t="e">
        <f>'przedsiewziecia UE'!M583+'przedsiewziecia UE'!M596+'przedsiewziecia UE'!M726+'przedsiewziecia UE'!M735+'przedsiewziecia UE'!#REF!+'przedsiewziecia UE'!M745+'przedsiewziecia UE'!#REF!+'przedsiewziecia UE'!#REF!+'przedsiewziecia UE'!M756+'przedsiewziecia UE'!#REF!+'przedsiewziecia UE'!#REF!</f>
        <v>#REF!</v>
      </c>
      <c r="F14" s="247" t="e">
        <f>'przedsiewziecia UE'!M584+'przedsiewziecia UE'!M597+'przedsiewziecia UE'!M727+'przedsiewziecia UE'!M736+'przedsiewziecia UE'!#REF!+'przedsiewziecia UE'!M746+'przedsiewziecia UE'!#REF!+'przedsiewziecia UE'!#REF!+'przedsiewziecia UE'!M757+'przedsiewziecia UE'!#REF!+'przedsiewziecia UE'!#REF!</f>
        <v>#REF!</v>
      </c>
      <c r="G14" s="247" t="e">
        <f>'przedsiewziecia UE'!M585+'przedsiewziecia UE'!M598+'przedsiewziecia UE'!M728+'przedsiewziecia UE'!M737+'przedsiewziecia UE'!#REF!+'przedsiewziecia UE'!M747+'przedsiewziecia UE'!#REF!+'przedsiewziecia UE'!#REF!+'przedsiewziecia UE'!M758+'przedsiewziecia UE'!#REF!+'przedsiewziecia UE'!#REF!</f>
        <v>#REF!</v>
      </c>
      <c r="H14" s="247" t="e">
        <f>'przedsiewziecia UE'!M586+'przedsiewziecia UE'!M599+'przedsiewziecia UE'!M729+'przedsiewziecia UE'!M738+'przedsiewziecia UE'!#REF!+'przedsiewziecia UE'!M748+'przedsiewziecia UE'!#REF!+'przedsiewziecia UE'!#REF!+'przedsiewziecia UE'!M759+'przedsiewziecia UE'!#REF!+'przedsiewziecia UE'!#REF!</f>
        <v>#REF!</v>
      </c>
      <c r="I14" s="247" t="e">
        <f>'przedsiewziecia UE'!M587+'przedsiewziecia UE'!M600+'przedsiewziecia UE'!M730+'przedsiewziecia UE'!M739+'przedsiewziecia UE'!#REF!+'przedsiewziecia UE'!M749+'przedsiewziecia UE'!#REF!+'przedsiewziecia UE'!#REF!+'przedsiewziecia UE'!M760+'przedsiewziecia UE'!#REF!+'przedsiewziecia UE'!#REF!</f>
        <v>#REF!</v>
      </c>
      <c r="M14">
        <v>11</v>
      </c>
    </row>
    <row r="15" spans="1:13" x14ac:dyDescent="0.2">
      <c r="A15" s="246" t="s">
        <v>225</v>
      </c>
      <c r="B15" s="246"/>
      <c r="C15" s="247">
        <f t="shared" si="2"/>
        <v>3000</v>
      </c>
      <c r="D15" s="247">
        <f>'przedsiewziecia UE'!M617</f>
        <v>3000</v>
      </c>
      <c r="E15" s="247">
        <f>'przedsiewziecia UE'!M618</f>
        <v>0</v>
      </c>
      <c r="F15" s="247">
        <f>'przedsiewziecia UE'!M619</f>
        <v>0</v>
      </c>
      <c r="G15" s="247">
        <f>'przedsiewziecia UE'!M620</f>
        <v>0</v>
      </c>
      <c r="H15" s="247">
        <f>'przedsiewziecia UE'!M621</f>
        <v>0</v>
      </c>
      <c r="I15" s="247">
        <f>'przedsiewziecia UE'!M622</f>
        <v>0</v>
      </c>
      <c r="M15">
        <v>1</v>
      </c>
    </row>
    <row r="16" spans="1:13" x14ac:dyDescent="0.2">
      <c r="A16" s="246" t="s">
        <v>230</v>
      </c>
      <c r="B16" s="246"/>
      <c r="C16" s="247">
        <f t="shared" si="2"/>
        <v>1750139.65</v>
      </c>
      <c r="D16" s="247">
        <f>'przedsiewziecia UE'!M670</f>
        <v>1444767.92</v>
      </c>
      <c r="E16" s="247">
        <f>'przedsiewziecia UE'!M671</f>
        <v>50857.88</v>
      </c>
      <c r="F16" s="247">
        <f>'przedsiewziecia UE'!M672</f>
        <v>0</v>
      </c>
      <c r="G16" s="247">
        <f>'przedsiewziecia UE'!M673</f>
        <v>0</v>
      </c>
      <c r="H16" s="247">
        <f>'przedsiewziecia UE'!M674</f>
        <v>254513.85</v>
      </c>
      <c r="I16" s="247">
        <f>'przedsiewziecia UE'!M675</f>
        <v>0</v>
      </c>
      <c r="M16">
        <v>1</v>
      </c>
    </row>
    <row r="17" spans="1:13" x14ac:dyDescent="0.2">
      <c r="A17" s="246" t="s">
        <v>224</v>
      </c>
      <c r="B17" s="246"/>
      <c r="C17" s="247" t="e">
        <f t="shared" si="2"/>
        <v>#REF!</v>
      </c>
      <c r="D17" s="247" t="e">
        <f>'przedsiewziecia UE'!#REF!+'[1]Załącznik 9'!H46</f>
        <v>#REF!</v>
      </c>
      <c r="E17" s="247" t="e">
        <f>'przedsiewziecia UE'!#REF!+'[1]Załącznik 9'!H47</f>
        <v>#REF!</v>
      </c>
      <c r="F17" s="247" t="e">
        <f>'przedsiewziecia UE'!#REF!+'[1]Załącznik 9'!H48</f>
        <v>#REF!</v>
      </c>
      <c r="G17" s="247" t="e">
        <f>'przedsiewziecia UE'!#REF!+'[1]Załącznik 9'!H49</f>
        <v>#REF!</v>
      </c>
      <c r="H17" s="247"/>
      <c r="I17" s="247"/>
      <c r="M17">
        <v>5</v>
      </c>
    </row>
    <row r="20" spans="1:13" s="249" customFormat="1" x14ac:dyDescent="0.2">
      <c r="A20" s="249" t="s">
        <v>231</v>
      </c>
      <c r="C20" s="250" t="e">
        <f>SUM(D20:I20)</f>
        <v>#REF!</v>
      </c>
      <c r="D20" s="250" t="e">
        <f t="shared" ref="D20:I20" si="4">SUM(D21:D28)</f>
        <v>#REF!</v>
      </c>
      <c r="E20" s="250" t="e">
        <f t="shared" si="4"/>
        <v>#REF!</v>
      </c>
      <c r="F20" s="250" t="e">
        <f t="shared" si="4"/>
        <v>#REF!</v>
      </c>
      <c r="G20" s="250" t="e">
        <f t="shared" si="4"/>
        <v>#REF!</v>
      </c>
      <c r="H20" s="250" t="e">
        <f t="shared" si="4"/>
        <v>#REF!</v>
      </c>
      <c r="I20" s="250" t="e">
        <f t="shared" si="4"/>
        <v>#REF!</v>
      </c>
    </row>
    <row r="21" spans="1:13" x14ac:dyDescent="0.2">
      <c r="A21" t="s">
        <v>226</v>
      </c>
      <c r="C21" s="247" t="e">
        <f t="shared" ref="C21:C28" si="5">SUM(D21:I21)</f>
        <v>#REF!</v>
      </c>
      <c r="D21" s="247" t="e">
        <f t="shared" ref="D21:I22" si="6">D5+D13</f>
        <v>#REF!</v>
      </c>
      <c r="E21" s="247" t="e">
        <f t="shared" si="6"/>
        <v>#REF!</v>
      </c>
      <c r="F21" s="247" t="e">
        <f t="shared" si="6"/>
        <v>#REF!</v>
      </c>
      <c r="G21" s="247" t="e">
        <f t="shared" si="6"/>
        <v>#REF!</v>
      </c>
      <c r="H21" s="247" t="e">
        <f t="shared" si="6"/>
        <v>#REF!</v>
      </c>
      <c r="I21" s="247" t="e">
        <f t="shared" si="6"/>
        <v>#REF!</v>
      </c>
    </row>
    <row r="22" spans="1:13" x14ac:dyDescent="0.2">
      <c r="A22" t="s">
        <v>227</v>
      </c>
      <c r="C22" s="247" t="e">
        <f t="shared" si="5"/>
        <v>#REF!</v>
      </c>
      <c r="D22" s="247" t="e">
        <f t="shared" si="6"/>
        <v>#REF!</v>
      </c>
      <c r="E22" s="247" t="e">
        <f t="shared" si="6"/>
        <v>#REF!</v>
      </c>
      <c r="F22" s="247" t="e">
        <f t="shared" si="6"/>
        <v>#REF!</v>
      </c>
      <c r="G22" s="247" t="e">
        <f t="shared" si="6"/>
        <v>#REF!</v>
      </c>
      <c r="H22" s="247" t="e">
        <f t="shared" si="6"/>
        <v>#REF!</v>
      </c>
      <c r="I22" s="247" t="e">
        <f t="shared" si="6"/>
        <v>#REF!</v>
      </c>
    </row>
    <row r="23" spans="1:13" x14ac:dyDescent="0.2">
      <c r="A23" t="s">
        <v>225</v>
      </c>
      <c r="C23" s="247">
        <f t="shared" si="5"/>
        <v>161341.03999999998</v>
      </c>
      <c r="D23" s="247">
        <f t="shared" ref="D23:I23" si="7">D4+D15</f>
        <v>3000</v>
      </c>
      <c r="E23" s="247">
        <f t="shared" si="7"/>
        <v>134589.4</v>
      </c>
      <c r="F23" s="247">
        <f t="shared" si="7"/>
        <v>0</v>
      </c>
      <c r="G23" s="247">
        <f t="shared" si="7"/>
        <v>23751.64</v>
      </c>
      <c r="H23" s="247">
        <f t="shared" si="7"/>
        <v>0</v>
      </c>
      <c r="I23" s="247">
        <f t="shared" si="7"/>
        <v>0</v>
      </c>
    </row>
    <row r="24" spans="1:13" x14ac:dyDescent="0.2">
      <c r="A24" t="s">
        <v>224</v>
      </c>
      <c r="C24" s="247" t="e">
        <f t="shared" si="5"/>
        <v>#REF!</v>
      </c>
      <c r="D24" s="247" t="e">
        <f t="shared" ref="D24:I24" si="8">D3+D17</f>
        <v>#REF!</v>
      </c>
      <c r="E24" s="247" t="e">
        <f t="shared" si="8"/>
        <v>#REF!</v>
      </c>
      <c r="F24" s="247" t="e">
        <f t="shared" si="8"/>
        <v>#REF!</v>
      </c>
      <c r="G24" s="247" t="e">
        <f t="shared" si="8"/>
        <v>#REF!</v>
      </c>
      <c r="H24" s="247" t="e">
        <f t="shared" si="8"/>
        <v>#REF!</v>
      </c>
      <c r="I24" s="247" t="e">
        <f t="shared" si="8"/>
        <v>#REF!</v>
      </c>
    </row>
    <row r="25" spans="1:13" x14ac:dyDescent="0.2">
      <c r="A25" t="s">
        <v>230</v>
      </c>
      <c r="C25" s="247">
        <f t="shared" si="5"/>
        <v>1750139.65</v>
      </c>
      <c r="D25" s="247">
        <f t="shared" ref="D25:I25" si="9">D16</f>
        <v>1444767.92</v>
      </c>
      <c r="E25" s="247">
        <f t="shared" si="9"/>
        <v>50857.88</v>
      </c>
      <c r="F25" s="247">
        <f t="shared" si="9"/>
        <v>0</v>
      </c>
      <c r="G25" s="247">
        <f t="shared" si="9"/>
        <v>0</v>
      </c>
      <c r="H25" s="247">
        <f t="shared" si="9"/>
        <v>254513.85</v>
      </c>
      <c r="I25" s="247">
        <f t="shared" si="9"/>
        <v>0</v>
      </c>
    </row>
    <row r="26" spans="1:13" x14ac:dyDescent="0.2">
      <c r="A26" t="s">
        <v>82</v>
      </c>
      <c r="C26" s="247" t="e">
        <f t="shared" si="5"/>
        <v>#REF!</v>
      </c>
      <c r="D26" s="247" t="e">
        <f t="shared" ref="D26:I26" si="10">D7</f>
        <v>#REF!</v>
      </c>
      <c r="E26" s="247" t="e">
        <f t="shared" si="10"/>
        <v>#REF!</v>
      </c>
      <c r="F26" s="247" t="e">
        <f t="shared" si="10"/>
        <v>#REF!</v>
      </c>
      <c r="G26" s="247">
        <f t="shared" si="10"/>
        <v>0</v>
      </c>
      <c r="H26" s="247">
        <f t="shared" si="10"/>
        <v>0</v>
      </c>
      <c r="I26" s="247">
        <f t="shared" si="10"/>
        <v>0</v>
      </c>
    </row>
    <row r="27" spans="1:13" x14ac:dyDescent="0.2">
      <c r="A27" t="s">
        <v>229</v>
      </c>
      <c r="C27" s="247" t="e">
        <f t="shared" si="5"/>
        <v>#REF!</v>
      </c>
      <c r="D27" s="247" t="e">
        <f>D8</f>
        <v>#REF!</v>
      </c>
      <c r="E27" s="247" t="e">
        <f t="shared" ref="E27:I27" si="11">E8</f>
        <v>#REF!</v>
      </c>
      <c r="F27" s="247" t="e">
        <f t="shared" si="11"/>
        <v>#REF!</v>
      </c>
      <c r="G27" s="247">
        <f t="shared" si="11"/>
        <v>0</v>
      </c>
      <c r="H27" s="247">
        <f t="shared" si="11"/>
        <v>0</v>
      </c>
      <c r="I27" s="247">
        <f t="shared" si="11"/>
        <v>0</v>
      </c>
    </row>
    <row r="28" spans="1:13" x14ac:dyDescent="0.2">
      <c r="A28" t="s">
        <v>339</v>
      </c>
      <c r="C28" s="247">
        <f t="shared" si="5"/>
        <v>130951.36</v>
      </c>
      <c r="D28" s="247">
        <f t="shared" ref="D28:I28" si="12">D9</f>
        <v>23543.690000000002</v>
      </c>
      <c r="E28" s="247">
        <f t="shared" si="12"/>
        <v>107407.67</v>
      </c>
      <c r="F28" s="247">
        <f t="shared" si="12"/>
        <v>0</v>
      </c>
      <c r="G28" s="247">
        <f t="shared" si="12"/>
        <v>0</v>
      </c>
      <c r="H28" s="247">
        <f t="shared" si="12"/>
        <v>0</v>
      </c>
      <c r="I28" s="247">
        <f t="shared" si="12"/>
        <v>0</v>
      </c>
    </row>
    <row r="30" spans="1:13" x14ac:dyDescent="0.2">
      <c r="A30" s="249" t="s">
        <v>231</v>
      </c>
      <c r="B30" s="249"/>
      <c r="C30" s="254" t="e">
        <f>SUM(D30:I30)</f>
        <v>#REF!</v>
      </c>
      <c r="D30" s="254" t="e">
        <f t="shared" ref="D30:I30" si="13">D20/$C20*100</f>
        <v>#REF!</v>
      </c>
      <c r="E30" s="254" t="e">
        <f t="shared" si="13"/>
        <v>#REF!</v>
      </c>
      <c r="F30" s="254" t="e">
        <f t="shared" si="13"/>
        <v>#REF!</v>
      </c>
      <c r="G30" s="254" t="e">
        <f t="shared" si="13"/>
        <v>#REF!</v>
      </c>
      <c r="H30" s="254" t="e">
        <f t="shared" si="13"/>
        <v>#REF!</v>
      </c>
      <c r="I30" s="254" t="e">
        <f t="shared" si="13"/>
        <v>#REF!</v>
      </c>
    </row>
    <row r="31" spans="1:13" x14ac:dyDescent="0.2">
      <c r="A31" t="s">
        <v>226</v>
      </c>
      <c r="C31" s="253" t="e">
        <f t="shared" ref="C31:C38" si="14">SUM(D31:I31)</f>
        <v>#REF!</v>
      </c>
      <c r="D31" s="253" t="e">
        <f t="shared" ref="D31:I31" si="15">D21/$C21*100</f>
        <v>#REF!</v>
      </c>
      <c r="E31" s="253" t="e">
        <f t="shared" si="15"/>
        <v>#REF!</v>
      </c>
      <c r="F31" s="253" t="e">
        <f t="shared" si="15"/>
        <v>#REF!</v>
      </c>
      <c r="G31" s="253" t="e">
        <f t="shared" si="15"/>
        <v>#REF!</v>
      </c>
      <c r="H31" s="253" t="e">
        <f t="shared" si="15"/>
        <v>#REF!</v>
      </c>
      <c r="I31" s="253" t="e">
        <f t="shared" si="15"/>
        <v>#REF!</v>
      </c>
    </row>
    <row r="32" spans="1:13" x14ac:dyDescent="0.2">
      <c r="A32" t="s">
        <v>227</v>
      </c>
      <c r="C32" s="253" t="e">
        <f t="shared" si="14"/>
        <v>#REF!</v>
      </c>
      <c r="D32" s="253" t="e">
        <f t="shared" ref="D32:I32" si="16">D22/$C22*100</f>
        <v>#REF!</v>
      </c>
      <c r="E32" s="253" t="e">
        <f t="shared" si="16"/>
        <v>#REF!</v>
      </c>
      <c r="F32" s="253" t="e">
        <f t="shared" si="16"/>
        <v>#REF!</v>
      </c>
      <c r="G32" s="253" t="e">
        <f t="shared" si="16"/>
        <v>#REF!</v>
      </c>
      <c r="H32" s="253" t="e">
        <f t="shared" si="16"/>
        <v>#REF!</v>
      </c>
      <c r="I32" s="253" t="e">
        <f t="shared" si="16"/>
        <v>#REF!</v>
      </c>
    </row>
    <row r="33" spans="1:9" x14ac:dyDescent="0.2">
      <c r="A33" t="s">
        <v>225</v>
      </c>
      <c r="C33" s="253">
        <f t="shared" si="14"/>
        <v>100</v>
      </c>
      <c r="D33" s="253">
        <f t="shared" ref="D33:I33" si="17">D23/$C23*100</f>
        <v>1.8594153105744207</v>
      </c>
      <c r="E33" s="253">
        <f t="shared" si="17"/>
        <v>83.41919700034164</v>
      </c>
      <c r="F33" s="253">
        <f t="shared" si="17"/>
        <v>0</v>
      </c>
      <c r="G33" s="253">
        <f t="shared" si="17"/>
        <v>14.721387689083945</v>
      </c>
      <c r="H33" s="253">
        <f t="shared" si="17"/>
        <v>0</v>
      </c>
      <c r="I33" s="253">
        <f t="shared" si="17"/>
        <v>0</v>
      </c>
    </row>
    <row r="34" spans="1:9" x14ac:dyDescent="0.2">
      <c r="A34" t="s">
        <v>224</v>
      </c>
      <c r="C34" s="253" t="e">
        <f t="shared" si="14"/>
        <v>#REF!</v>
      </c>
      <c r="D34" s="253" t="e">
        <f t="shared" ref="D34:I34" si="18">D24/$C24*100</f>
        <v>#REF!</v>
      </c>
      <c r="E34" s="253" t="e">
        <f t="shared" si="18"/>
        <v>#REF!</v>
      </c>
      <c r="F34" s="253" t="e">
        <f t="shared" si="18"/>
        <v>#REF!</v>
      </c>
      <c r="G34" s="253" t="e">
        <f t="shared" si="18"/>
        <v>#REF!</v>
      </c>
      <c r="H34" s="253" t="e">
        <f t="shared" si="18"/>
        <v>#REF!</v>
      </c>
      <c r="I34" s="253" t="e">
        <f t="shared" si="18"/>
        <v>#REF!</v>
      </c>
    </row>
    <row r="35" spans="1:9" x14ac:dyDescent="0.2">
      <c r="A35" t="s">
        <v>230</v>
      </c>
      <c r="C35" s="253">
        <f t="shared" si="14"/>
        <v>100</v>
      </c>
      <c r="D35" s="253">
        <f t="shared" ref="D35:I35" si="19">D25/$C25*100</f>
        <v>82.551579241119413</v>
      </c>
      <c r="E35" s="253">
        <f t="shared" si="19"/>
        <v>2.905932678000867</v>
      </c>
      <c r="F35" s="253">
        <f t="shared" si="19"/>
        <v>0</v>
      </c>
      <c r="G35" s="253">
        <f t="shared" si="19"/>
        <v>0</v>
      </c>
      <c r="H35" s="253">
        <f t="shared" si="19"/>
        <v>14.542488080879718</v>
      </c>
      <c r="I35" s="253">
        <f t="shared" si="19"/>
        <v>0</v>
      </c>
    </row>
    <row r="36" spans="1:9" x14ac:dyDescent="0.2">
      <c r="A36" t="s">
        <v>82</v>
      </c>
      <c r="C36" s="253" t="e">
        <f t="shared" si="14"/>
        <v>#REF!</v>
      </c>
      <c r="D36" s="253" t="e">
        <f t="shared" ref="D36:I36" si="20">D26/$C26*100</f>
        <v>#REF!</v>
      </c>
      <c r="E36" s="253" t="e">
        <f t="shared" si="20"/>
        <v>#REF!</v>
      </c>
      <c r="F36" s="253" t="e">
        <f t="shared" si="20"/>
        <v>#REF!</v>
      </c>
      <c r="G36" s="253" t="e">
        <f t="shared" si="20"/>
        <v>#REF!</v>
      </c>
      <c r="H36" s="253" t="e">
        <f t="shared" si="20"/>
        <v>#REF!</v>
      </c>
      <c r="I36" s="253" t="e">
        <f t="shared" si="20"/>
        <v>#REF!</v>
      </c>
    </row>
    <row r="37" spans="1:9" x14ac:dyDescent="0.2">
      <c r="A37" t="s">
        <v>229</v>
      </c>
      <c r="C37" s="253" t="e">
        <f t="shared" si="14"/>
        <v>#REF!</v>
      </c>
      <c r="D37" s="253" t="e">
        <f t="shared" ref="D37:I38" si="21">D27/$C27*100</f>
        <v>#REF!</v>
      </c>
      <c r="E37" s="253" t="e">
        <f t="shared" si="21"/>
        <v>#REF!</v>
      </c>
      <c r="F37" s="253" t="e">
        <f t="shared" si="21"/>
        <v>#REF!</v>
      </c>
      <c r="G37" s="253" t="e">
        <f t="shared" si="21"/>
        <v>#REF!</v>
      </c>
      <c r="H37" s="253" t="e">
        <f t="shared" si="21"/>
        <v>#REF!</v>
      </c>
      <c r="I37" s="253" t="e">
        <f t="shared" si="21"/>
        <v>#REF!</v>
      </c>
    </row>
    <row r="38" spans="1:9" x14ac:dyDescent="0.2">
      <c r="A38" t="s">
        <v>339</v>
      </c>
      <c r="C38" s="253">
        <f t="shared" si="14"/>
        <v>100</v>
      </c>
      <c r="D38" s="253">
        <f t="shared" si="21"/>
        <v>17.978957988676104</v>
      </c>
      <c r="E38" s="253">
        <f t="shared" si="21"/>
        <v>82.0210420113239</v>
      </c>
      <c r="F38" s="253">
        <f t="shared" si="21"/>
        <v>0</v>
      </c>
      <c r="G38" s="253">
        <f t="shared" si="21"/>
        <v>0</v>
      </c>
      <c r="H38" s="253">
        <f t="shared" si="21"/>
        <v>0</v>
      </c>
      <c r="I38" s="253">
        <f t="shared" si="21"/>
        <v>0</v>
      </c>
    </row>
    <row r="39" spans="1:9" x14ac:dyDescent="0.2">
      <c r="D39" s="253"/>
      <c r="E39" s="253"/>
      <c r="F39" s="253"/>
      <c r="G39" s="253"/>
      <c r="H39" s="253"/>
      <c r="I39" s="253"/>
    </row>
    <row r="40" spans="1:9" x14ac:dyDescent="0.2">
      <c r="D40" s="253"/>
      <c r="E40" s="253"/>
      <c r="F40" s="253"/>
      <c r="G40" s="253"/>
      <c r="H40" s="253"/>
      <c r="I40" s="253"/>
    </row>
    <row r="41" spans="1:9" x14ac:dyDescent="0.2">
      <c r="C41" s="247" t="e">
        <f>C2-[3]Arkusz1!$H$12</f>
        <v>#REF!</v>
      </c>
    </row>
    <row r="42" spans="1:9" x14ac:dyDescent="0.2">
      <c r="C42" s="247" t="e">
        <f>C12-[3]Arkusz1!$H$8-H12-I12</f>
        <v>#REF!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4" sqref="A4"/>
    </sheetView>
  </sheetViews>
  <sheetFormatPr defaultRowHeight="12.75" x14ac:dyDescent="0.2"/>
  <cols>
    <col min="1" max="1" width="17.5703125" style="1" customWidth="1"/>
    <col min="2" max="2" width="12.7109375" style="259" customWidth="1"/>
    <col min="3" max="6" width="12.7109375" style="1" customWidth="1"/>
    <col min="7" max="16384" width="9.140625" style="1"/>
  </cols>
  <sheetData>
    <row r="1" spans="1:6" s="261" customFormat="1" ht="15" customHeight="1" x14ac:dyDescent="0.2">
      <c r="A1" s="430"/>
      <c r="B1" s="435" t="s">
        <v>243</v>
      </c>
      <c r="C1" s="431" t="s">
        <v>242</v>
      </c>
      <c r="D1" s="433" t="s">
        <v>241</v>
      </c>
      <c r="E1" s="433"/>
      <c r="F1" s="434"/>
    </row>
    <row r="2" spans="1:6" s="263" customFormat="1" ht="15" customHeight="1" x14ac:dyDescent="0.2">
      <c r="A2" s="430"/>
      <c r="B2" s="436"/>
      <c r="C2" s="432"/>
      <c r="D2" s="262" t="s">
        <v>232</v>
      </c>
      <c r="E2" s="262" t="s">
        <v>233</v>
      </c>
      <c r="F2" s="262" t="s">
        <v>237</v>
      </c>
    </row>
    <row r="3" spans="1:6" ht="18" customHeight="1" x14ac:dyDescent="0.2">
      <c r="A3" s="255" t="s">
        <v>240</v>
      </c>
      <c r="B3" s="260">
        <f>SUM(B4:B10)</f>
        <v>49</v>
      </c>
      <c r="C3" s="256" t="e">
        <f t="shared" ref="C3:C10" si="0">SUM(D3:F3)</f>
        <v>#REF!</v>
      </c>
      <c r="D3" s="256" t="e">
        <f>SUM(D4:D10)</f>
        <v>#REF!</v>
      </c>
      <c r="E3" s="256" t="e">
        <f>SUM(E4:E10)</f>
        <v>#REF!</v>
      </c>
      <c r="F3" s="256" t="e">
        <f>SUM(F4:F10)</f>
        <v>#REF!</v>
      </c>
    </row>
    <row r="4" spans="1:6" ht="18" customHeight="1" x14ac:dyDescent="0.2">
      <c r="A4" s="257" t="s">
        <v>224</v>
      </c>
      <c r="B4" s="276">
        <v>21</v>
      </c>
      <c r="C4" s="258" t="e">
        <f t="shared" si="0"/>
        <v>#REF!</v>
      </c>
      <c r="D4" s="258" t="e">
        <f>Arkusz2!D3</f>
        <v>#REF!</v>
      </c>
      <c r="E4" s="258" t="e">
        <f>Arkusz2!E3</f>
        <v>#REF!</v>
      </c>
      <c r="F4" s="258" t="e">
        <f>Arkusz2!G3</f>
        <v>#REF!</v>
      </c>
    </row>
    <row r="5" spans="1:6" ht="18" customHeight="1" x14ac:dyDescent="0.2">
      <c r="A5" s="257" t="s">
        <v>225</v>
      </c>
      <c r="B5" s="276">
        <v>2</v>
      </c>
      <c r="C5" s="258">
        <f t="shared" si="0"/>
        <v>158341.03999999998</v>
      </c>
      <c r="D5" s="258">
        <f>Arkusz2!D4</f>
        <v>0</v>
      </c>
      <c r="E5" s="258">
        <f>Arkusz2!E4</f>
        <v>134589.4</v>
      </c>
      <c r="F5" s="258">
        <f>Arkusz2!G4</f>
        <v>23751.64</v>
      </c>
    </row>
    <row r="6" spans="1:6" ht="18" customHeight="1" x14ac:dyDescent="0.2">
      <c r="A6" s="257" t="s">
        <v>226</v>
      </c>
      <c r="B6" s="276">
        <v>2</v>
      </c>
      <c r="C6" s="258">
        <f t="shared" si="0"/>
        <v>352293.77999999997</v>
      </c>
      <c r="D6" s="258">
        <f>Arkusz2!D5</f>
        <v>44865.98</v>
      </c>
      <c r="E6" s="258">
        <f>Arkusz2!E5</f>
        <v>282867.74</v>
      </c>
      <c r="F6" s="258">
        <f>Arkusz2!G5</f>
        <v>24560.06</v>
      </c>
    </row>
    <row r="7" spans="1:6" ht="18" customHeight="1" x14ac:dyDescent="0.2">
      <c r="A7" s="257" t="s">
        <v>227</v>
      </c>
      <c r="B7" s="276">
        <v>3</v>
      </c>
      <c r="C7" s="258">
        <f t="shared" si="0"/>
        <v>7862.9</v>
      </c>
      <c r="D7" s="258">
        <f>Arkusz2!D6</f>
        <v>1572.58</v>
      </c>
      <c r="E7" s="258">
        <f>Arkusz2!E6</f>
        <v>6290.32</v>
      </c>
      <c r="F7" s="258">
        <f>Arkusz2!G6</f>
        <v>0</v>
      </c>
    </row>
    <row r="8" spans="1:6" ht="18" customHeight="1" x14ac:dyDescent="0.2">
      <c r="A8" s="257" t="s">
        <v>82</v>
      </c>
      <c r="B8" s="276">
        <v>11</v>
      </c>
      <c r="C8" s="258" t="e">
        <f t="shared" si="0"/>
        <v>#REF!</v>
      </c>
      <c r="D8" s="258" t="e">
        <f>Arkusz2!D7</f>
        <v>#REF!</v>
      </c>
      <c r="E8" s="258" t="e">
        <f>Arkusz2!E7</f>
        <v>#REF!</v>
      </c>
      <c r="F8" s="258">
        <f>Arkusz2!G7</f>
        <v>0</v>
      </c>
    </row>
    <row r="9" spans="1:6" ht="18" customHeight="1" x14ac:dyDescent="0.2">
      <c r="A9" s="257" t="s">
        <v>229</v>
      </c>
      <c r="B9" s="276">
        <v>5</v>
      </c>
      <c r="C9" s="258" t="e">
        <f t="shared" si="0"/>
        <v>#REF!</v>
      </c>
      <c r="D9" s="258" t="e">
        <f>Arkusz2!D8</f>
        <v>#REF!</v>
      </c>
      <c r="E9" s="258" t="e">
        <f>Arkusz2!E8</f>
        <v>#REF!</v>
      </c>
      <c r="F9" s="258">
        <f>Arkusz2!G8</f>
        <v>0</v>
      </c>
    </row>
    <row r="10" spans="1:6" ht="18" customHeight="1" x14ac:dyDescent="0.2">
      <c r="A10" s="257" t="s">
        <v>339</v>
      </c>
      <c r="B10" s="276">
        <v>5</v>
      </c>
      <c r="C10" s="258">
        <f t="shared" si="0"/>
        <v>130951.36</v>
      </c>
      <c r="D10" s="258">
        <f>Arkusz2!D9</f>
        <v>23543.690000000002</v>
      </c>
      <c r="E10" s="258">
        <f>Arkusz2!E9</f>
        <v>107407.67</v>
      </c>
      <c r="F10" s="258">
        <f>Arkusz2!G9</f>
        <v>0</v>
      </c>
    </row>
    <row r="12" spans="1:6" x14ac:dyDescent="0.2">
      <c r="C12" s="201" t="e">
        <f>C3-Arkusz2!C2</f>
        <v>#REF!</v>
      </c>
    </row>
  </sheetData>
  <mergeCells count="4">
    <mergeCell ref="A1:A2"/>
    <mergeCell ref="C1:C2"/>
    <mergeCell ref="D1:F1"/>
    <mergeCell ref="B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30" zoomScaleNormal="130" workbookViewId="0">
      <selection sqref="A1:I5"/>
    </sheetView>
  </sheetViews>
  <sheetFormatPr defaultRowHeight="11.25" x14ac:dyDescent="0.2"/>
  <cols>
    <col min="1" max="1" width="15.28515625" style="261" customWidth="1"/>
    <col min="2" max="2" width="7.42578125" style="264" customWidth="1"/>
    <col min="3" max="3" width="12.28515625" style="261" customWidth="1"/>
    <col min="4" max="4" width="10.7109375" style="261" customWidth="1"/>
    <col min="5" max="5" width="12.28515625" style="261" customWidth="1"/>
    <col min="6" max="6" width="11.7109375" style="261" customWidth="1"/>
    <col min="7" max="7" width="10.7109375" style="261" customWidth="1"/>
    <col min="8" max="8" width="10.85546875" style="261" customWidth="1"/>
    <col min="9" max="9" width="10.7109375" style="261" customWidth="1"/>
    <col min="10" max="16384" width="9.140625" style="261"/>
  </cols>
  <sheetData>
    <row r="1" spans="1:9" s="265" customFormat="1" ht="21" customHeight="1" x14ac:dyDescent="0.2">
      <c r="A1" s="441"/>
      <c r="B1" s="444" t="s">
        <v>249</v>
      </c>
      <c r="C1" s="444" t="s">
        <v>242</v>
      </c>
      <c r="D1" s="441" t="s">
        <v>241</v>
      </c>
      <c r="E1" s="441"/>
      <c r="F1" s="441"/>
      <c r="G1" s="441"/>
      <c r="H1" s="441"/>
      <c r="I1" s="441"/>
    </row>
    <row r="2" spans="1:9" s="266" customFormat="1" ht="21" customHeight="1" x14ac:dyDescent="0.2">
      <c r="A2" s="441"/>
      <c r="B2" s="444"/>
      <c r="C2" s="444"/>
      <c r="D2" s="272" t="s">
        <v>232</v>
      </c>
      <c r="E2" s="272" t="s">
        <v>233</v>
      </c>
      <c r="F2" s="272" t="s">
        <v>234</v>
      </c>
      <c r="G2" s="272" t="s">
        <v>237</v>
      </c>
      <c r="H2" s="272" t="s">
        <v>247</v>
      </c>
      <c r="I2" s="272" t="s">
        <v>248</v>
      </c>
    </row>
    <row r="3" spans="1:9" ht="33.75" x14ac:dyDescent="0.2">
      <c r="A3" s="270" t="s">
        <v>254</v>
      </c>
      <c r="B3" s="315">
        <f>Arkusz3!B3</f>
        <v>49</v>
      </c>
      <c r="C3" s="271" t="e">
        <f t="shared" ref="C3" si="0">SUM(D3:I3)</f>
        <v>#REF!</v>
      </c>
      <c r="D3" s="271" t="e">
        <f>Arkusz3!D3</f>
        <v>#REF!</v>
      </c>
      <c r="E3" s="271" t="e">
        <f>Arkusz3!E3</f>
        <v>#REF!</v>
      </c>
      <c r="F3" s="271">
        <v>0</v>
      </c>
      <c r="G3" s="271" t="e">
        <f>Arkusz3!F3</f>
        <v>#REF!</v>
      </c>
      <c r="H3" s="271">
        <v>0</v>
      </c>
      <c r="I3" s="271">
        <v>0</v>
      </c>
    </row>
    <row r="4" spans="1:9" ht="33.75" x14ac:dyDescent="0.2">
      <c r="A4" s="270" t="s">
        <v>244</v>
      </c>
      <c r="B4" s="315">
        <f>B12</f>
        <v>25</v>
      </c>
      <c r="C4" s="271" t="e">
        <f t="shared" ref="C4" si="1">SUM(D4:I4)</f>
        <v>#REF!</v>
      </c>
      <c r="D4" s="271" t="e">
        <f t="shared" ref="D4:I4" si="2">D12</f>
        <v>#REF!</v>
      </c>
      <c r="E4" s="271" t="e">
        <f t="shared" si="2"/>
        <v>#REF!</v>
      </c>
      <c r="F4" s="271" t="e">
        <f t="shared" si="2"/>
        <v>#REF!</v>
      </c>
      <c r="G4" s="271" t="e">
        <f t="shared" si="2"/>
        <v>#REF!</v>
      </c>
      <c r="H4" s="271" t="e">
        <f t="shared" si="2"/>
        <v>#REF!</v>
      </c>
      <c r="I4" s="271" t="e">
        <f t="shared" si="2"/>
        <v>#REF!</v>
      </c>
    </row>
    <row r="5" spans="1:9" s="337" customFormat="1" ht="21.75" customHeight="1" x14ac:dyDescent="0.2">
      <c r="A5" s="336" t="s">
        <v>360</v>
      </c>
      <c r="B5" s="268">
        <f>SUM(B3:B4)</f>
        <v>74</v>
      </c>
      <c r="C5" s="269" t="e">
        <f>SUM(C3:C4)</f>
        <v>#REF!</v>
      </c>
      <c r="D5" s="269" t="e">
        <f t="shared" ref="D5:I5" si="3">SUM(D3:D4)</f>
        <v>#REF!</v>
      </c>
      <c r="E5" s="269" t="e">
        <f t="shared" si="3"/>
        <v>#REF!</v>
      </c>
      <c r="F5" s="269" t="e">
        <f t="shared" si="3"/>
        <v>#REF!</v>
      </c>
      <c r="G5" s="269" t="e">
        <f t="shared" si="3"/>
        <v>#REF!</v>
      </c>
      <c r="H5" s="269" t="e">
        <f t="shared" si="3"/>
        <v>#REF!</v>
      </c>
      <c r="I5" s="269" t="e">
        <f t="shared" si="3"/>
        <v>#REF!</v>
      </c>
    </row>
    <row r="10" spans="1:9" s="265" customFormat="1" ht="21" customHeight="1" x14ac:dyDescent="0.2">
      <c r="A10" s="441"/>
      <c r="B10" s="437" t="s">
        <v>249</v>
      </c>
      <c r="C10" s="442" t="s">
        <v>242</v>
      </c>
      <c r="D10" s="439" t="s">
        <v>241</v>
      </c>
      <c r="E10" s="439"/>
      <c r="F10" s="439"/>
      <c r="G10" s="439"/>
      <c r="H10" s="439"/>
      <c r="I10" s="440"/>
    </row>
    <row r="11" spans="1:9" s="266" customFormat="1" ht="21" customHeight="1" x14ac:dyDescent="0.2">
      <c r="A11" s="441"/>
      <c r="B11" s="438"/>
      <c r="C11" s="443"/>
      <c r="D11" s="272" t="s">
        <v>232</v>
      </c>
      <c r="E11" s="272" t="s">
        <v>233</v>
      </c>
      <c r="F11" s="272" t="s">
        <v>234</v>
      </c>
      <c r="G11" s="272" t="s">
        <v>237</v>
      </c>
      <c r="H11" s="272" t="s">
        <v>247</v>
      </c>
      <c r="I11" s="272" t="s">
        <v>248</v>
      </c>
    </row>
    <row r="12" spans="1:9" ht="33.75" x14ac:dyDescent="0.2">
      <c r="A12" s="267" t="s">
        <v>245</v>
      </c>
      <c r="B12" s="268">
        <f>SUM(B13:B17)</f>
        <v>25</v>
      </c>
      <c r="C12" s="269" t="e">
        <f t="shared" ref="C12:C17" si="4">SUM(D12:I12)</f>
        <v>#REF!</v>
      </c>
      <c r="D12" s="269" t="e">
        <f t="shared" ref="D12:I12" si="5">SUM(D13:D17)</f>
        <v>#REF!</v>
      </c>
      <c r="E12" s="269" t="e">
        <f t="shared" si="5"/>
        <v>#REF!</v>
      </c>
      <c r="F12" s="269" t="e">
        <f t="shared" si="5"/>
        <v>#REF!</v>
      </c>
      <c r="G12" s="269" t="e">
        <f t="shared" si="5"/>
        <v>#REF!</v>
      </c>
      <c r="H12" s="269" t="e">
        <f t="shared" si="5"/>
        <v>#REF!</v>
      </c>
      <c r="I12" s="269" t="e">
        <f t="shared" si="5"/>
        <v>#REF!</v>
      </c>
    </row>
    <row r="13" spans="1:9" ht="33.75" x14ac:dyDescent="0.2">
      <c r="A13" s="270" t="s">
        <v>90</v>
      </c>
      <c r="B13" s="294">
        <v>7</v>
      </c>
      <c r="C13" s="271" t="e">
        <f t="shared" si="4"/>
        <v>#REF!</v>
      </c>
      <c r="D13" s="271" t="e">
        <f>Arkusz2!D13</f>
        <v>#REF!</v>
      </c>
      <c r="E13" s="271" t="e">
        <f>Arkusz2!E13</f>
        <v>#REF!</v>
      </c>
      <c r="F13" s="271" t="e">
        <f>Arkusz2!F13</f>
        <v>#REF!</v>
      </c>
      <c r="G13" s="271" t="e">
        <f>Arkusz2!G13</f>
        <v>#REF!</v>
      </c>
      <c r="H13" s="271" t="e">
        <f>Arkusz2!H13</f>
        <v>#REF!</v>
      </c>
      <c r="I13" s="271" t="e">
        <f>Arkusz2!I13</f>
        <v>#REF!</v>
      </c>
    </row>
    <row r="14" spans="1:9" ht="45" x14ac:dyDescent="0.2">
      <c r="A14" s="270" t="s">
        <v>86</v>
      </c>
      <c r="B14" s="294">
        <v>11</v>
      </c>
      <c r="C14" s="271" t="e">
        <f t="shared" si="4"/>
        <v>#REF!</v>
      </c>
      <c r="D14" s="271" t="e">
        <f>Arkusz2!D14</f>
        <v>#REF!</v>
      </c>
      <c r="E14" s="271" t="e">
        <f>Arkusz2!E14</f>
        <v>#REF!</v>
      </c>
      <c r="F14" s="271" t="e">
        <f>Arkusz2!F14</f>
        <v>#REF!</v>
      </c>
      <c r="G14" s="271" t="e">
        <f>Arkusz2!G14</f>
        <v>#REF!</v>
      </c>
      <c r="H14" s="271" t="e">
        <f>Arkusz2!H14</f>
        <v>#REF!</v>
      </c>
      <c r="I14" s="271" t="e">
        <f>Arkusz2!I14</f>
        <v>#REF!</v>
      </c>
    </row>
    <row r="15" spans="1:9" ht="33.75" x14ac:dyDescent="0.2">
      <c r="A15" s="270" t="s">
        <v>49</v>
      </c>
      <c r="B15" s="294">
        <v>1</v>
      </c>
      <c r="C15" s="271">
        <f t="shared" si="4"/>
        <v>3000</v>
      </c>
      <c r="D15" s="271">
        <f>Arkusz2!D15</f>
        <v>3000</v>
      </c>
      <c r="E15" s="271">
        <f>Arkusz2!E15</f>
        <v>0</v>
      </c>
      <c r="F15" s="271">
        <f>Arkusz2!F15</f>
        <v>0</v>
      </c>
      <c r="G15" s="271">
        <f>Arkusz2!G15</f>
        <v>0</v>
      </c>
      <c r="H15" s="271">
        <f>Arkusz2!H15</f>
        <v>0</v>
      </c>
      <c r="I15" s="271">
        <f>Arkusz2!I15</f>
        <v>0</v>
      </c>
    </row>
    <row r="16" spans="1:9" ht="33.75" x14ac:dyDescent="0.2">
      <c r="A16" s="270" t="s">
        <v>246</v>
      </c>
      <c r="B16" s="294">
        <v>1</v>
      </c>
      <c r="C16" s="271">
        <f t="shared" si="4"/>
        <v>1750139.65</v>
      </c>
      <c r="D16" s="271">
        <f>Arkusz2!D16</f>
        <v>1444767.92</v>
      </c>
      <c r="E16" s="271">
        <f>Arkusz2!E16</f>
        <v>50857.88</v>
      </c>
      <c r="F16" s="271">
        <f>Arkusz2!F16</f>
        <v>0</v>
      </c>
      <c r="G16" s="271">
        <f>Arkusz2!G16</f>
        <v>0</v>
      </c>
      <c r="H16" s="271">
        <f>Arkusz2!H16</f>
        <v>254513.85</v>
      </c>
      <c r="I16" s="271">
        <f>Arkusz2!I16</f>
        <v>0</v>
      </c>
    </row>
    <row r="17" spans="1:9" ht="22.5" x14ac:dyDescent="0.2">
      <c r="A17" s="270" t="s">
        <v>55</v>
      </c>
      <c r="B17" s="294">
        <v>5</v>
      </c>
      <c r="C17" s="271" t="e">
        <f t="shared" si="4"/>
        <v>#REF!</v>
      </c>
      <c r="D17" s="271" t="e">
        <f>Arkusz2!D17</f>
        <v>#REF!</v>
      </c>
      <c r="E17" s="271" t="e">
        <f>Arkusz2!E17</f>
        <v>#REF!</v>
      </c>
      <c r="F17" s="271" t="e">
        <f>Arkusz2!F17</f>
        <v>#REF!</v>
      </c>
      <c r="G17" s="271" t="e">
        <f>Arkusz2!G17</f>
        <v>#REF!</v>
      </c>
      <c r="H17" s="271">
        <f>Arkusz2!H17</f>
        <v>0</v>
      </c>
      <c r="I17" s="271">
        <f>Arkusz2!I17</f>
        <v>0</v>
      </c>
    </row>
    <row r="20" spans="1:9" x14ac:dyDescent="0.2">
      <c r="C20" s="295" t="e">
        <f>C12-Arkusz2!C12</f>
        <v>#REF!</v>
      </c>
    </row>
  </sheetData>
  <mergeCells count="8">
    <mergeCell ref="B10:B11"/>
    <mergeCell ref="D10:I10"/>
    <mergeCell ref="A10:A11"/>
    <mergeCell ref="C10:C11"/>
    <mergeCell ref="A1:A2"/>
    <mergeCell ref="B1:B2"/>
    <mergeCell ref="C1:C2"/>
    <mergeCell ref="D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4" sqref="B24"/>
    </sheetView>
  </sheetViews>
  <sheetFormatPr defaultRowHeight="12.75" x14ac:dyDescent="0.2"/>
  <cols>
    <col min="1" max="1" width="45.7109375" style="1" customWidth="1"/>
    <col min="2" max="2" width="13.7109375" style="259" customWidth="1"/>
    <col min="3" max="3" width="14.7109375" style="1" customWidth="1"/>
    <col min="4" max="16384" width="9.140625" style="1"/>
  </cols>
  <sheetData>
    <row r="1" spans="1:3" s="273" customFormat="1" ht="30.75" customHeight="1" x14ac:dyDescent="0.2">
      <c r="A1" s="274"/>
      <c r="B1" s="275" t="s">
        <v>243</v>
      </c>
      <c r="C1" s="275" t="s">
        <v>242</v>
      </c>
    </row>
    <row r="2" spans="1:3" s="202" customFormat="1" ht="18" customHeight="1" x14ac:dyDescent="0.2">
      <c r="A2" s="255" t="s">
        <v>254</v>
      </c>
      <c r="B2" s="260">
        <f>SUM(B3:B7)</f>
        <v>49</v>
      </c>
      <c r="C2" s="256">
        <f>SUM(C3:C7)</f>
        <v>6622718.0800000001</v>
      </c>
    </row>
    <row r="3" spans="1:3" ht="18" customHeight="1" x14ac:dyDescent="0.2">
      <c r="A3" s="257" t="s">
        <v>252</v>
      </c>
      <c r="B3" s="276">
        <v>28</v>
      </c>
      <c r="C3" s="258">
        <f>'przedsiewziecia UE'!M306+'[1]Załącznik 9'!$H$24+'[2]przedsiewziecia UE'!$M$207+'[2]przedsiewziecia UE'!$M$214+'[2]przedsiewziecia UE'!$M$221</f>
        <v>2120907.69</v>
      </c>
    </row>
    <row r="4" spans="1:3" ht="18" customHeight="1" x14ac:dyDescent="0.2">
      <c r="A4" s="257" t="s">
        <v>250</v>
      </c>
      <c r="B4" s="276">
        <v>3</v>
      </c>
      <c r="C4" s="258">
        <f>'przedsiewziecia UE'!M110</f>
        <v>1574073.1600000001</v>
      </c>
    </row>
    <row r="5" spans="1:3" ht="18" customHeight="1" x14ac:dyDescent="0.2">
      <c r="A5" s="257" t="s">
        <v>257</v>
      </c>
      <c r="B5" s="276">
        <v>5</v>
      </c>
      <c r="C5" s="258">
        <f>'przedsiewziecia UE'!M29</f>
        <v>802666.03000000014</v>
      </c>
    </row>
    <row r="6" spans="1:3" ht="18" customHeight="1" x14ac:dyDescent="0.2">
      <c r="A6" s="257" t="s">
        <v>251</v>
      </c>
      <c r="B6" s="276">
        <v>8</v>
      </c>
      <c r="C6" s="258">
        <f>'przedsiewziecia UE'!M220</f>
        <v>1758272.52</v>
      </c>
    </row>
    <row r="7" spans="1:3" ht="18" customHeight="1" x14ac:dyDescent="0.2">
      <c r="A7" s="257" t="s">
        <v>253</v>
      </c>
      <c r="B7" s="276">
        <v>5</v>
      </c>
      <c r="C7" s="258">
        <f>'przedsiewziecia UE'!M474</f>
        <v>366798.68</v>
      </c>
    </row>
    <row r="9" spans="1:3" x14ac:dyDescent="0.2">
      <c r="C9" s="201" t="e">
        <f>C2-Arkusz2!C2</f>
        <v>#REF!</v>
      </c>
    </row>
  </sheetData>
  <sortState ref="A3:C7">
    <sortCondition descending="1" ref="C3:C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7"/>
    </sheetView>
  </sheetViews>
  <sheetFormatPr defaultRowHeight="12.75" x14ac:dyDescent="0.2"/>
  <cols>
    <col min="1" max="1" width="45.7109375" style="1" customWidth="1"/>
    <col min="2" max="2" width="13.7109375" style="1" customWidth="1"/>
    <col min="3" max="3" width="16.28515625" style="1" customWidth="1"/>
    <col min="4" max="16384" width="9.140625" style="1"/>
  </cols>
  <sheetData>
    <row r="1" spans="1:3" s="273" customFormat="1" ht="30.75" customHeight="1" x14ac:dyDescent="0.2">
      <c r="A1" s="274"/>
      <c r="B1" s="275" t="s">
        <v>243</v>
      </c>
      <c r="C1" s="275" t="s">
        <v>242</v>
      </c>
    </row>
    <row r="2" spans="1:3" ht="18" customHeight="1" x14ac:dyDescent="0.2">
      <c r="A2" s="255" t="s">
        <v>244</v>
      </c>
      <c r="B2" s="260">
        <f>SUM(B3:B7)</f>
        <v>25</v>
      </c>
      <c r="C2" s="256" t="e">
        <f>SUM(C3:C7)</f>
        <v>#REF!</v>
      </c>
    </row>
    <row r="3" spans="1:3" ht="18" customHeight="1" x14ac:dyDescent="0.2">
      <c r="A3" s="257" t="s">
        <v>258</v>
      </c>
      <c r="B3" s="276">
        <v>16</v>
      </c>
      <c r="C3" s="258">
        <f>'przedsiewziecia UE'!M660</f>
        <v>33201880.66</v>
      </c>
    </row>
    <row r="4" spans="1:3" ht="18" customHeight="1" x14ac:dyDescent="0.2">
      <c r="A4" s="257" t="s">
        <v>257</v>
      </c>
      <c r="B4" s="276">
        <v>3</v>
      </c>
      <c r="C4" s="258">
        <f>'przedsiewziecia UE'!M641+'[1]Załącznik 9'!$H$52</f>
        <v>1022964.3200000001</v>
      </c>
    </row>
    <row r="5" spans="1:3" ht="18" customHeight="1" x14ac:dyDescent="0.2">
      <c r="A5" s="257" t="s">
        <v>256</v>
      </c>
      <c r="B5" s="276">
        <v>1</v>
      </c>
      <c r="C5" s="258">
        <f>'przedsiewziecia UE'!M607</f>
        <v>3000</v>
      </c>
    </row>
    <row r="6" spans="1:3" ht="18" customHeight="1" x14ac:dyDescent="0.2">
      <c r="A6" s="257" t="s">
        <v>255</v>
      </c>
      <c r="B6" s="276">
        <v>2</v>
      </c>
      <c r="C6" s="258">
        <f>'przedsiewziecia UE'!M572</f>
        <v>2211074.8800000004</v>
      </c>
    </row>
    <row r="7" spans="1:3" ht="18" customHeight="1" x14ac:dyDescent="0.2">
      <c r="A7" s="257" t="s">
        <v>252</v>
      </c>
      <c r="B7" s="276">
        <v>3</v>
      </c>
      <c r="C7" s="258" t="e">
        <f>'przedsiewziecia UE'!#REF!+'[1]Załącznik 9'!$H$73</f>
        <v>#REF!</v>
      </c>
    </row>
    <row r="9" spans="1:3" x14ac:dyDescent="0.2">
      <c r="C9" s="201" t="e">
        <f>C2-Arkusz2!C12</f>
        <v>#REF!</v>
      </c>
    </row>
  </sheetData>
  <sortState ref="A3:C7">
    <sortCondition descending="1" ref="C3:C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U23" sqref="U23"/>
    </sheetView>
  </sheetViews>
  <sheetFormatPr defaultRowHeight="12.75" x14ac:dyDescent="0.2"/>
  <cols>
    <col min="1" max="1" width="17.5703125" style="1" customWidth="1"/>
    <col min="2" max="2" width="12.7109375" style="259" customWidth="1"/>
    <col min="3" max="6" width="12.7109375" style="1" customWidth="1"/>
    <col min="7" max="16384" width="9.140625" style="1"/>
  </cols>
  <sheetData>
    <row r="1" spans="1:6" s="261" customFormat="1" ht="15" customHeight="1" x14ac:dyDescent="0.2">
      <c r="A1" s="430"/>
      <c r="B1" s="435" t="s">
        <v>243</v>
      </c>
      <c r="C1" s="431" t="s">
        <v>242</v>
      </c>
      <c r="D1" s="433" t="s">
        <v>241</v>
      </c>
      <c r="E1" s="433"/>
      <c r="F1" s="434"/>
    </row>
    <row r="2" spans="1:6" s="263" customFormat="1" ht="51" customHeight="1" x14ac:dyDescent="0.2">
      <c r="A2" s="430"/>
      <c r="B2" s="436"/>
      <c r="C2" s="432"/>
      <c r="D2" s="280" t="s">
        <v>259</v>
      </c>
      <c r="E2" s="280" t="s">
        <v>260</v>
      </c>
      <c r="F2" s="280" t="s">
        <v>261</v>
      </c>
    </row>
    <row r="3" spans="1:6" ht="18" customHeight="1" x14ac:dyDescent="0.2">
      <c r="A3" s="255" t="s">
        <v>240</v>
      </c>
      <c r="B3" s="260">
        <f>SUM(B4:B10)</f>
        <v>49</v>
      </c>
      <c r="C3" s="256" t="e">
        <f t="shared" ref="C3" si="0">SUM(D3:F3)</f>
        <v>#REF!</v>
      </c>
      <c r="D3" s="279" t="e">
        <f>SUM(D4:D10)</f>
        <v>#REF!</v>
      </c>
      <c r="E3" s="279" t="e">
        <f>SUM(E4:E10)</f>
        <v>#REF!</v>
      </c>
      <c r="F3" s="279" t="e">
        <f>SUM(F4:F10)</f>
        <v>#REF!</v>
      </c>
    </row>
    <row r="4" spans="1:6" ht="18" customHeight="1" x14ac:dyDescent="0.2">
      <c r="A4" s="257" t="s">
        <v>224</v>
      </c>
      <c r="B4" s="276">
        <v>21</v>
      </c>
      <c r="C4" s="258" t="e">
        <f t="shared" ref="C4:C10" si="1">SUM(D4:F4)</f>
        <v>#REF!</v>
      </c>
      <c r="D4" s="258" t="e">
        <f>Arkusz2!D3</f>
        <v>#REF!</v>
      </c>
      <c r="E4" s="258" t="e">
        <f>Arkusz2!E3</f>
        <v>#REF!</v>
      </c>
      <c r="F4" s="258" t="e">
        <f>Arkusz2!G3</f>
        <v>#REF!</v>
      </c>
    </row>
    <row r="5" spans="1:6" ht="18" customHeight="1" x14ac:dyDescent="0.2">
      <c r="A5" s="257" t="s">
        <v>225</v>
      </c>
      <c r="B5" s="276">
        <v>2</v>
      </c>
      <c r="C5" s="258">
        <f t="shared" si="1"/>
        <v>158341.03999999998</v>
      </c>
      <c r="D5" s="258">
        <f>Arkusz2!D4</f>
        <v>0</v>
      </c>
      <c r="E5" s="258">
        <f>Arkusz2!E4</f>
        <v>134589.4</v>
      </c>
      <c r="F5" s="258">
        <f>Arkusz2!G4</f>
        <v>23751.64</v>
      </c>
    </row>
    <row r="6" spans="1:6" ht="18" customHeight="1" x14ac:dyDescent="0.2">
      <c r="A6" s="257" t="s">
        <v>229</v>
      </c>
      <c r="B6" s="276">
        <v>11</v>
      </c>
      <c r="C6" s="258" t="e">
        <f t="shared" si="1"/>
        <v>#REF!</v>
      </c>
      <c r="D6" s="258" t="e">
        <f>Arkusz2!D8</f>
        <v>#REF!</v>
      </c>
      <c r="E6" s="258" t="e">
        <f>Arkusz2!E8</f>
        <v>#REF!</v>
      </c>
      <c r="F6" s="258">
        <f>Arkusz2!G8</f>
        <v>0</v>
      </c>
    </row>
    <row r="7" spans="1:6" ht="18" customHeight="1" x14ac:dyDescent="0.2">
      <c r="A7" s="257" t="s">
        <v>82</v>
      </c>
      <c r="B7" s="276">
        <v>5</v>
      </c>
      <c r="C7" s="258" t="e">
        <f t="shared" si="1"/>
        <v>#REF!</v>
      </c>
      <c r="D7" s="258" t="e">
        <f>Arkusz2!D7</f>
        <v>#REF!</v>
      </c>
      <c r="E7" s="258" t="e">
        <f>Arkusz2!E7</f>
        <v>#REF!</v>
      </c>
      <c r="F7" s="258">
        <f>Arkusz2!G7</f>
        <v>0</v>
      </c>
    </row>
    <row r="8" spans="1:6" ht="18" customHeight="1" x14ac:dyDescent="0.2">
      <c r="A8" s="257" t="s">
        <v>339</v>
      </c>
      <c r="B8" s="276">
        <v>5</v>
      </c>
      <c r="C8" s="258">
        <f t="shared" si="1"/>
        <v>130951.36</v>
      </c>
      <c r="D8" s="258">
        <f>Arkusz2!D9</f>
        <v>23543.690000000002</v>
      </c>
      <c r="E8" s="258">
        <f>Arkusz2!E9</f>
        <v>107407.67</v>
      </c>
      <c r="F8" s="258">
        <f>Arkusz2!G9</f>
        <v>0</v>
      </c>
    </row>
    <row r="9" spans="1:6" ht="18" customHeight="1" x14ac:dyDescent="0.2">
      <c r="A9" s="257" t="s">
        <v>226</v>
      </c>
      <c r="B9" s="276">
        <v>2</v>
      </c>
      <c r="C9" s="258">
        <f t="shared" si="1"/>
        <v>352293.77999999997</v>
      </c>
      <c r="D9" s="258">
        <f>Arkusz2!D5</f>
        <v>44865.98</v>
      </c>
      <c r="E9" s="258">
        <f>Arkusz2!E5</f>
        <v>282867.74</v>
      </c>
      <c r="F9" s="258">
        <f>Arkusz2!G5</f>
        <v>24560.06</v>
      </c>
    </row>
    <row r="10" spans="1:6" ht="18" customHeight="1" x14ac:dyDescent="0.2">
      <c r="A10" s="257" t="s">
        <v>227</v>
      </c>
      <c r="B10" s="276">
        <v>3</v>
      </c>
      <c r="C10" s="258">
        <f t="shared" si="1"/>
        <v>7862.9</v>
      </c>
      <c r="D10" s="258">
        <f>Arkusz2!D6</f>
        <v>1572.58</v>
      </c>
      <c r="E10" s="258">
        <f>Arkusz2!E6</f>
        <v>6290.32</v>
      </c>
      <c r="F10" s="258">
        <f>Arkusz2!G6</f>
        <v>0</v>
      </c>
    </row>
  </sheetData>
  <sortState ref="A4:F10">
    <sortCondition descending="1" ref="C4:C10"/>
  </sortState>
  <mergeCells count="4">
    <mergeCell ref="A1:A2"/>
    <mergeCell ref="B1:B2"/>
    <mergeCell ref="C1:C2"/>
    <mergeCell ref="D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2</vt:i4>
      </vt:variant>
    </vt:vector>
  </HeadingPairs>
  <TitlesOfParts>
    <vt:vector size="16" baseType="lpstr">
      <vt:lpstr>przedsiewziecia UE</vt:lpstr>
      <vt:lpstr>Arkusz1</vt:lpstr>
      <vt:lpstr>Arkusz1 (2)</vt:lpstr>
      <vt:lpstr>Arkusz2</vt:lpstr>
      <vt:lpstr>Arkusz3</vt:lpstr>
      <vt:lpstr>Arkusz4</vt:lpstr>
      <vt:lpstr>Arkusz5</vt:lpstr>
      <vt:lpstr>Arkusz6</vt:lpstr>
      <vt:lpstr>Arkusz3 (2)</vt:lpstr>
      <vt:lpstr>Arkusz4 (2)</vt:lpstr>
      <vt:lpstr>Arkusz7</vt:lpstr>
      <vt:lpstr>Arkusz8</vt:lpstr>
      <vt:lpstr>Arkusz9</vt:lpstr>
      <vt:lpstr>Arkusz10</vt:lpstr>
      <vt:lpstr>'przedsiewziecia UE'!Obszar_wydruku</vt:lpstr>
      <vt:lpstr>'przedsiewziecia UE'!Tytuły_wydruku</vt:lpstr>
    </vt:vector>
  </TitlesOfParts>
  <Company>ZOUM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dsalwa</dc:creator>
  <cp:lastModifiedBy>Ewa Wypych</cp:lastModifiedBy>
  <cp:lastPrinted>2013-08-29T10:28:56Z</cp:lastPrinted>
  <dcterms:created xsi:type="dcterms:W3CDTF">2006-07-21T07:43:40Z</dcterms:created>
  <dcterms:modified xsi:type="dcterms:W3CDTF">2013-08-30T07:17:27Z</dcterms:modified>
</cp:coreProperties>
</file>