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7875" tabRatio="703" activeTab="0"/>
  </bookViews>
  <sheets>
    <sheet name="przedsiewziecia pozostale" sheetId="1" r:id="rId1"/>
    <sheet name="Arkusz1" sheetId="2" r:id="rId2"/>
  </sheets>
  <definedNames>
    <definedName name="_xlnm.Print_Titles" localSheetId="0">'przedsiewziecia pozostale'!$9:$11</definedName>
  </definedNames>
  <calcPr fullCalcOnLoad="1"/>
</workbook>
</file>

<file path=xl/sharedStrings.xml><?xml version="1.0" encoding="utf-8"?>
<sst xmlns="http://schemas.openxmlformats.org/spreadsheetml/2006/main" count="1337" uniqueCount="539">
  <si>
    <t>(9)</t>
  </si>
  <si>
    <t>(10)</t>
  </si>
  <si>
    <t>(11)</t>
  </si>
  <si>
    <t>Stan zaawansowania prac,                                                                          zrealizowany zakres rzeczowy - wskaźniki ilościowe</t>
  </si>
  <si>
    <t>1.</t>
  </si>
  <si>
    <t>I.</t>
  </si>
  <si>
    <t>A</t>
  </si>
  <si>
    <t>w zł</t>
  </si>
  <si>
    <t>(1)</t>
  </si>
  <si>
    <t>(2)</t>
  </si>
  <si>
    <t>(3)</t>
  </si>
  <si>
    <t>(4)</t>
  </si>
  <si>
    <t>(5)</t>
  </si>
  <si>
    <t>(6)</t>
  </si>
  <si>
    <t>(7)</t>
  </si>
  <si>
    <t>(8)</t>
  </si>
  <si>
    <t>Lp.</t>
  </si>
  <si>
    <t>Źródło</t>
  </si>
  <si>
    <t>- środki własne miasta</t>
  </si>
  <si>
    <t>Miasto Kielce</t>
  </si>
  <si>
    <t>Nazwa i cel przedsięwzięcia</t>
  </si>
  <si>
    <t>Ogółem przedsięwzięcia:</t>
  </si>
  <si>
    <t>Ogółem przedsięwzięcia bieżące:</t>
  </si>
  <si>
    <t>- środki inne</t>
  </si>
  <si>
    <t>Cel:</t>
  </si>
  <si>
    <t>Łączne nakłady finansowe</t>
  </si>
  <si>
    <t>Przewidywane nakłady i źródła finansowania</t>
  </si>
  <si>
    <t>Okres                 realizacji</t>
  </si>
  <si>
    <t>(12)</t>
  </si>
  <si>
    <t>Przedsięwzięcie:</t>
  </si>
  <si>
    <t>Wartość przedsięwzięcia:</t>
  </si>
  <si>
    <t>(13)</t>
  </si>
  <si>
    <t>Wykaz pozostałych programów, projektów lub zadań</t>
  </si>
  <si>
    <t>Dział             Rozdział</t>
  </si>
  <si>
    <t>Stopień realizacji  przedsięwzięć %               11:10</t>
  </si>
  <si>
    <t>Stopień realizacji  przedsięwzięć          %                         7:6</t>
  </si>
  <si>
    <t>MIEJSKI ZARZĄD BUDYNKÓW</t>
  </si>
  <si>
    <t>Zabezpieczenie niezbędnych usług i mediów dla zarządzanego zasobu</t>
  </si>
  <si>
    <t>Zabezpieczono dostawy wody, gazu, c.o.,energii elektrycznej, odprowadzenie ścieków, wywóz śmieci i nieczystości, dozorowanie budynków, administrowanie nieruchomości, zakup oleju opałowego do kotłowni, opłaty na zaliczki na utrzymanie części wspólnych, ubezpieczenie nieruchomości, opłaty za emisję gazów.</t>
  </si>
  <si>
    <t>2011-2018</t>
  </si>
  <si>
    <t>Rok 2013</t>
  </si>
  <si>
    <t>Plan na początek roku</t>
  </si>
  <si>
    <t xml:space="preserve">Wykonanie                       na dzień      30.06.2013 r.     </t>
  </si>
  <si>
    <t>Planowane wydatki                      po zmianach                          na 30.06.2013 r.</t>
  </si>
  <si>
    <t>Cel:Zarządzanie mieszkaniowym zasobem Gminy Kielce</t>
  </si>
  <si>
    <t>Wydatki poniesione                do dnia               30.06.2013 r.</t>
  </si>
  <si>
    <t>ZAKŁAD OBSŁUGI I INFORMATYKI URZĘDU MIASTA KIELCE</t>
  </si>
  <si>
    <t>Utrzymanie pozostałych zarządzanych nieruchomości</t>
  </si>
  <si>
    <t>2011-2014</t>
  </si>
  <si>
    <t>Zapewnienie utrzymania pozostałych zarządzanych nieruchomości i majątku</t>
  </si>
  <si>
    <t>700
70095</t>
  </si>
  <si>
    <t xml:space="preserve">Wydatki dotyczą opłat związanych z zarządzaną nieruchomością (budynkiem) przy ul. Mazurskiej 48 za okres grudzień 2012r.  - maj/czerwiec 2013 r., tj. z tytułu:
1/  dostaw energii elektrycznej, gazu ( do ogrzewania) i wody, 
2/ opłat za odprowadzenie ścieków,
3/  monitoringu (ochrony) nieruchomości,
4/  usług dostępu do sieci internet oraz usług telekomunikacyjnych ( stacjonarnej sieci telefonicznej),
5/ ubezpieczenia majątku.
</t>
  </si>
  <si>
    <t>710
71015</t>
  </si>
  <si>
    <t>Wydatki dotyczą opłat za I - sze półrocze 2013r.  z tytułu czynszu za pomieszczenia wynajmowane na potrzeby Powiatowego Inspektoratu Nadzoru Budowlanego.</t>
  </si>
  <si>
    <t>750
75075</t>
  </si>
  <si>
    <t>Wydatki dotyczą opłat :
1/ za energię elektryczną, dostarczaną do zasilania monitorów ekranowych zainstalowanych na budynku Parkingu Centrum  - za okres XII.2012r. - maj 2013r.,
2/ z tytułu czynszu za udostępnienie powierzchni pod w/w monitory ekranowe za okres I - VI.2013r..</t>
  </si>
  <si>
    <t>2.</t>
  </si>
  <si>
    <t>WYD.BIEŻ.- TRWAŁOŚĆ PROJEKTU "e- Świętokrzyskie - budowa sieci światłowodowych wraz z urządzeniami na terenie Miasta Kielce"</t>
  </si>
  <si>
    <t>2014-2018</t>
  </si>
  <si>
    <t>750
75023</t>
  </si>
  <si>
    <t>Utrzymanie trwałości Projektu pn. "e- Świętokrzyskie - budowa sieci światłowodowych wraz z urządzeniami na terenie Miasta Kielce"</t>
  </si>
  <si>
    <t>3.</t>
  </si>
  <si>
    <t>WYD.BIEŻ.- TRWAŁOŚĆ PROJEKTU "e- Świętokrzyskie Budowa Systemu Informacji Przestrzennej Województwa Świętokrzyskiego"</t>
  </si>
  <si>
    <t>720
72095</t>
  </si>
  <si>
    <t>Utrzymanie trwałości PROJEKTU pn. "e- Świętokrzyskie Budowa Systemu Informacji Przestrzennej Województwa Świętokrzyskiego"</t>
  </si>
  <si>
    <t>Wydział Środowiska i Usług Komunalnych</t>
  </si>
  <si>
    <t>System Gospodarki Odpadami Komunalnymi.</t>
  </si>
  <si>
    <t>2013-2018</t>
  </si>
  <si>
    <t>900   90002</t>
  </si>
  <si>
    <t>Wdrożenie Systemu Gospodarki Odpadami komunalnymi którego głównym celem jest zmniejszenie powstawania dzikich wysypisk na terenie gminy.</t>
  </si>
  <si>
    <t xml:space="preserve"> - </t>
  </si>
  <si>
    <t>Utrzymanie szaletów miesjkich.</t>
  </si>
  <si>
    <t>900  90003</t>
  </si>
  <si>
    <t>Przedsięwzięcie obejmuje utrzymanie  i obsługę     10 szt. ogólnodostępnych szaletów na terenie miasta. W szczególności wykonywanie zabiegów higieniczno-sanitarnych oraz konserwacji obiektów oraz ich wyposażenia.</t>
  </si>
  <si>
    <t>Utrzymanie czystości i porządku na teremie miasta.</t>
  </si>
  <si>
    <t>Uchwałą Nr XVI/292/2007 Rady Miejskiej w Kielcach z dnia 25.10.2007 roku przyjęty został „Program usuwania i unieszkodliwiania z terenu Miasta Kielce odpadów zawierających azbest”, którego głównym celem jest doprowadzenie do stopniowej eliminacji wyrobów zawierających azbest oraz ich bezpieczne unieszkodliwianie. Przedsięwziecie obejmuje demontaż, załadunek, wywóz i utylizację odpadów.</t>
  </si>
  <si>
    <t>Przedsięwzięcie związane z usuwaniem azbestu</t>
  </si>
  <si>
    <t>900        90019</t>
  </si>
  <si>
    <t>przedsięwzięcie związane z usuwaniem azbestu</t>
  </si>
  <si>
    <t>4.</t>
  </si>
  <si>
    <t xml:space="preserve"> Dostawa wody i energii elektrycznej na potrzeby Miasta Kielce.</t>
  </si>
  <si>
    <t>900        90003</t>
  </si>
  <si>
    <t>Utrzymnaie czystości i porządku na terenie miasta. Poprawa jakości wód na terenie miasta.</t>
  </si>
  <si>
    <t>900      90095</t>
  </si>
  <si>
    <t>Wydział Zarządzania Kryzysowego i Bezpieczeństwa</t>
  </si>
  <si>
    <t>-</t>
  </si>
  <si>
    <t xml:space="preserve">Przedsięwzięcie:  </t>
  </si>
  <si>
    <t>Usuwanie odpadów poakcyjnych przez Komend e Miejską Państwowej Straży Pożarnej po akcjach ratowniczo-gaśniczych na terenie Miasta Kielce</t>
  </si>
  <si>
    <t>2011-               2018</t>
  </si>
  <si>
    <t>754                   75411</t>
  </si>
  <si>
    <t>Środki przeznaczono w szczególności na utylizację odpadów poakcyjnych, powstałychw wyniku zbierania plam i rozlewisk materiałów niebezpiecznych, ropopochodnych pochodzących z likwidacji skutków miejscowych zagrożeń na ternie miasta Kielce podczas działań ratowniczych KMPSP.</t>
  </si>
  <si>
    <t>Eliminacja odpadów poakcyjnych z terenu Miasta Kielce</t>
  </si>
  <si>
    <t>Wydział  Gospodarki Nieruchomościami i Geodezji</t>
  </si>
  <si>
    <t xml:space="preserve">Regulacja stanu prawnego nieruchomości </t>
  </si>
  <si>
    <t xml:space="preserve">Trwają szczegółowe prace związane z regulacją stanu prawnego nieruchomości  w celu uzyskania  wpisu do ksiąg wieczystych. Środki zostaną wydatkowane w II półroczu br roku. 
</t>
  </si>
  <si>
    <t xml:space="preserve">Cel: Uzyskanie tytułu własności przez Gminę Kielce </t>
  </si>
  <si>
    <t>68 000</t>
  </si>
  <si>
    <t>Geopark Kielce</t>
  </si>
  <si>
    <t>W zakresie wydatków dot. utrzymania rezerwatówprzyrody poniesiono wydatki na opłaty za energię elektryczną, wodę, wywóz śmieci, usługi dostepu do sieci internet, za telefony stacjonarne,opłaty za czynsz, opłaty za ubezpieczenie majątku, za prace porządkowe w rezerwatach, za ochronę obiektów- Amfiteatru Kadzielnia i Centrum Geoedukacji, za usługi pocztowe.</t>
  </si>
  <si>
    <t>Utrzymanie rezerwatów przyrody i innych jednostek pozostających w administracji Geopark Kielce</t>
  </si>
  <si>
    <t>Promowanie walorów geologicznych Miasta Kielce</t>
  </si>
  <si>
    <t>710   71095</t>
  </si>
  <si>
    <t>Utrzymanie trwałości projektu pn. Przebudowa Amfiteatru Kadzielnia</t>
  </si>
  <si>
    <t>2011-2015</t>
  </si>
  <si>
    <t>W ramach utrzymania trwłości projektu dokonano przeglądu ruchomego zdaszenia sceny, zapłacono za energie elektryczną i częsciowo za pozostałe usługi.</t>
  </si>
  <si>
    <t>Stymulowanie rozwoju turystyki i promowanie Kielce oraz regionu w Polsce i za granicą</t>
  </si>
  <si>
    <t>Przedsięwzięcie : Utrzymanie trwałosci projektu pn "Budowa Centrum Geoedukacji"                                                                                                                                                                                                                                                                                                                                                                                  Cel:                          Propagowanie edukacji i turystyki gologicznej regionu</t>
  </si>
  <si>
    <t>2012-2017</t>
  </si>
  <si>
    <t>W ramach utrzymania trwałości projektu dokonano opłat za energię elektryczną i wodę  za I półrocze 2013r dot.  budynku Centrum Geoedukacji oraz opłat za nadzór i konserwację  klimatyzacji w budynku - Centrum Geoedukacji, za nadzór instalacji p.poz, usługi informatyczne,usługi odprowadzenia ścieków.</t>
  </si>
  <si>
    <r>
      <t xml:space="preserve">Wydział  </t>
    </r>
    <r>
      <rPr>
        <b/>
        <sz val="9"/>
        <rFont val="Arial"/>
        <family val="2"/>
      </rPr>
      <t>Komunikacji  Działalności Gospodarczej</t>
    </r>
  </si>
  <si>
    <t>Zakup dowodów stalych, pozwoleń czsowych itp.. Dokumentów komunikacyjnych, praw jazdy.</t>
  </si>
  <si>
    <t>2011-2017</t>
  </si>
  <si>
    <t>750         75095</t>
  </si>
  <si>
    <t xml:space="preserve">Zakupiono 120 332 szt. druków komunikacyjnych jak: dowody rejestracyjne, nalepki kontrolne, prawo jazdy i inne druki komunikacyjne. </t>
  </si>
  <si>
    <t>Weryfikacja ilości i własności pojazd ów oraz weryfikacja uprawnień kierowców.</t>
  </si>
  <si>
    <t>Przedsięwzięcie: BIZNESSTARTER</t>
  </si>
  <si>
    <t>2012-2014</t>
  </si>
  <si>
    <t>730      73006</t>
  </si>
  <si>
    <t>Przeprowadzono I edycję konkursu na najlepszy biznes plan. Wyłoniono laureatów, nagrody zostaną wypłacone w m-cu VII .Zorganizowano Galę Biznesu.</t>
  </si>
  <si>
    <t>Cel:Rozwój postaw i kompetencji biznesowych w środowisku akademickim od poziomu edukacji do etapu podjęcia działalności gospodarczej i wejścia na rynek w formie przedsiębiorstw typu spin off/out</t>
  </si>
  <si>
    <t xml:space="preserve">Przedsięwzięcie: </t>
  </si>
  <si>
    <t>Design-nowy wymiar komercjalizacji wiedzy(Iiedycja)</t>
  </si>
  <si>
    <t>2012-2013</t>
  </si>
  <si>
    <t>Zorganizowano wyjazd studentów wyższych uczelnina warsztaty w zakresie nwzornictwa, wyposażono bibliotekę Designu.</t>
  </si>
  <si>
    <t>Cel:Głównym celem projektu jest upowszechnianie i doskonalenie modelowego systemu komercjalizacji wiedzy w zakresie wzornictwa przemysłowego i użytkowego (design)</t>
  </si>
  <si>
    <t>Trwałość Projektu pn.Kielecki Park Technologiczny</t>
  </si>
  <si>
    <t>710    71095</t>
  </si>
  <si>
    <t>Jednostka realizuje zadania w zakresie wynajmu powierzchni biurowyych, hal produkcyjnych, świadczy usługi teleinformatyczne.</t>
  </si>
  <si>
    <t>Cel: Świadczenie usług w wielofunkcyjnym terenie aktywności gospodarczej w zakresie usług wynajmu powierzchni biurowej, laboratoryjno-produkcyjnej, usług informatycznych, doradczych, szkoleniowych</t>
  </si>
  <si>
    <t>Miejski Zarząd Dróg</t>
  </si>
  <si>
    <t>Administracja bezpieczeństwem ruchu drogowego</t>
  </si>
  <si>
    <t>Zapewnienie bezpieczeństwa ruchu drogowego</t>
  </si>
  <si>
    <t>Bieżące utrzymanie dróg</t>
  </si>
  <si>
    <t>Utrzymanie należytego stanu dróg i chodników na terenie Miasta</t>
  </si>
  <si>
    <t>Oczyszczanie miasta</t>
  </si>
  <si>
    <t>Letnie i zimowe utrzymanie czystości infrastruktury drogowej</t>
  </si>
  <si>
    <t>Oczyszczanie wód deszczowych</t>
  </si>
  <si>
    <t>Utrzymanie parametrów czystości odprowadzanych wód opadowych</t>
  </si>
  <si>
    <t>5.</t>
  </si>
  <si>
    <t>Oświetlenie uliczne</t>
  </si>
  <si>
    <t>Oświetlenie ulic na terenie Miasta</t>
  </si>
  <si>
    <t>6.</t>
  </si>
  <si>
    <t>Trwałość projektów realizowanych w udziałem środków UE (analiza osiągnięcia wskaźnika realizacji celów projektów)</t>
  </si>
  <si>
    <t>Monitoring pomiaru i utrzymanie głównych wartości wskaźników w projektach UE</t>
  </si>
  <si>
    <t>7.</t>
  </si>
  <si>
    <t>Utrzymanie zieleni miejskiej</t>
  </si>
  <si>
    <t>Zapewnienie wyglądu i estetyki Miasta</t>
  </si>
  <si>
    <t>WYDZIAŁ EDUKACJI, KULTURY I SPORTU</t>
  </si>
  <si>
    <t>Dotowanie Miejskiego Ośrodka  Sportu i Rekreacji w Kielcach</t>
  </si>
  <si>
    <t>926             92604</t>
  </si>
  <si>
    <t>Środki wykorzystano m.in. na przebudowę central wentylacyjnych na Stadionie Piłkarskim przy ul. Ściegiennego, przebudowa kanalizacji sanitarnej hotelu i hali sportowej przy ul. Ściegiennego.. Zorganizowano wiele imprez  i zajęć sportowo-rekreacyjnych i turystycznych dla dzieci i młodzieży, w tym: gry i zabawy na śniegu, narciarskie zawody zjazdowe w ramach akcji zima w mieście,  jesienną edycję Czwarków Lekkoatletycznych, Rodzinną Majówkę Rowerową, turniej halowej piłki noznej i wiele innych.</t>
  </si>
  <si>
    <t>Upowszechnianie kultury fizycznej i turystyki poprzez organizowanie imprez i zajęć sportowo - rekreacyjnych i turystycznych oraz administrowanie obiektami sportowymi</t>
  </si>
  <si>
    <t>Dotowanie samorządowych instytucji kultury</t>
  </si>
  <si>
    <t>Środki przeznaczone na realizację zadania "Dotowanie samorzadowych instytucji kultury" zostały wydatkowane na pokrycie wydatków bieżących instytucji.</t>
  </si>
  <si>
    <t>Zapewnienie mieszkańcom miasta powszechnego dostępu do zróżnicowanej oferty kulturalnej</t>
  </si>
  <si>
    <t>921      92106</t>
  </si>
  <si>
    <t>921   92109</t>
  </si>
  <si>
    <t>921   92110</t>
  </si>
  <si>
    <t>921   92113</t>
  </si>
  <si>
    <t>921   92114</t>
  </si>
  <si>
    <t>921   92116</t>
  </si>
  <si>
    <t>921   92118</t>
  </si>
  <si>
    <t>Środki przeznaczone na realizację zadania "Dotowanie szkół i placówek oświatowych publicznych i niepublicznych prowadzonych przez inne podmioty niż j.s.t (Zadania Powiatu) zostały wydatkowane  na pokrycie wydatków bieżacych w szkołach publicznych i niepublicznych oraz w ośrodkach prowadzonych przez inne podmioty niż jst.</t>
  </si>
  <si>
    <t>Dotowanie szkół i placówek oświatowych publicznych 
i niepublicznych prowadzonych przez inne podmioty 
niż j.s.t (Zadania Powiatu)</t>
  </si>
  <si>
    <t>Zapewnienie finansowania poszerzonej oferty oświatowo - wychowawczej uzupełniającej ofertę publiczną samorzadową.</t>
  </si>
  <si>
    <t>801   80120</t>
  </si>
  <si>
    <t>801   80123</t>
  </si>
  <si>
    <t>801   80130</t>
  </si>
  <si>
    <t>854  85402</t>
  </si>
  <si>
    <t>854   85419</t>
  </si>
  <si>
    <t>Środki przeznaczone na realizację zadania "Dotowanie szkół i placówek oświatowych publicznych i niepublicznych prowadzonych przez inne podmioty niż j.s.t (Zadania Gminy) zostały wydatkowane  na pokrycie wydatków bieżacych w szkołach publicznych i niepublicznych oraz w ośrodkach prowadzonych przez inne podmioty niż jst.</t>
  </si>
  <si>
    <t>Dotowanie szkół i placówek oświatowych publicznych 
i niepublicznych prowadzonych przez inne podmioty 
niż j.s.t (Zadania Gminy)</t>
  </si>
  <si>
    <t>801   80101</t>
  </si>
  <si>
    <t>801   80103</t>
  </si>
  <si>
    <t>801   80104</t>
  </si>
  <si>
    <t>801   80105</t>
  </si>
  <si>
    <t>801   80106</t>
  </si>
  <si>
    <t>801   80110</t>
  </si>
  <si>
    <t>Organizacja i współorganizowanie transportu osób niepełnosprawnych</t>
  </si>
  <si>
    <t>851   85195</t>
  </si>
  <si>
    <t>Środki przeznaczone na usługi transportowe oraz ubezpieczenie samochodów przystosowanych do przewozu osób niepełnosprawnych z terenu Miasta Kielce, który wykonywany jest przez Świętokrzyskie Centrum Ratownictwa Medycznego i Transportu Sanitarnego w Kielcach, zgodnie z zawartym w tym zakresie porozumieniem</t>
  </si>
  <si>
    <t>Ułatwienie osobom niepełnosprawnym dostępu do instytucji publicznych</t>
  </si>
  <si>
    <t>Profilaktyka i Promocja zdrowia</t>
  </si>
  <si>
    <t>851   85149</t>
  </si>
  <si>
    <t>Środki przeznaczone na realizację programów profilaktyki zdrowotnej</t>
  </si>
  <si>
    <t>Poprawa zdrowia mieszkańców miasta</t>
  </si>
  <si>
    <t>Trwałość projektu - Wzgórze Zamkowe</t>
  </si>
  <si>
    <t>2011-2016</t>
  </si>
  <si>
    <t>921    92195</t>
  </si>
  <si>
    <t>Promocja współczesnego designu oraz prowadzenie i inspirowanie działalności o charakterze edukacyjnym z zakresu dziejów Kielc</t>
  </si>
  <si>
    <t>851       85195</t>
  </si>
  <si>
    <t>2013-2017</t>
  </si>
  <si>
    <t>Spłata zonbowiązań z tyt. poręczenia kredytu dla ZOZ w Kielcach - NORDEA Bank Polska S.A. (kapitał + odsetki)</t>
  </si>
  <si>
    <t xml:space="preserve">Pokrycie przejętych przez Miasto Kielce zobowiązania po zlikwidowanym samodzielnym publicznym zakładzie opieki zdrowotnej </t>
  </si>
  <si>
    <t>"Gminowo"</t>
  </si>
  <si>
    <t>Projekt mający na celu zapoznanie z działaniem Gmin</t>
  </si>
  <si>
    <t>801    80120</t>
  </si>
  <si>
    <t>ZARZĄD TRANSPORTU MIEJSKIEGO W KIELCACH</t>
  </si>
  <si>
    <t xml:space="preserve">Trwałość projektu pn. "Rozwój systemu komunikacji publicznej  w Kieleckim Obszarze Metropolitalnym - zakup 40 szt. autobusów komunikacji miejskiej wraz z mobilnymi automatami do sprzedaży biletów komunikacji miejskiej"
</t>
  </si>
  <si>
    <t>600    60004</t>
  </si>
  <si>
    <t>Utrzymanie  autobusów komunikacji miejskiej wraz z mobilnymi autobusami do sprzedaży biletów</t>
  </si>
  <si>
    <t xml:space="preserve">Trwałość projektu pn. "Rozwój systemu komunikacji publicznej  w Kieleckim Obszarze Metropolitalnym - zakup i montaż elektronicznych tablic informacyjnych i stacjonarnych automatów do sprzedaży biletów"
</t>
  </si>
  <si>
    <t>2012-2016</t>
  </si>
  <si>
    <t>600      60004</t>
  </si>
  <si>
    <t>Utrzymanie elektronicznych tablic informacyjnych oraz automatów do sprzedaży biletów komunikacji miejskiej</t>
  </si>
  <si>
    <t xml:space="preserve">Zakup usług przewozu pasazerów srodkami komunikacji miejskiej
</t>
  </si>
  <si>
    <t xml:space="preserve">Dotyczy zakupu usług od przewoźnika za wykonywane wozokilometry na terenie Miasta i Gmin ościennych </t>
  </si>
  <si>
    <t>Zapewnienie dobrej jakosci komunikacji</t>
  </si>
  <si>
    <t>miejskiej</t>
  </si>
  <si>
    <t>KIELECKI PARK TECHNOLOGICZNY</t>
  </si>
  <si>
    <t>WYDZIAŁ BUDŻETU</t>
  </si>
  <si>
    <t>Środki przeznaczone na realizację zadania "Trwałość projektu Wzórze Zamkowe" (Zadania Gminy) zostały wydatkowane  na pokrycie wydatków bieżących jednostki.</t>
  </si>
  <si>
    <t>Wydatki dotyczą podatku od środkiów transportowych</t>
  </si>
  <si>
    <t>Dotyczy zakupu energii elektrycznej</t>
  </si>
  <si>
    <t xml:space="preserve">W roku 2013 nie będzie realizowana żadna analiza trwałości projektu w ramach zakończonych projektów współfinansowanych ze środków UE. </t>
  </si>
  <si>
    <t>8.</t>
  </si>
  <si>
    <t>9.</t>
  </si>
  <si>
    <t>10.</t>
  </si>
  <si>
    <t>11.</t>
  </si>
  <si>
    <t>12.</t>
  </si>
  <si>
    <t>Utrzymanie trwałosci projektu pn "Budowa Centrum Geoedukacji"</t>
  </si>
  <si>
    <t xml:space="preserve"> Propagowanie edukacji i turystyki gologicznej regionu</t>
  </si>
  <si>
    <t xml:space="preserve">Realizacja wydatków rozpocznie się w 2014r. </t>
  </si>
  <si>
    <t>Realizacja wydatków rozpocznie się w 2014r.</t>
  </si>
  <si>
    <t>Spłata zobowiązań przejętych po zlikwidowanym samodzielnym zakładzie opieki zdrowotnej</t>
  </si>
  <si>
    <r>
      <rPr>
        <b/>
        <sz val="8"/>
        <rFont val="Arial"/>
        <family val="2"/>
      </rPr>
      <t xml:space="preserve">W ramach Przedsięwzięcia realizuje się: </t>
    </r>
    <r>
      <rPr>
        <sz val="8"/>
        <rFont val="Arial"/>
        <family val="2"/>
      </rPr>
      <t xml:space="preserve">                                               utrzymanie i konserwację zieleni mieskiej: w tym: kwietniki, gazony, zielone ciągi komunikacyjne w pasie drogowym </t>
    </r>
  </si>
  <si>
    <r>
      <rPr>
        <b/>
        <sz val="8"/>
        <rFont val="Arial"/>
        <family val="2"/>
      </rPr>
      <t xml:space="preserve">W ramach Przedsięwzięcia realizuje się: </t>
    </r>
    <r>
      <rPr>
        <sz val="8"/>
        <rFont val="Arial"/>
        <family val="2"/>
      </rPr>
      <t xml:space="preserve">                                                                                      - zakup energii elektrycznej do oświetlenia ulicznego na terenie Miasta  Kielce,                                                                                   - zakup onowych opraw i słupów oświetleniowych </t>
    </r>
  </si>
  <si>
    <r>
      <rPr>
        <b/>
        <sz val="8"/>
        <rFont val="Arial"/>
        <family val="2"/>
      </rPr>
      <t xml:space="preserve">W ramach Przedsięwzięcia realizuje się:   </t>
    </r>
    <r>
      <rPr>
        <sz val="8"/>
        <rFont val="Arial"/>
        <family val="2"/>
      </rPr>
      <t xml:space="preserve">                                                            - konserwacja kanalizacji deszczowej,                                          - konserwacja podczyszczalni wód deszczowych,                                                   - konserwacja rowów komunalnych,                                             - badania labolatoryne ścieków,                                                                                  - opłaty na rzecz budżetów jednostek samorządu terytorialnego</t>
    </r>
  </si>
  <si>
    <r>
      <rPr>
        <b/>
        <sz val="8"/>
        <rFont val="Arial"/>
        <family val="2"/>
      </rPr>
      <t>W ramach Przedsięwzięcia realizuje się:</t>
    </r>
    <r>
      <rPr>
        <sz val="8"/>
        <rFont val="Arial"/>
        <family val="2"/>
      </rPr>
      <t xml:space="preserve">                                                                - letnie utrzymanie dróg i chodników,                                                                             - zimowe utrzymanie dróg i chodników,                                                             - opróżnianie koszy,                                                                                      - zakup nowych koszy,                                                                                      </t>
    </r>
  </si>
  <si>
    <r>
      <rPr>
        <b/>
        <sz val="8"/>
        <rFont val="Arial"/>
        <family val="2"/>
      </rPr>
      <t xml:space="preserve">W ramach Przedsięwzięcia realizuje się:  </t>
    </r>
    <r>
      <rPr>
        <sz val="8"/>
        <rFont val="Arial"/>
        <family val="2"/>
      </rPr>
      <t xml:space="preserve">                                                               - remonty bitumiczne dróg,                                                                           - remonty niebitumiczne dróg,                                                                    - remonty przystanków,                                                                                -  monitorowanie  mostów i wiaduktów,                                        - remonty chodników i ścieżek rowerowych</t>
    </r>
  </si>
  <si>
    <r>
      <rPr>
        <b/>
        <sz val="8"/>
        <rFont val="Arial"/>
        <family val="2"/>
      </rPr>
      <t xml:space="preserve">W ramach Przedsięwzięcia realizuje się:  </t>
    </r>
    <r>
      <rPr>
        <sz val="8"/>
        <rFont val="Arial"/>
        <family val="2"/>
      </rPr>
      <t xml:space="preserve">                                                          - zakup energii do sygnalizacji świetlnych na terenie Miasta Kielce,                                                                                             - wykonuje się oznakowanie pionowe i poziome dróg,                       </t>
    </r>
  </si>
  <si>
    <t>Przedsięwzięcie obejmuje: kamapnię informacyjną dotyczącą nowego systemu, wykonanie opracowań niezbędnych do wdrażania nowego systemu, rozbudowę , funkcjonowanie    i serwisowanie systemów informatycznych oraz koszty administracyjne.</t>
  </si>
  <si>
    <t>Przedsięwzięcie obejmuje: dostawę wody i energii oraz odbiór ścieków do 10 szt. szaletów miejskich, dostawę energii do  5 szt. skrzynek energetycznych wykorzystywanych w czasie imprez (np. Święto Kielc) oraz dostawę wody   do ok. 85 szt. zdroi ulicznych wraz z pitnikami i fonatnny na Placu Artystów. Wykorzystanie środków finansowych jest uzależnione od rzeczywistego zużycia wody i energii w danym okresie (wskazanie liczników).</t>
  </si>
  <si>
    <t xml:space="preserve">Projekt mający na celu zapoznanie młodzieży z prowadzeniem  samorządów gminnych, wyborów samorządowych </t>
  </si>
  <si>
    <t>II.</t>
  </si>
  <si>
    <t>Ogółem przedsięwzięcia majątkowe:</t>
  </si>
  <si>
    <t>- kredyty, pożyczki i obligacje</t>
  </si>
  <si>
    <t>Zakład Obsługi i Informatyki Urzędu Miasta</t>
  </si>
  <si>
    <t xml:space="preserve">Dostosowanie budynku Urzędu Miasta przy ul. Rynek 1 do </t>
  </si>
  <si>
    <t>2010  2014</t>
  </si>
  <si>
    <t>Zaplanowane dalsze etapy wykonania zabudowy przeciwpożarowej w budynku Urzędu Miasta przy Rynek 1 przeniesiono do realizacji na 2014r.</t>
  </si>
  <si>
    <t>obowiązujących wymagań w zakresie ochrony przeciwpożarowej</t>
  </si>
  <si>
    <t>Zapewnienie bezpieczeństwa przeciwpożarowego w budynku</t>
  </si>
  <si>
    <t xml:space="preserve">Montaż klimatyzatorów w pomieszczeniach biurowych </t>
  </si>
  <si>
    <t>2011  2013</t>
  </si>
  <si>
    <t>Realizacja zadania nastąpi w II półroczu 2013r.</t>
  </si>
  <si>
    <t xml:space="preserve">w budynkach Urzędu Miasta </t>
  </si>
  <si>
    <t xml:space="preserve">Zapewnienie warunków technicznych (wentylacji mechanicznej </t>
  </si>
  <si>
    <t xml:space="preserve">nawiewno-wywiewnej), wynikających z przepisów prawa (rozp. </t>
  </si>
  <si>
    <t>Min. Infrastruktury z dnia 12 kwietnia 2002r.).</t>
  </si>
  <si>
    <t xml:space="preserve">Przebudowa, rozbudowa siedziby Urzędu Miasta Kielce przy </t>
  </si>
  <si>
    <t>2008  2015</t>
  </si>
  <si>
    <t>Realizacja zadania przesunięta na lata  2014  - 2015.</t>
  </si>
  <si>
    <t>ul. Rynek 1</t>
  </si>
  <si>
    <t>Zwiększenie powierzchni użytkowej (poprawa funkcjonalności budynku</t>
  </si>
  <si>
    <t>Urzędu Miasta)</t>
  </si>
  <si>
    <t>Wyd. maj. - trwałość projektu "e-Świętokszyskie - budowa sieci</t>
  </si>
  <si>
    <t>2014  2018</t>
  </si>
  <si>
    <t>Realizacja wydatków rozpocznie się w 2018r.</t>
  </si>
  <si>
    <t>światłowodowych wraz z urządzeniami na terenie Miasta Kielce"</t>
  </si>
  <si>
    <t>Utrzymanie trwałości Projektu pn. "e-Świętokszyskie - budowa sieci</t>
  </si>
  <si>
    <t xml:space="preserve">Geopark Kielce - otwarcie obszarów poprzemysłowych pod potrzeby </t>
  </si>
  <si>
    <t>2007   2013</t>
  </si>
  <si>
    <t>710  71095</t>
  </si>
  <si>
    <t>Wykonano i zamontowano tablice informacyjne na terenie Rezerwatu Wietrznia.</t>
  </si>
  <si>
    <t>turystyki, edukacji i wypoczynku. Modernizacja i budowa urządzeń</t>
  </si>
  <si>
    <t xml:space="preserve">techniczno-budowlanych w Parku Kadzielnia, Rezerwacie Ślichowice, </t>
  </si>
  <si>
    <t>Rezerwacie Wietrznia</t>
  </si>
  <si>
    <t>Edukacyjno-turystyczny i rekreacyjny</t>
  </si>
  <si>
    <t>Geopark Kielce - Ogród botaniczny</t>
  </si>
  <si>
    <t>2005   2014</t>
  </si>
  <si>
    <t>Wykonano fragment ścieżek i schodów, trwa przygotowanie terenu pod kolekcję roślin chronionych pod wykonanie ciągów komunikacyjnych, pod budowę odcinków instalacji wodnej, wykonano dokumentację przebudowy budynku przy ulicy Jagiellońskiej.   Przygotowano teren pod kolekcję roślin chronionych i działu Biologii i Ekologii roślin.</t>
  </si>
  <si>
    <t>Edukacyjno-rekreacyjny</t>
  </si>
  <si>
    <t>710      71095</t>
  </si>
  <si>
    <t>900  90019</t>
  </si>
  <si>
    <t>Geopark Kielce - udostępnienie jaskiń</t>
  </si>
  <si>
    <t>2004   2013</t>
  </si>
  <si>
    <t>Przygotowano postępowanie przetargowe na zaprojektowanie i wykonanie instalacji przestrzennej w podziemnej trasie turystycznej</t>
  </si>
  <si>
    <t>Promowanie obiektów geologicznych Miasta</t>
  </si>
  <si>
    <t>Geopark Kielce - Opracowanie projektu drogi dojazdowej do Centrum Geoedukacji</t>
  </si>
  <si>
    <t>2011   2013</t>
  </si>
  <si>
    <t>Zakończono procedurę związaną z dokumentacją projektową dojazdu do Centrum Geoedukacji.</t>
  </si>
  <si>
    <t>Geoedukacji</t>
  </si>
  <si>
    <t xml:space="preserve">Wykonanie drogi dojazdowej do nowopowstałego Centrum </t>
  </si>
  <si>
    <t>Miejski Ośrodek Pomocy Rodzinie</t>
  </si>
  <si>
    <t>Budowa Kieleckiego Centrum Niepełnosprawnych ul. Bodzentyńska</t>
  </si>
  <si>
    <t>853  85311</t>
  </si>
  <si>
    <t>Realizacja zadania w latach 2014-2015.</t>
  </si>
  <si>
    <t xml:space="preserve">Utworzenie miejsca rehabilitacji, integracji i pracy dla osób </t>
  </si>
  <si>
    <t>niepełnosprawnych</t>
  </si>
  <si>
    <t xml:space="preserve">Docieplenie i elewacja budynku DPS im. Jana Pawła II </t>
  </si>
  <si>
    <t>2011  2014</t>
  </si>
  <si>
    <t>852  85202</t>
  </si>
  <si>
    <t xml:space="preserve">Realizacja zadania zostanie zakończona w 2014 roku. </t>
  </si>
  <si>
    <t>ul. Jagiellońska 76</t>
  </si>
  <si>
    <t>Termomodernizacja obiektu, oszczędności w zużyciu energii cieplnej</t>
  </si>
  <si>
    <t>Przebudowa(adaptacja) budynku przy ul. Nowowiejskiej 14 w Kielcach</t>
  </si>
  <si>
    <t>2012   2013</t>
  </si>
  <si>
    <t>852  85220</t>
  </si>
  <si>
    <t>Przeszacowano kosztorys, podpisano umowę na dofinansowanie ze Szwajcarsko-Polskiego Programu Współpracy, dokonano rozbiórki budynku gospodarczego.</t>
  </si>
  <si>
    <t>z przeznaczeniem na utworzenie lokali aktywizacyjnych (mieszkania</t>
  </si>
  <si>
    <t>chronione) dla osób niepełnosprawnych</t>
  </si>
  <si>
    <t>Aktywizacja osób starszych i niepełnosprawnych</t>
  </si>
  <si>
    <t>Przebudowa i rozbudowa części budynku Domu Pomocy Społecznej</t>
  </si>
  <si>
    <t>Przeszacowano kosztorys, podpisano umowę na dofinansowanie ze Szwajcarsko-Polskiego Programu Współpracy.</t>
  </si>
  <si>
    <t>im. Jana Pawła II przy ul. Jagiellońskiej 76 w Kielcach z przeznaczeniem</t>
  </si>
  <si>
    <t>na utworzenie lokali aktywizacyjnych (mieszkania chronione) dla osób</t>
  </si>
  <si>
    <t>starszych i niepełnosprawnych</t>
  </si>
  <si>
    <t>13.</t>
  </si>
  <si>
    <t xml:space="preserve">Budowa bus-pasa w ciągu ulic Tarnowska - Źródłowa - </t>
  </si>
  <si>
    <t>600          60015</t>
  </si>
  <si>
    <t>Przewidywany termin uzyskania pozwolenia na budowę - początek lipca 2013 r. Realizacja zadania w 2014 r.</t>
  </si>
  <si>
    <t xml:space="preserve"> Al. Solidarności (na odcinku od ul. Bohaterów Warszawy </t>
  </si>
  <si>
    <t xml:space="preserve"> Al. Tysiąclecia PP)</t>
  </si>
  <si>
    <t>Rozwój systemów komunikacji</t>
  </si>
  <si>
    <t>14.</t>
  </si>
  <si>
    <t xml:space="preserve">Budowa drogi wewnętrznej z włączeniem do ul. Popiełuszki, </t>
  </si>
  <si>
    <t>Przetarg na realizację robót - sierpień br. po zakończeniu inwetycji przez WFOŚ. Wycinka drzew zakończona.</t>
  </si>
  <si>
    <t xml:space="preserve">na potrzeby obsługi komunikacyjnej Starostwa Powiatowego </t>
  </si>
  <si>
    <t>w Kielcach</t>
  </si>
  <si>
    <t>Poprawa i rozbudowa infrastruktury drogowej</t>
  </si>
  <si>
    <t>15.</t>
  </si>
  <si>
    <t xml:space="preserve">Budowa pętli autobusowej i parkingu przesiadkowego w rejonie </t>
  </si>
  <si>
    <t>2012  2018</t>
  </si>
  <si>
    <t>Dokumentacja w trakcie opracowania.</t>
  </si>
  <si>
    <t xml:space="preserve">ul. Tarnowskiej wraz  z budową nowego połączenia ul. Tarnowskiej </t>
  </si>
  <si>
    <t>z Rondem "Czwartaków", bus-pasów i ścieżki rowerowej</t>
  </si>
  <si>
    <t>16.</t>
  </si>
  <si>
    <t xml:space="preserve">Budowa pętli autobusowej na Bukówce wraz z parkingiem </t>
  </si>
  <si>
    <t>2012  2014</t>
  </si>
  <si>
    <t>Dokumentacja w trakcie odbioru.</t>
  </si>
  <si>
    <t xml:space="preserve">przesiadkowym i infrastrukturą towarzyszącą oraz budowa pętli </t>
  </si>
  <si>
    <t>manewrowej dla autobusów komunikacji miejskiej przy ul. Sikorskiego</t>
  </si>
  <si>
    <t>17.</t>
  </si>
  <si>
    <t xml:space="preserve">Budowa sygnalizacji świetlnej wraz z częściową przebudową </t>
  </si>
  <si>
    <t>2012  2013</t>
  </si>
  <si>
    <t>600  60015</t>
  </si>
  <si>
    <t>Inwestycja zakończona.</t>
  </si>
  <si>
    <t>ul. Chorzowskiej w rejonie skrzyżowania z ul. Krakowską w Kielcach</t>
  </si>
  <si>
    <t>18.</t>
  </si>
  <si>
    <t xml:space="preserve">Przebudowa i rozbudowa ulicy 1-go Maja na odcinku od skrzyżowania </t>
  </si>
  <si>
    <t>2009   2013</t>
  </si>
  <si>
    <t>Inwestycja w trakcie realizacji. Termin zakończenia koniec sierpnia 2013 r.</t>
  </si>
  <si>
    <t>z ul. Skrajną  do ul. Łódzkiej</t>
  </si>
  <si>
    <t>19.</t>
  </si>
  <si>
    <t xml:space="preserve">Rozbudowa i przebudowa ul. Piekoszowskiej na odcinku od ul. </t>
  </si>
  <si>
    <t>2007   2014</t>
  </si>
  <si>
    <t>Dokumentacja odebrana. Planowane wystąpienie o ZRID.</t>
  </si>
  <si>
    <t>Grunwaldzkiej do granic miasta (droga wojewódzka nr 786)</t>
  </si>
  <si>
    <t xml:space="preserve"> w Kielcach - dokumentacja projektowa i odszkodowania</t>
  </si>
  <si>
    <t>20.</t>
  </si>
  <si>
    <t>Rozbudowa ul. Łopuszniańskiej</t>
  </si>
  <si>
    <t>2009  2017</t>
  </si>
  <si>
    <t>Dokumentacja zakończona.</t>
  </si>
  <si>
    <t>21.</t>
  </si>
  <si>
    <t xml:space="preserve">Przebudowa ul. Górników Staszicowskich wraz z budową kanalizacji </t>
  </si>
  <si>
    <t>2010  2015</t>
  </si>
  <si>
    <t xml:space="preserve">deszczowej, chodników i ścieżki rowerowej - dokumentacja, </t>
  </si>
  <si>
    <t>wykupy gruntów oraz OWD</t>
  </si>
  <si>
    <t>22.</t>
  </si>
  <si>
    <t xml:space="preserve">Włączenie drogi rozprowadzającej zlokalizowanej w pasie drogowym </t>
  </si>
  <si>
    <t>2013  2014</t>
  </si>
  <si>
    <t>Trwa procedura przetargowa na opracowanie dokumentacj projektowej.</t>
  </si>
  <si>
    <t>drogi krajowej Nr 74 do al. Solidarności w Kielcach</t>
  </si>
  <si>
    <t>23.</t>
  </si>
  <si>
    <t>Budowa ul. Daleszyckiej w Kielcach</t>
  </si>
  <si>
    <t>600  60016</t>
  </si>
  <si>
    <t>Inwestycja w tracie realizacji. Zakończenie lipiec 2013 r.</t>
  </si>
  <si>
    <t>Poprawa infrastruktury drogowej</t>
  </si>
  <si>
    <t>24.</t>
  </si>
  <si>
    <t>Budowa ul. Wydryńskiej w Kielcach</t>
  </si>
  <si>
    <t>2009  2016</t>
  </si>
  <si>
    <t>Dokumentacja gotowa. Jest ZRID. Trwa procedura odszkodowawcza.</t>
  </si>
  <si>
    <t>25.</t>
  </si>
  <si>
    <t>Kładka dla pieszych w ciągu ul. Karczówkowskiej</t>
  </si>
  <si>
    <t>Przetarg na realizację robót - roztrzygnięty. Prace mają się zacząć jeszcze w czerwcu. Kładka zamknięta będzie dla pieszych. Dobudowana będzie pochylnia dla pieszych. Planowany termin realizacji do 30 XI br.</t>
  </si>
  <si>
    <t>Poprawa  infrastruktury drogowej</t>
  </si>
  <si>
    <t>26.</t>
  </si>
  <si>
    <t xml:space="preserve">Przebudowa i rozbudowa ul. Żółkiewskiego w Kielcach na odcinku </t>
  </si>
  <si>
    <t>Uzyskano ZRID /2 etap/.</t>
  </si>
  <si>
    <t>od ul. Janczarskiej do ul. Pancernej</t>
  </si>
  <si>
    <t>27.</t>
  </si>
  <si>
    <t xml:space="preserve">Rozbudowa Al. Tysiąclecia Państwa Polskiego i ulicy Radiowej </t>
  </si>
  <si>
    <t>2010  2013</t>
  </si>
  <si>
    <t>Inwestycja w trakcie realizacji. Termin zakończenia koniec lipca 2013 r.</t>
  </si>
  <si>
    <t>28.</t>
  </si>
  <si>
    <t>Rozbudowa i przebudowa układu komunikacyjnego obejmującego</t>
  </si>
  <si>
    <t xml:space="preserve"> Po kolejnym  przetargu wykonawca (jedyna oferta) zrezygnował z podpisania umowy twierdząc, że źle skalkulował roboty.  Tymczasowo odłożono prace - nawierzchnia do obserawcji.</t>
  </si>
  <si>
    <t xml:space="preserve"> skrzyżowanie ul. Warszawskiej z ul. Polną oraz ulice: Polną, Radiową</t>
  </si>
  <si>
    <t xml:space="preserve"> i Niską w Kielcach</t>
  </si>
  <si>
    <t>29.</t>
  </si>
  <si>
    <t xml:space="preserve">Rozbudowa ulicy łączącej ul. Piłsudskiego z ul. Sikorskiego </t>
  </si>
  <si>
    <t>2006  2013</t>
  </si>
  <si>
    <t>Inwestycja zakończona i rozliczona. Dodatkowo w ramach zadania zostanie zrealizowane oświetlenie uliczne.</t>
  </si>
  <si>
    <t>(obecnie ul. Orląt Lwowskich) w Kielcach</t>
  </si>
  <si>
    <t>30.</t>
  </si>
  <si>
    <t>Ul. Jagiellońska, Podklasztorna, Bernardyńska, Karczówkowska</t>
  </si>
  <si>
    <t>2008   2016</t>
  </si>
  <si>
    <t>Przygotowywane wystąpienie o ZRID.</t>
  </si>
  <si>
    <t xml:space="preserve"> w Kielcach - przebudowa i budowa zewnętrznego układu </t>
  </si>
  <si>
    <t>komunikacyjnego  Ogrodu Botanicznego w Kielcach</t>
  </si>
  <si>
    <t>31.</t>
  </si>
  <si>
    <t xml:space="preserve">Wiadukt nad trenami PKP w ciągu ul. 1-Maja w Kielcach </t>
  </si>
  <si>
    <t>2009  2013</t>
  </si>
  <si>
    <t>32.</t>
  </si>
  <si>
    <t xml:space="preserve">Lokalne Inicjatywy Inwestycyjne pn.:"Budowa kanału deszczowego </t>
  </si>
  <si>
    <t>900  90001</t>
  </si>
  <si>
    <t>w ul. Prostej i ul. Wojska Polskiego w Kielcach"</t>
  </si>
  <si>
    <t>33.</t>
  </si>
  <si>
    <t xml:space="preserve">Przebudowa, rozbudowa i budowa ulic w osiedlu Ostra Górka </t>
  </si>
  <si>
    <t>2007   2015</t>
  </si>
  <si>
    <t>Trwa realizacja inwestycji w zakresie budowy OWD. 26.06. rozstrzygnięto przetarg na realizację kanału desczowego w ul. Domki i Łopianowa. Planowany termin zakończenia prac grudzień 2013 r.</t>
  </si>
  <si>
    <t xml:space="preserve">w Kielcach (ulice: Domki, Łopianowa, Monte Casino, Studziamkowska, </t>
  </si>
  <si>
    <t xml:space="preserve">Narwicka, Torbucka, Helska i Oksywska) wraz z budową </t>
  </si>
  <si>
    <t xml:space="preserve">i przebudową infrastruktury technicznej i budową oczyszczalni wód </t>
  </si>
  <si>
    <t>deszczowych</t>
  </si>
  <si>
    <t xml:space="preserve">Cel: </t>
  </si>
  <si>
    <t>900      90001</t>
  </si>
  <si>
    <t>Wydział Gospodarki Nieruchomościami  i Geodezji</t>
  </si>
  <si>
    <t>34.</t>
  </si>
  <si>
    <t>Regionalny Port Lotniczy Kielce - pozyskiwanie gruntów</t>
  </si>
  <si>
    <t>2006  2014</t>
  </si>
  <si>
    <t>600     60095</t>
  </si>
  <si>
    <t>Do 30 czerwca br. wykupiono 577,5204 ha nieruchomości na potrzeby budowy lotniska.  Realizacja planu w II półroczu 2013 roku. Do wywłaszczenia jest ok. 50 ha gruntów.</t>
  </si>
  <si>
    <t xml:space="preserve">Rozwój gospodarczy i społeczny oraz poprawa konkurencyjności </t>
  </si>
  <si>
    <t>Regionu Świętokrzyskiego  w zakresie intensyfikacji rozwoju</t>
  </si>
  <si>
    <t>infrastruktury lotniczej</t>
  </si>
  <si>
    <t>35.</t>
  </si>
  <si>
    <t>Wykupy gruntów pod drogi - Dąbrowa II</t>
  </si>
  <si>
    <t>700     70005</t>
  </si>
  <si>
    <t>Powierzchnia, za którą zostały wypłacone odszkodowania w okresie od  2011 roku do 30.06.2013 wynosi 7.7785 ha. Przewiduje się jeszcze  wypłatę odszkodowań za grunty o  pow. ok. 2,8 ha.</t>
  </si>
  <si>
    <t>Rozbudowa infrastruktury drogowej</t>
  </si>
  <si>
    <t>Wydział Inwestycji</t>
  </si>
  <si>
    <t>36.</t>
  </si>
  <si>
    <t xml:space="preserve">Bulwar spacerowy wzdłuż rzeki Silnicy na odcinku od ulicy </t>
  </si>
  <si>
    <t xml:space="preserve">Inwestycja na etepie wyboru wykonawcy i inspektora nadzoru. Termin złożenia ofert na wybór wykonawcy ustalono na 5 lipca br. </t>
  </si>
  <si>
    <t xml:space="preserve">Sienkiewicza do ulicy Solnej </t>
  </si>
  <si>
    <t>Poprawa estetyki i komunikacji na terenie Miasta Kielce</t>
  </si>
  <si>
    <t>600      60095</t>
  </si>
  <si>
    <t>37.</t>
  </si>
  <si>
    <t xml:space="preserve">Budowa budynków mieszkalnych "Zlota Jesień" przy ul. Kazimierza </t>
  </si>
  <si>
    <t>2011  2015</t>
  </si>
  <si>
    <t>700  70095</t>
  </si>
  <si>
    <t>Realizowany jest I etap inwestycji, którego przedmiotem jestwykonanie budynku wielorodzinnego z lokalem pracy administracyjnej. Termin rewlizacji 31.10.2013</t>
  </si>
  <si>
    <t>Wielkiego w Kielcach</t>
  </si>
  <si>
    <t>Zaspokojenie potrzeb mieszkaniowych mieszkańców Kielc</t>
  </si>
  <si>
    <t>38.</t>
  </si>
  <si>
    <t>Budowa szkoły podstawowej wraz z przedszkolem - Dąbrowa</t>
  </si>
  <si>
    <t>2008  2016</t>
  </si>
  <si>
    <t>801  80101</t>
  </si>
  <si>
    <t>Dokumentacja opracowana. Realizacja zadania zaplanowana na lata 2015-2016</t>
  </si>
  <si>
    <t>Polepszenie standardów dostarczenia usług oświatowo-wychowaw-</t>
  </si>
  <si>
    <t>czych w mieście</t>
  </si>
  <si>
    <t>39.</t>
  </si>
  <si>
    <t>Budynek mieszkalny wielorodzinny przy ul. Chrobrego w Kielcach</t>
  </si>
  <si>
    <t>Realizacja zadania przewidziana w latach późniejszych</t>
  </si>
  <si>
    <t>40.</t>
  </si>
  <si>
    <t xml:space="preserve">Termomodernizacja Gimnazjum Nr 7 im. S. Moniuszki w Kielcach przy </t>
  </si>
  <si>
    <t>801  80110</t>
  </si>
  <si>
    <t>Roboty w toku. Termin umowny 15.10.2013r</t>
  </si>
  <si>
    <t>ul. Krzyżanowskiej 8 w Kielcach</t>
  </si>
  <si>
    <t>Przedsięwzięcie związane z termomodernizacją obiektu oświatowego</t>
  </si>
  <si>
    <t>41.</t>
  </si>
  <si>
    <t xml:space="preserve">Termomodernizacja Zespołu szkół Ogolnokształcących Nr 15 </t>
  </si>
  <si>
    <t>Dokumentacja projektowo - kosztorysowa w trakcie odbioru</t>
  </si>
  <si>
    <t>w Kielcach ul. Krzemionkowa 1</t>
  </si>
  <si>
    <t>42.</t>
  </si>
  <si>
    <t xml:space="preserve">Termomodernizacja IV Liceum Ogolnokształcącego im. H. Sawickiej </t>
  </si>
  <si>
    <t>801  80120</t>
  </si>
  <si>
    <t>w Kielcach ul. Radiowa 1</t>
  </si>
  <si>
    <t>43.</t>
  </si>
  <si>
    <t xml:space="preserve">Adaptacja pomieszczeń w budynku Żłobka samorządowego Nr 15 </t>
  </si>
  <si>
    <t>853  85305</t>
  </si>
  <si>
    <t>Roboty w toku. Termin umowny 14.08.2013r</t>
  </si>
  <si>
    <t xml:space="preserve">z przeznaczeniem na utworzenie dodatkowych 25 miejsc, w tym dla dzieci </t>
  </si>
  <si>
    <t xml:space="preserve">dzieci niepełnosprawnych z dostosowaniem obiektu do </t>
  </si>
  <si>
    <t>obowiązujacych przepisów</t>
  </si>
  <si>
    <t>Podniesienie standardów w zakresie zapewnienia opieki dzieciom</t>
  </si>
  <si>
    <t>44.</t>
  </si>
  <si>
    <t>Budowa kanalizacji sanitarnej w ul. Lubicznej</t>
  </si>
  <si>
    <t>900  90095</t>
  </si>
  <si>
    <t>Planuje się przekazać dokumentacje do  realizacji zadania przez Wodociągi Kieleckie w ramach Kompleksowej Ochrony Wód Podziemnych Aglomeracji Kieleckiej w celu osiągnięcia efektu ekologicznego</t>
  </si>
  <si>
    <t xml:space="preserve">Dostosowanie posiadanych zasobów do zwiększających się potrzeb </t>
  </si>
  <si>
    <t>mieszkańców</t>
  </si>
  <si>
    <t>45.</t>
  </si>
  <si>
    <t>Budowa kanalizacji sanitarnej w ul. Łazy</t>
  </si>
  <si>
    <t xml:space="preserve">Planuje się przekazać dokumentacje do  realizacji zadania przez Wodociągi Kieleckie w ramach Kompleksowej Ochrony Wód Podziemnych Aglomeracji Kieleckiej w celu osiągnięcia efektu ekologicznego </t>
  </si>
  <si>
    <t>46.</t>
  </si>
  <si>
    <t>Budowa kanalizacji sanitarnej w ul. Ściegiennego</t>
  </si>
  <si>
    <t>Zadanie do realizacji przekazano do Międzygminnego Związku Wodociągów i Kanalizacji w Kielcach</t>
  </si>
  <si>
    <t>Trwają działania zmierząjące do pozyskania środków poza budżetowych. Przeprowadzono rozmowy ws. porozumienia z Marszałkiem Województwa Świętokrzyskiego, Świętokrzyskim Zarządem Melioracji i Urządzeń Wodnych w Kielcach warunkującego pozyskanie dofinansowania.</t>
  </si>
  <si>
    <t>47.</t>
  </si>
  <si>
    <t xml:space="preserve">Regulacja rzeki Silnicy z uwzgl. czynników ekologicznych </t>
  </si>
  <si>
    <t>2008  2014</t>
  </si>
  <si>
    <t>i zabezpieczenia przeciwpowodziowego - dokumentacja + realizacja</t>
  </si>
  <si>
    <t xml:space="preserve">Dostosawanie posiadanych zasobów do zwiększających się potrzeb </t>
  </si>
  <si>
    <t>48.</t>
  </si>
  <si>
    <t xml:space="preserve">Sieć wodociągowo-kanalizacyjna w os. Ostrogórka w Kielcach - </t>
  </si>
  <si>
    <t>Dokumentacja na wykonanie sieci wodociągowo - kanalizacyjnej o dł. ok 7 km w trakcie opracowania. Zgodnie z umową termin wykonania wrzesiń 2013r.</t>
  </si>
  <si>
    <t>dokumentacja + realizacja</t>
  </si>
  <si>
    <t>49.</t>
  </si>
  <si>
    <t>Kanalizacja sanitarna w ul. Aleksandrówka i ul. Dobromyśl wraz z przyłączeniem do istniejącego kanału sanitarnego</t>
  </si>
  <si>
    <t xml:space="preserve">Projektant przekazał dokumentacje, która jest obecnie na etapie weryfikacji. </t>
  </si>
  <si>
    <t xml:space="preserve">z przyłączeniem do istniejącego kanału </t>
  </si>
  <si>
    <t>50.</t>
  </si>
  <si>
    <t xml:space="preserve">Kanalizacja sanitarna w ul. Cedro Mazur - przepompownie wraz </t>
  </si>
  <si>
    <t>2009  2015</t>
  </si>
  <si>
    <t>Prace projektowe w toku. Termin umowy upłynął 15.03.2012</t>
  </si>
  <si>
    <t>z kanałem tłocznym</t>
  </si>
  <si>
    <t>51.</t>
  </si>
  <si>
    <t>Przebudowa Skweru Żeromskiego w Kielcach</t>
  </si>
  <si>
    <t>Trwa procedura wyboru wykonawcy projektu</t>
  </si>
  <si>
    <t>Poprawa estetyki i komunikacji pieszej w Mieście</t>
  </si>
  <si>
    <t>52.</t>
  </si>
  <si>
    <t>Zespół budynków mieszkalnych  przy ul. Lecha w Kielcach</t>
  </si>
  <si>
    <t>2011  2016</t>
  </si>
  <si>
    <t xml:space="preserve">Uzyskano pozwolenie na budowę. Realizacja zadania zaplanowana na lata 2015-2016 </t>
  </si>
  <si>
    <t>53.</t>
  </si>
  <si>
    <t>Zespół budynków mieszkalnych  przy ul. Piekoszowskiej w Kielcach</t>
  </si>
  <si>
    <t xml:space="preserve">Dokumentacja została opracowana. Realizacja zadania zaplanowana na lata 2015-2016 </t>
  </si>
  <si>
    <t>54.</t>
  </si>
  <si>
    <t xml:space="preserve">Zespół budynków mieszkalnych segmentowych przy ul. Hutniczej </t>
  </si>
  <si>
    <t>2011  2017</t>
  </si>
  <si>
    <t>Inwestycja na etapie przygotowania materiałów przetargowych</t>
  </si>
  <si>
    <t>55.</t>
  </si>
  <si>
    <t>Projekt budowlany rozbudowy Cmentarza Komunalnego w Cedzynie -</t>
  </si>
  <si>
    <t>2013  2016</t>
  </si>
  <si>
    <t>Przedsięwzięcie obejmuje wykonanie rozbudowy cmentarza komunalnego o drogę dojazdową, przejścia między nową a starą częścią cmentarza, tymczasowe alejki i ogrodzenie.</t>
  </si>
  <si>
    <t>realizacja</t>
  </si>
  <si>
    <t xml:space="preserve">Przedsięwzięcie związane z rozbudową Cmentarza Komunalnego </t>
  </si>
  <si>
    <t>w Cedzynie</t>
  </si>
  <si>
    <t xml:space="preserve">Wydział Zarządzania Kryzysowego </t>
  </si>
  <si>
    <t>56.</t>
  </si>
  <si>
    <t xml:space="preserve">Rozbudowa, modernizacja oraz wyposażenie miejskiego systemu </t>
  </si>
  <si>
    <t>754     75495</t>
  </si>
  <si>
    <t>Wydatki poniesiono m.in. na wykonanie integracji 10 zewnętrznych kamer monitoringu stadionu przy ul. Ściegiennego z Systemem Monitoringu Wizyjnego Miasta Kielce, rekonfigurację macierzy MD 3000 i rekonfigurację systemu zapisu.</t>
  </si>
  <si>
    <t xml:space="preserve">monitoringu wizyjnego Miasta Kielce </t>
  </si>
  <si>
    <t>Podnoszenie bezpieczeństwa obywateli Miasta Kielce</t>
  </si>
  <si>
    <t>Tabela Nr 4</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</si>
</sst>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0_ ;\-#,##0\ "/>
    <numFmt numFmtId="170" formatCode="[$-415]d\ mmmm\ yyyy"/>
    <numFmt numFmtId="171" formatCode="0.0"/>
    <numFmt numFmtId="172" formatCode="_-* #,##0.0\ _z_ł_-;\-* #,##0.0\ _z_ł_-;_-* &quot;-&quot;?\ _z_ł_-;_-@_-"/>
    <numFmt numFmtId="173" formatCode="_-* #,##0.00\ _z_ł_-;\-* #,##0.00\ _z_ł_-;_-* &quot;-&quot;\ _z_ł_-;_-@_-"/>
    <numFmt numFmtId="174" formatCode="0.00_ ;[Red]\-0.00\ "/>
    <numFmt numFmtId="175" formatCode="#,##0.00_ ;[Red]\-#,##0.00\ "/>
    <numFmt numFmtId="176" formatCode="#,##0.000"/>
    <numFmt numFmtId="177" formatCode="#,##0.0000"/>
    <numFmt numFmtId="178" formatCode="#,##0.00\ &quot;zł&quot;"/>
  </numFmts>
  <fonts count="63">
    <font>
      <sz val="10"/>
      <name val="Arial"/>
      <family val="0"/>
    </font>
    <font>
      <b/>
      <sz val="16"/>
      <name val="Arial"/>
      <family val="2"/>
    </font>
    <font>
      <b/>
      <sz val="11"/>
      <name val="Arial"/>
      <family val="2"/>
    </font>
    <font>
      <b/>
      <i/>
      <sz val="7"/>
      <name val="Arial"/>
      <family val="2"/>
    </font>
    <font>
      <sz val="7"/>
      <name val="Arial"/>
      <family val="2"/>
    </font>
    <font>
      <u val="single"/>
      <sz val="10"/>
      <color indexed="12"/>
      <name val="Arial"/>
      <family val="2"/>
    </font>
    <font>
      <u val="single"/>
      <sz val="10"/>
      <color indexed="36"/>
      <name val="Arial"/>
      <family val="2"/>
    </font>
    <font>
      <b/>
      <sz val="8.5"/>
      <name val="Arial"/>
      <family val="2"/>
    </font>
    <font>
      <b/>
      <sz val="10"/>
      <name val="Arial"/>
      <family val="2"/>
    </font>
    <font>
      <sz val="8.5"/>
      <name val="Arial"/>
      <family val="2"/>
    </font>
    <font>
      <sz val="8"/>
      <name val="Arial"/>
      <family val="2"/>
    </font>
    <font>
      <b/>
      <sz val="8"/>
      <name val="Arial"/>
      <family val="2"/>
    </font>
    <font>
      <b/>
      <i/>
      <sz val="8"/>
      <name val="Arial"/>
      <family val="2"/>
    </font>
    <font>
      <b/>
      <sz val="9"/>
      <name val="Arial"/>
      <family val="2"/>
    </font>
    <font>
      <sz val="8"/>
      <color indexed="8"/>
      <name val="Arial"/>
      <family val="2"/>
    </font>
    <font>
      <sz val="9"/>
      <name val="Arial"/>
      <family val="2"/>
    </font>
    <font>
      <u val="single"/>
      <sz val="8"/>
      <name val="Arial"/>
      <family val="2"/>
    </font>
    <font>
      <sz val="8.5"/>
      <color indexed="8"/>
      <name val="Czcionka tekstu podstawowego"/>
      <family val="2"/>
    </font>
    <font>
      <sz val="8.5"/>
      <color indexed="8"/>
      <name val="Arial"/>
      <family val="2"/>
    </font>
    <font>
      <i/>
      <sz val="8.5"/>
      <name val="Arial"/>
      <family val="2"/>
    </font>
    <font>
      <sz val="8.5"/>
      <name val="Czcionka tekstu podstawowego"/>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5"/>
      <color indexed="10"/>
      <name val="Arial"/>
      <family val="2"/>
    </font>
    <font>
      <sz val="8"/>
      <color indexed="10"/>
      <name val="Arial"/>
      <family val="2"/>
    </font>
    <font>
      <sz val="8.5"/>
      <color indexed="27"/>
      <name val="Arial"/>
      <family val="2"/>
    </font>
    <font>
      <b/>
      <sz val="8.5"/>
      <color indexed="27"/>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5"/>
      <color rgb="FFFF0000"/>
      <name val="Arial"/>
      <family val="2"/>
    </font>
    <font>
      <sz val="8"/>
      <color rgb="FFFF0000"/>
      <name val="Arial"/>
      <family val="2"/>
    </font>
    <font>
      <sz val="8.5"/>
      <color rgb="FFCCFFFF"/>
      <name val="Arial"/>
      <family val="2"/>
    </font>
    <font>
      <b/>
      <sz val="8.5"/>
      <color rgb="FFCCFF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63"/>
      </left>
      <right style="thin">
        <color indexed="63"/>
      </right>
      <top style="thin"/>
      <bottom/>
    </border>
    <border>
      <left style="thin">
        <color indexed="63"/>
      </left>
      <right/>
      <top style="thin">
        <color indexed="63"/>
      </top>
      <bottom/>
    </border>
    <border>
      <left/>
      <right style="thin">
        <color indexed="63"/>
      </right>
      <top style="thin">
        <color indexed="63"/>
      </top>
      <bottom/>
    </border>
    <border>
      <left style="thin">
        <color indexed="63"/>
      </left>
      <right style="thin">
        <color indexed="63"/>
      </right>
      <top style="thin">
        <color indexed="63"/>
      </top>
      <bottom/>
    </border>
    <border>
      <left/>
      <right/>
      <top style="thin">
        <color indexed="63"/>
      </top>
      <bottom/>
    </border>
    <border>
      <left style="thin">
        <color indexed="63"/>
      </left>
      <right/>
      <top/>
      <bottom/>
    </border>
    <border>
      <left/>
      <right style="thin">
        <color indexed="63"/>
      </right>
      <top/>
      <bottom/>
    </border>
    <border>
      <left style="thin">
        <color indexed="63"/>
      </left>
      <right style="thin">
        <color indexed="63"/>
      </right>
      <top/>
      <bottom/>
    </border>
    <border>
      <left style="thin">
        <color indexed="63"/>
      </left>
      <right style="thin">
        <color indexed="63"/>
      </right>
      <top/>
      <bottom style="thin">
        <color indexed="63"/>
      </bottom>
    </border>
    <border>
      <left style="thin">
        <color indexed="63"/>
      </left>
      <right/>
      <top/>
      <bottom style="thin">
        <color indexed="63"/>
      </bottom>
    </border>
    <border>
      <left/>
      <right style="thin">
        <color indexed="63"/>
      </right>
      <top/>
      <bottom style="thin">
        <color indexed="63"/>
      </bottom>
    </border>
    <border>
      <left/>
      <right/>
      <top/>
      <bottom style="thin">
        <color indexed="63"/>
      </bottom>
    </border>
    <border>
      <left style="thin">
        <color indexed="63"/>
      </left>
      <right style="thin"/>
      <top/>
      <bottom/>
    </border>
    <border>
      <left style="thin">
        <color indexed="63"/>
      </left>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63"/>
      </right>
      <top/>
      <bottom/>
    </border>
    <border>
      <left style="thin"/>
      <right style="thin">
        <color indexed="63"/>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0" fontId="53" fillId="27"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696">
    <xf numFmtId="0" fontId="0" fillId="0" borderId="0" xfId="0" applyAlignment="1">
      <alignment/>
    </xf>
    <xf numFmtId="0" fontId="0" fillId="0" borderId="0" xfId="0" applyAlignment="1">
      <alignment vertical="center"/>
    </xf>
    <xf numFmtId="4" fontId="0" fillId="0" borderId="0" xfId="0" applyNumberForma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4" fillId="0" borderId="10" xfId="0" applyNumberFormat="1" applyFont="1" applyBorder="1" applyAlignment="1">
      <alignment horizontal="center" vertical="center"/>
    </xf>
    <xf numFmtId="49" fontId="9" fillId="33" borderId="11" xfId="0" applyNumberFormat="1" applyFont="1" applyFill="1" applyBorder="1" applyAlignment="1">
      <alignment horizontal="center" vertical="center"/>
    </xf>
    <xf numFmtId="49" fontId="9" fillId="33" borderId="12" xfId="0" applyNumberFormat="1" applyFont="1" applyFill="1" applyBorder="1" applyAlignment="1">
      <alignment horizontal="center" vertical="center"/>
    </xf>
    <xf numFmtId="0" fontId="9" fillId="0" borderId="0" xfId="0" applyFont="1" applyAlignment="1">
      <alignment horizontal="center" vertical="center"/>
    </xf>
    <xf numFmtId="0" fontId="7" fillId="33" borderId="13"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3" xfId="0" applyFont="1" applyFill="1" applyBorder="1" applyAlignment="1">
      <alignment vertical="center"/>
    </xf>
    <xf numFmtId="4" fontId="7" fillId="33" borderId="13" xfId="0" applyNumberFormat="1" applyFont="1" applyFill="1" applyBorder="1" applyAlignment="1">
      <alignment vertical="center"/>
    </xf>
    <xf numFmtId="164" fontId="7" fillId="33" borderId="13" xfId="0" applyNumberFormat="1" applyFont="1" applyFill="1" applyBorder="1" applyAlignment="1">
      <alignment horizontal="center" vertical="center"/>
    </xf>
    <xf numFmtId="0" fontId="9" fillId="0" borderId="0" xfId="0" applyFont="1" applyAlignment="1">
      <alignment vertical="center"/>
    </xf>
    <xf numFmtId="49" fontId="9" fillId="33" borderId="14" xfId="0" applyNumberFormat="1" applyFont="1" applyFill="1" applyBorder="1" applyAlignment="1">
      <alignment vertical="center"/>
    </xf>
    <xf numFmtId="4" fontId="9" fillId="33" borderId="13" xfId="0" applyNumberFormat="1" applyFont="1" applyFill="1" applyBorder="1" applyAlignment="1">
      <alignment vertical="center"/>
    </xf>
    <xf numFmtId="164" fontId="9" fillId="33" borderId="13" xfId="0" applyNumberFormat="1" applyFont="1" applyFill="1" applyBorder="1" applyAlignment="1">
      <alignment horizontal="center" vertical="center"/>
    </xf>
    <xf numFmtId="0" fontId="7" fillId="34" borderId="13"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3" xfId="0" applyFont="1" applyFill="1" applyBorder="1" applyAlignment="1">
      <alignment vertical="center"/>
    </xf>
    <xf numFmtId="4" fontId="7" fillId="34" borderId="13" xfId="0" applyNumberFormat="1" applyFont="1" applyFill="1" applyBorder="1" applyAlignment="1">
      <alignment vertical="center"/>
    </xf>
    <xf numFmtId="164" fontId="7" fillId="34" borderId="13" xfId="0" applyNumberFormat="1" applyFont="1" applyFill="1" applyBorder="1" applyAlignment="1">
      <alignment horizontal="center" vertical="center"/>
    </xf>
    <xf numFmtId="49" fontId="9" fillId="34" borderId="14" xfId="0" applyNumberFormat="1" applyFont="1" applyFill="1" applyBorder="1" applyAlignment="1">
      <alignment vertical="center"/>
    </xf>
    <xf numFmtId="4" fontId="9" fillId="34" borderId="13" xfId="0" applyNumberFormat="1" applyFont="1" applyFill="1" applyBorder="1" applyAlignment="1">
      <alignment vertical="center"/>
    </xf>
    <xf numFmtId="164" fontId="9" fillId="34" borderId="13" xfId="0" applyNumberFormat="1" applyFont="1" applyFill="1" applyBorder="1" applyAlignment="1">
      <alignment horizontal="center" vertical="center"/>
    </xf>
    <xf numFmtId="0" fontId="7" fillId="35" borderId="13" xfId="0" applyFont="1" applyFill="1" applyBorder="1" applyAlignment="1">
      <alignment horizontal="center" vertical="center"/>
    </xf>
    <xf numFmtId="0" fontId="9" fillId="35" borderId="13" xfId="0" applyFont="1" applyFill="1" applyBorder="1" applyAlignment="1">
      <alignment horizontal="center" vertical="center"/>
    </xf>
    <xf numFmtId="0" fontId="9" fillId="35" borderId="13" xfId="0" applyFont="1" applyFill="1" applyBorder="1" applyAlignment="1">
      <alignment vertical="center"/>
    </xf>
    <xf numFmtId="4" fontId="7" fillId="35" borderId="13" xfId="0" applyNumberFormat="1" applyFont="1" applyFill="1" applyBorder="1" applyAlignment="1">
      <alignment vertical="center"/>
    </xf>
    <xf numFmtId="164" fontId="7" fillId="35" borderId="13" xfId="0" applyNumberFormat="1" applyFont="1" applyFill="1" applyBorder="1" applyAlignment="1">
      <alignment horizontal="center" vertical="center"/>
    </xf>
    <xf numFmtId="0" fontId="9" fillId="35" borderId="14" xfId="0" applyFont="1" applyFill="1" applyBorder="1" applyAlignment="1">
      <alignment vertical="center"/>
    </xf>
    <xf numFmtId="49" fontId="9" fillId="35" borderId="14" xfId="0" applyNumberFormat="1" applyFont="1" applyFill="1" applyBorder="1" applyAlignment="1">
      <alignment vertical="center"/>
    </xf>
    <xf numFmtId="4" fontId="9" fillId="35" borderId="13" xfId="0" applyNumberFormat="1" applyFont="1" applyFill="1" applyBorder="1" applyAlignment="1">
      <alignment vertical="center"/>
    </xf>
    <xf numFmtId="164" fontId="9" fillId="35" borderId="13" xfId="0" applyNumberFormat="1" applyFont="1" applyFill="1" applyBorder="1" applyAlignment="1">
      <alignment horizontal="center" vertical="center"/>
    </xf>
    <xf numFmtId="4" fontId="7" fillId="0" borderId="13" xfId="0" applyNumberFormat="1" applyFont="1" applyBorder="1" applyAlignment="1">
      <alignment vertical="center"/>
    </xf>
    <xf numFmtId="164" fontId="7" fillId="0" borderId="13" xfId="0" applyNumberFormat="1" applyFont="1" applyBorder="1" applyAlignment="1">
      <alignment horizontal="center" vertical="center"/>
    </xf>
    <xf numFmtId="0" fontId="1" fillId="0" borderId="0" xfId="0" applyFont="1" applyAlignment="1">
      <alignment/>
    </xf>
    <xf numFmtId="4" fontId="1" fillId="0" borderId="0" xfId="0" applyNumberFormat="1" applyFont="1" applyAlignment="1">
      <alignment/>
    </xf>
    <xf numFmtId="0" fontId="0" fillId="0" borderId="0" xfId="0" applyFont="1" applyAlignment="1">
      <alignment horizontal="right"/>
    </xf>
    <xf numFmtId="0" fontId="9" fillId="0" borderId="0" xfId="0" applyFont="1" applyAlignment="1">
      <alignment horizontal="right" vertical="center"/>
    </xf>
    <xf numFmtId="0" fontId="9" fillId="33" borderId="15" xfId="0" applyFont="1" applyFill="1" applyBorder="1" applyAlignment="1">
      <alignment vertical="center"/>
    </xf>
    <xf numFmtId="0" fontId="9" fillId="33" borderId="16" xfId="0" applyFont="1" applyFill="1" applyBorder="1" applyAlignment="1">
      <alignment vertical="center"/>
    </xf>
    <xf numFmtId="0" fontId="9" fillId="33" borderId="15" xfId="0" applyFont="1" applyFill="1" applyBorder="1" applyAlignment="1">
      <alignment horizontal="center" vertical="center"/>
    </xf>
    <xf numFmtId="4" fontId="9" fillId="33" borderId="15" xfId="0" applyNumberFormat="1" applyFont="1" applyFill="1" applyBorder="1" applyAlignment="1">
      <alignment vertical="center"/>
    </xf>
    <xf numFmtId="164" fontId="9" fillId="33" borderId="15" xfId="0" applyNumberFormat="1" applyFont="1" applyFill="1" applyBorder="1" applyAlignment="1">
      <alignment horizontal="center" vertical="center"/>
    </xf>
    <xf numFmtId="0" fontId="9" fillId="34" borderId="11" xfId="0" applyFont="1" applyFill="1" applyBorder="1" applyAlignment="1">
      <alignment vertical="center"/>
    </xf>
    <xf numFmtId="0" fontId="9" fillId="34" borderId="12" xfId="0" applyFont="1" applyFill="1" applyBorder="1" applyAlignment="1">
      <alignment vertical="center"/>
    </xf>
    <xf numFmtId="0" fontId="9" fillId="34" borderId="11" xfId="0" applyFont="1" applyFill="1" applyBorder="1" applyAlignment="1">
      <alignment horizontal="center" vertical="center"/>
    </xf>
    <xf numFmtId="4" fontId="9" fillId="34" borderId="11" xfId="0" applyNumberFormat="1" applyFont="1" applyFill="1" applyBorder="1" applyAlignment="1">
      <alignment vertical="center"/>
    </xf>
    <xf numFmtId="164" fontId="9" fillId="34" borderId="11" xfId="0" applyNumberFormat="1" applyFont="1" applyFill="1" applyBorder="1" applyAlignment="1">
      <alignment horizontal="center" vertical="center"/>
    </xf>
    <xf numFmtId="0" fontId="9" fillId="34" borderId="15" xfId="0" applyFont="1" applyFill="1" applyBorder="1" applyAlignment="1">
      <alignment vertical="center"/>
    </xf>
    <xf numFmtId="0" fontId="9" fillId="34" borderId="16" xfId="0" applyFont="1" applyFill="1" applyBorder="1" applyAlignment="1">
      <alignment vertical="center"/>
    </xf>
    <xf numFmtId="0" fontId="9" fillId="34" borderId="15" xfId="0" applyFont="1" applyFill="1" applyBorder="1" applyAlignment="1">
      <alignment horizontal="center" vertical="center"/>
    </xf>
    <xf numFmtId="4" fontId="9" fillId="34" borderId="15" xfId="0" applyNumberFormat="1" applyFont="1" applyFill="1" applyBorder="1" applyAlignment="1">
      <alignment vertical="center"/>
    </xf>
    <xf numFmtId="164" fontId="9" fillId="34" borderId="15" xfId="0" applyNumberFormat="1" applyFont="1" applyFill="1" applyBorder="1" applyAlignment="1">
      <alignment horizontal="center" vertical="center"/>
    </xf>
    <xf numFmtId="0" fontId="9" fillId="35" borderId="11" xfId="0" applyFont="1" applyFill="1" applyBorder="1" applyAlignment="1">
      <alignment vertical="center"/>
    </xf>
    <xf numFmtId="0" fontId="9" fillId="35" borderId="12" xfId="0" applyFont="1" applyFill="1" applyBorder="1" applyAlignment="1">
      <alignment vertical="center"/>
    </xf>
    <xf numFmtId="0" fontId="9" fillId="35" borderId="11" xfId="0" applyFont="1" applyFill="1" applyBorder="1" applyAlignment="1">
      <alignment horizontal="center" vertical="center"/>
    </xf>
    <xf numFmtId="4" fontId="9" fillId="35" borderId="11" xfId="0" applyNumberFormat="1" applyFont="1" applyFill="1" applyBorder="1" applyAlignment="1">
      <alignment vertical="center"/>
    </xf>
    <xf numFmtId="164" fontId="9" fillId="35" borderId="11" xfId="0" applyNumberFormat="1" applyFont="1" applyFill="1" applyBorder="1" applyAlignment="1">
      <alignment horizontal="center" vertical="center"/>
    </xf>
    <xf numFmtId="0" fontId="9" fillId="35" borderId="15" xfId="0" applyFont="1" applyFill="1" applyBorder="1" applyAlignment="1">
      <alignment vertical="center"/>
    </xf>
    <xf numFmtId="0" fontId="9" fillId="35" borderId="16" xfId="0" applyFont="1" applyFill="1" applyBorder="1" applyAlignment="1">
      <alignment vertical="center"/>
    </xf>
    <xf numFmtId="0" fontId="9" fillId="35" borderId="15" xfId="0" applyFont="1" applyFill="1" applyBorder="1" applyAlignment="1">
      <alignment horizontal="center" vertical="center"/>
    </xf>
    <xf numFmtId="4" fontId="9" fillId="35" borderId="15" xfId="0" applyNumberFormat="1" applyFont="1" applyFill="1" applyBorder="1" applyAlignment="1">
      <alignment vertical="center"/>
    </xf>
    <xf numFmtId="164" fontId="9" fillId="35" borderId="15" xfId="0" applyNumberFormat="1"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vertical="center"/>
    </xf>
    <xf numFmtId="4" fontId="9" fillId="0" borderId="11" xfId="0" applyNumberFormat="1" applyFont="1" applyBorder="1" applyAlignment="1">
      <alignment vertical="center"/>
    </xf>
    <xf numFmtId="4" fontId="9" fillId="0" borderId="12" xfId="0" applyNumberFormat="1" applyFont="1" applyBorder="1" applyAlignment="1">
      <alignment vertical="center"/>
    </xf>
    <xf numFmtId="164" fontId="9" fillId="0" borderId="11" xfId="0" applyNumberFormat="1" applyFont="1" applyBorder="1" applyAlignment="1">
      <alignment horizontal="center" vertical="center"/>
    </xf>
    <xf numFmtId="0" fontId="9" fillId="0" borderId="14" xfId="0" applyFont="1" applyBorder="1" applyAlignment="1">
      <alignment vertical="center"/>
    </xf>
    <xf numFmtId="0" fontId="7" fillId="0" borderId="13" xfId="0" applyFont="1" applyBorder="1" applyAlignment="1">
      <alignment vertical="center"/>
    </xf>
    <xf numFmtId="49" fontId="9" fillId="0" borderId="13" xfId="0" applyNumberFormat="1" applyFont="1" applyBorder="1" applyAlignment="1">
      <alignment vertical="center"/>
    </xf>
    <xf numFmtId="4" fontId="9" fillId="0" borderId="13" xfId="0" applyNumberFormat="1" applyFont="1" applyBorder="1" applyAlignment="1">
      <alignment vertical="center"/>
    </xf>
    <xf numFmtId="164" fontId="9" fillId="0" borderId="13" xfId="0" applyNumberFormat="1" applyFont="1" applyBorder="1" applyAlignment="1">
      <alignment horizontal="center" vertical="center"/>
    </xf>
    <xf numFmtId="4" fontId="9" fillId="0" borderId="13" xfId="0" applyNumberFormat="1" applyFont="1" applyFill="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vertical="center"/>
    </xf>
    <xf numFmtId="4" fontId="9" fillId="0" borderId="15" xfId="0" applyNumberFormat="1" applyFont="1" applyBorder="1" applyAlignment="1">
      <alignment vertical="center"/>
    </xf>
    <xf numFmtId="4" fontId="9" fillId="0" borderId="16" xfId="0" applyNumberFormat="1" applyFont="1" applyBorder="1" applyAlignment="1">
      <alignment vertical="center"/>
    </xf>
    <xf numFmtId="164" fontId="9" fillId="0" borderId="15" xfId="0" applyNumberFormat="1" applyFont="1" applyBorder="1" applyAlignment="1">
      <alignment horizontal="center" vertical="center"/>
    </xf>
    <xf numFmtId="4" fontId="9" fillId="0" borderId="14" xfId="0" applyNumberFormat="1" applyFont="1" applyFill="1" applyBorder="1" applyAlignment="1">
      <alignment vertical="center"/>
    </xf>
    <xf numFmtId="4" fontId="9" fillId="0" borderId="0" xfId="0" applyNumberFormat="1" applyFont="1" applyFill="1" applyAlignment="1">
      <alignment vertical="center"/>
    </xf>
    <xf numFmtId="0" fontId="9" fillId="0" borderId="0" xfId="0" applyFont="1" applyFill="1" applyAlignment="1">
      <alignment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49" fontId="4" fillId="0" borderId="0" xfId="0" applyNumberFormat="1" applyFont="1" applyFill="1" applyAlignment="1">
      <alignment horizontal="center" vertical="center"/>
    </xf>
    <xf numFmtId="4" fontId="9" fillId="0" borderId="11" xfId="0" applyNumberFormat="1" applyFont="1" applyFill="1" applyBorder="1" applyAlignment="1">
      <alignment vertical="center"/>
    </xf>
    <xf numFmtId="0" fontId="2" fillId="0" borderId="0" xfId="0" applyFont="1" applyFill="1" applyAlignment="1">
      <alignment vertical="center"/>
    </xf>
    <xf numFmtId="0" fontId="8" fillId="0" borderId="0" xfId="0" applyFont="1" applyAlignment="1">
      <alignment/>
    </xf>
    <xf numFmtId="0" fontId="9" fillId="0" borderId="13" xfId="0" applyFont="1" applyBorder="1" applyAlignment="1">
      <alignment vertical="center" wrapText="1"/>
    </xf>
    <xf numFmtId="0" fontId="9" fillId="0" borderId="14" xfId="0" applyFont="1" applyBorder="1" applyAlignment="1">
      <alignment vertical="top" wrapText="1"/>
    </xf>
    <xf numFmtId="49" fontId="9" fillId="0" borderId="15" xfId="0" applyNumberFormat="1" applyFont="1" applyBorder="1" applyAlignment="1">
      <alignment vertical="center"/>
    </xf>
    <xf numFmtId="4" fontId="9" fillId="0" borderId="13" xfId="0" applyNumberFormat="1" applyFont="1" applyFill="1" applyBorder="1" applyAlignment="1">
      <alignment horizontal="center"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59" fillId="35" borderId="11" xfId="0" applyFont="1" applyFill="1" applyBorder="1" applyAlignment="1">
      <alignment vertical="center"/>
    </xf>
    <xf numFmtId="0" fontId="59" fillId="35" borderId="15" xfId="0" applyFont="1" applyFill="1" applyBorder="1" applyAlignment="1">
      <alignment vertical="center"/>
    </xf>
    <xf numFmtId="0" fontId="59" fillId="0" borderId="12" xfId="0" applyFont="1" applyBorder="1" applyAlignment="1">
      <alignment vertical="center"/>
    </xf>
    <xf numFmtId="4" fontId="59" fillId="0" borderId="16" xfId="0" applyNumberFormat="1" applyFont="1" applyBorder="1" applyAlignment="1">
      <alignment vertical="center"/>
    </xf>
    <xf numFmtId="0" fontId="9" fillId="0" borderId="11" xfId="0" applyFont="1" applyBorder="1" applyAlignment="1">
      <alignment horizontal="center" vertical="top" wrapText="1"/>
    </xf>
    <xf numFmtId="0" fontId="9" fillId="0" borderId="13" xfId="0" applyFont="1" applyBorder="1" applyAlignment="1">
      <alignment horizontal="center" vertical="top"/>
    </xf>
    <xf numFmtId="0" fontId="9" fillId="0" borderId="11" xfId="0" applyFont="1" applyBorder="1" applyAlignment="1">
      <alignment horizontal="left" vertical="center" wrapText="1"/>
    </xf>
    <xf numFmtId="49" fontId="9" fillId="0" borderId="12" xfId="0" applyNumberFormat="1" applyFont="1" applyBorder="1" applyAlignment="1">
      <alignment vertical="center"/>
    </xf>
    <xf numFmtId="164" fontId="7" fillId="0" borderId="11" xfId="0" applyNumberFormat="1" applyFont="1" applyBorder="1" applyAlignment="1">
      <alignment horizontal="center" vertical="center"/>
    </xf>
    <xf numFmtId="0" fontId="9" fillId="0" borderId="15" xfId="0" applyFont="1" applyBorder="1" applyAlignment="1">
      <alignment horizontal="left" vertical="center" wrapText="1"/>
    </xf>
    <xf numFmtId="49" fontId="9" fillId="0" borderId="16" xfId="0" applyNumberFormat="1" applyFont="1" applyBorder="1" applyAlignment="1">
      <alignment vertical="center"/>
    </xf>
    <xf numFmtId="164" fontId="7" fillId="0" borderId="15" xfId="0" applyNumberFormat="1" applyFont="1" applyBorder="1" applyAlignment="1">
      <alignment horizontal="center" vertical="center"/>
    </xf>
    <xf numFmtId="4" fontId="9" fillId="0" borderId="16" xfId="0" applyNumberFormat="1" applyFont="1" applyFill="1" applyBorder="1" applyAlignment="1">
      <alignment vertical="center"/>
    </xf>
    <xf numFmtId="0" fontId="9" fillId="0" borderId="13" xfId="0" applyFont="1" applyBorder="1" applyAlignment="1">
      <alignment horizontal="left" vertical="center" wrapText="1"/>
    </xf>
    <xf numFmtId="49" fontId="9" fillId="0" borderId="14" xfId="0" applyNumberFormat="1" applyFont="1" applyBorder="1" applyAlignment="1">
      <alignment vertical="center"/>
    </xf>
    <xf numFmtId="4" fontId="9" fillId="0" borderId="14" xfId="0" applyNumberFormat="1" applyFont="1" applyBorder="1" applyAlignment="1">
      <alignment vertical="center"/>
    </xf>
    <xf numFmtId="0" fontId="9" fillId="0" borderId="15" xfId="0" applyFont="1" applyBorder="1" applyAlignment="1">
      <alignment horizontal="center" vertical="top"/>
    </xf>
    <xf numFmtId="0" fontId="9" fillId="0" borderId="15" xfId="0" applyFont="1" applyBorder="1" applyAlignment="1">
      <alignment horizontal="center" vertical="center" wrapText="1"/>
    </xf>
    <xf numFmtId="0" fontId="11" fillId="0" borderId="0" xfId="0" applyFont="1" applyAlignment="1">
      <alignment horizontal="left"/>
    </xf>
    <xf numFmtId="4" fontId="12" fillId="0" borderId="10" xfId="0" applyNumberFormat="1" applyFont="1" applyFill="1" applyBorder="1" applyAlignment="1">
      <alignment horizontal="center" vertical="center" wrapText="1"/>
    </xf>
    <xf numFmtId="0" fontId="9" fillId="0" borderId="11" xfId="0" applyFont="1" applyFill="1" applyBorder="1" applyAlignment="1">
      <alignment vertical="center"/>
    </xf>
    <xf numFmtId="0" fontId="7" fillId="0" borderId="12" xfId="0" applyFont="1" applyFill="1" applyBorder="1" applyAlignment="1">
      <alignment vertical="center"/>
    </xf>
    <xf numFmtId="0" fontId="7" fillId="0" borderId="11" xfId="0" applyFont="1" applyBorder="1" applyAlignment="1">
      <alignment vertical="center"/>
    </xf>
    <xf numFmtId="4" fontId="7" fillId="0" borderId="12" xfId="0" applyNumberFormat="1" applyFont="1" applyFill="1" applyBorder="1" applyAlignment="1">
      <alignment vertical="center"/>
    </xf>
    <xf numFmtId="164" fontId="7" fillId="0" borderId="11" xfId="0" applyNumberFormat="1" applyFont="1" applyFill="1" applyBorder="1" applyAlignment="1">
      <alignment horizontal="center" vertical="center"/>
    </xf>
    <xf numFmtId="0" fontId="7" fillId="0" borderId="14" xfId="0" applyFont="1" applyFill="1" applyBorder="1" applyAlignment="1">
      <alignment vertical="center"/>
    </xf>
    <xf numFmtId="164" fontId="9" fillId="0" borderId="13" xfId="0" applyNumberFormat="1" applyFont="1" applyFill="1" applyBorder="1" applyAlignment="1">
      <alignment horizontal="center" vertical="center"/>
    </xf>
    <xf numFmtId="0" fontId="7" fillId="0" borderId="16" xfId="0" applyFont="1" applyFill="1" applyBorder="1" applyAlignment="1">
      <alignment vertical="center"/>
    </xf>
    <xf numFmtId="164" fontId="9" fillId="0" borderId="15" xfId="0" applyNumberFormat="1" applyFont="1" applyFill="1" applyBorder="1" applyAlignment="1">
      <alignment horizontal="center" vertical="center"/>
    </xf>
    <xf numFmtId="0" fontId="9" fillId="0" borderId="14" xfId="0" applyFont="1" applyFill="1" applyBorder="1" applyAlignment="1">
      <alignment vertical="center"/>
    </xf>
    <xf numFmtId="0" fontId="9" fillId="0" borderId="16" xfId="0" applyFont="1" applyFill="1" applyBorder="1" applyAlignment="1">
      <alignment vertical="center"/>
    </xf>
    <xf numFmtId="4" fontId="7" fillId="0" borderId="14" xfId="0" applyNumberFormat="1" applyFont="1" applyFill="1" applyBorder="1" applyAlignment="1">
      <alignment vertical="center"/>
    </xf>
    <xf numFmtId="164" fontId="7" fillId="0" borderId="13" xfId="0" applyNumberFormat="1" applyFont="1" applyFill="1" applyBorder="1" applyAlignment="1">
      <alignment horizontal="center" vertical="center"/>
    </xf>
    <xf numFmtId="4" fontId="7" fillId="0" borderId="13" xfId="0" applyNumberFormat="1" applyFont="1" applyFill="1" applyBorder="1" applyAlignment="1">
      <alignment vertical="center"/>
    </xf>
    <xf numFmtId="0" fontId="9" fillId="0" borderId="12" xfId="0" applyFont="1" applyFill="1" applyBorder="1" applyAlignment="1">
      <alignment vertical="center"/>
    </xf>
    <xf numFmtId="0" fontId="9" fillId="0" borderId="11" xfId="0" applyFont="1" applyFill="1" applyBorder="1" applyAlignment="1">
      <alignment horizontal="center" vertical="center"/>
    </xf>
    <xf numFmtId="164" fontId="9" fillId="0" borderId="11" xfId="0" applyNumberFormat="1" applyFont="1" applyFill="1" applyBorder="1" applyAlignment="1">
      <alignment horizontal="center" vertical="center"/>
    </xf>
    <xf numFmtId="4" fontId="9" fillId="0" borderId="12" xfId="0" applyNumberFormat="1" applyFont="1" applyFill="1" applyBorder="1" applyAlignment="1">
      <alignment vertical="center"/>
    </xf>
    <xf numFmtId="0" fontId="9" fillId="0" borderId="13" xfId="0" applyFont="1" applyFill="1" applyBorder="1" applyAlignment="1">
      <alignment vertical="center"/>
    </xf>
    <xf numFmtId="0" fontId="0" fillId="0" borderId="14" xfId="0" applyBorder="1" applyAlignment="1">
      <alignment vertical="center"/>
    </xf>
    <xf numFmtId="0" fontId="7" fillId="0" borderId="14" xfId="0" applyFont="1" applyBorder="1" applyAlignment="1">
      <alignment vertical="center"/>
    </xf>
    <xf numFmtId="0" fontId="9" fillId="0" borderId="13" xfId="0" applyFont="1" applyBorder="1" applyAlignment="1">
      <alignment vertical="center"/>
    </xf>
    <xf numFmtId="0" fontId="0" fillId="0" borderId="16" xfId="0" applyBorder="1" applyAlignment="1">
      <alignment vertical="center"/>
    </xf>
    <xf numFmtId="0" fontId="9" fillId="0" borderId="13" xfId="0" applyNumberFormat="1" applyFont="1" applyBorder="1" applyAlignment="1">
      <alignment vertical="center"/>
    </xf>
    <xf numFmtId="0" fontId="9" fillId="0" borderId="15" xfId="0" applyFont="1" applyBorder="1" applyAlignment="1">
      <alignment vertical="center"/>
    </xf>
    <xf numFmtId="4" fontId="7" fillId="35" borderId="13" xfId="0" applyNumberFormat="1" applyFont="1" applyFill="1" applyBorder="1" applyAlignment="1">
      <alignment horizontal="center" vertical="center"/>
    </xf>
    <xf numFmtId="4" fontId="9" fillId="35" borderId="13" xfId="0" applyNumberFormat="1" applyFont="1" applyFill="1" applyBorder="1" applyAlignment="1">
      <alignment horizontal="right" vertical="center"/>
    </xf>
    <xf numFmtId="4" fontId="9" fillId="35" borderId="13" xfId="0" applyNumberFormat="1" applyFont="1" applyFill="1" applyBorder="1" applyAlignment="1">
      <alignment horizontal="center" vertical="center"/>
    </xf>
    <xf numFmtId="4" fontId="9" fillId="36" borderId="15" xfId="0" applyNumberFormat="1" applyFont="1" applyFill="1" applyBorder="1" applyAlignment="1">
      <alignment vertical="center"/>
    </xf>
    <xf numFmtId="4" fontId="7" fillId="0" borderId="13" xfId="0" applyNumberFormat="1" applyFont="1" applyBorder="1" applyAlignment="1">
      <alignment horizontal="center" vertical="center"/>
    </xf>
    <xf numFmtId="4" fontId="9" fillId="0" borderId="13" xfId="0" applyNumberFormat="1" applyFont="1" applyBorder="1" applyAlignment="1">
      <alignment horizontal="right" vertical="center"/>
    </xf>
    <xf numFmtId="49" fontId="9" fillId="0" borderId="13" xfId="0" applyNumberFormat="1" applyFont="1" applyBorder="1" applyAlignment="1">
      <alignment horizontal="right" vertical="center"/>
    </xf>
    <xf numFmtId="4" fontId="9" fillId="0" borderId="13" xfId="0" applyNumberFormat="1" applyFont="1" applyBorder="1" applyAlignment="1">
      <alignment horizontal="center" vertical="center"/>
    </xf>
    <xf numFmtId="2" fontId="9" fillId="0" borderId="13" xfId="0" applyNumberFormat="1" applyFont="1" applyBorder="1" applyAlignment="1">
      <alignment horizontal="right" vertical="center"/>
    </xf>
    <xf numFmtId="3" fontId="1" fillId="0" borderId="0" xfId="0" applyNumberFormat="1" applyFont="1" applyAlignment="1">
      <alignment/>
    </xf>
    <xf numFmtId="3" fontId="0" fillId="0" borderId="0" xfId="0" applyNumberFormat="1" applyAlignment="1">
      <alignment/>
    </xf>
    <xf numFmtId="3" fontId="9" fillId="0" borderId="0" xfId="0" applyNumberFormat="1" applyFont="1" applyAlignment="1">
      <alignment vertical="center"/>
    </xf>
    <xf numFmtId="3" fontId="3"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9" fillId="33" borderId="11" xfId="0" applyNumberFormat="1" applyFont="1" applyFill="1" applyBorder="1" applyAlignment="1">
      <alignment horizontal="center" vertical="center" wrapText="1"/>
    </xf>
    <xf numFmtId="3" fontId="9" fillId="33" borderId="15" xfId="0" applyNumberFormat="1" applyFont="1" applyFill="1" applyBorder="1" applyAlignment="1">
      <alignment vertical="center"/>
    </xf>
    <xf numFmtId="3" fontId="9" fillId="34" borderId="11" xfId="0" applyNumberFormat="1" applyFont="1" applyFill="1" applyBorder="1" applyAlignment="1">
      <alignment vertical="center"/>
    </xf>
    <xf numFmtId="3" fontId="7" fillId="34" borderId="13" xfId="0" applyNumberFormat="1" applyFont="1" applyFill="1" applyBorder="1" applyAlignment="1">
      <alignment vertical="center"/>
    </xf>
    <xf numFmtId="3" fontId="9" fillId="34" borderId="13" xfId="0" applyNumberFormat="1" applyFont="1" applyFill="1" applyBorder="1" applyAlignment="1">
      <alignment vertical="center"/>
    </xf>
    <xf numFmtId="3" fontId="9" fillId="34" borderId="15" xfId="0" applyNumberFormat="1" applyFont="1" applyFill="1" applyBorder="1" applyAlignment="1">
      <alignment vertical="center"/>
    </xf>
    <xf numFmtId="3" fontId="9" fillId="35" borderId="11" xfId="0" applyNumberFormat="1" applyFont="1" applyFill="1" applyBorder="1" applyAlignment="1">
      <alignment vertical="center"/>
    </xf>
    <xf numFmtId="3" fontId="7" fillId="35" borderId="13" xfId="0" applyNumberFormat="1" applyFont="1" applyFill="1" applyBorder="1" applyAlignment="1">
      <alignment vertical="center"/>
    </xf>
    <xf numFmtId="3" fontId="9" fillId="35" borderId="13" xfId="0" applyNumberFormat="1" applyFont="1" applyFill="1" applyBorder="1" applyAlignment="1">
      <alignment vertical="center"/>
    </xf>
    <xf numFmtId="3" fontId="9" fillId="35" borderId="15" xfId="0" applyNumberFormat="1" applyFont="1" applyFill="1" applyBorder="1" applyAlignment="1">
      <alignment vertical="center"/>
    </xf>
    <xf numFmtId="3" fontId="9" fillId="0" borderId="11" xfId="0" applyNumberFormat="1" applyFont="1" applyBorder="1" applyAlignment="1">
      <alignment vertical="center"/>
    </xf>
    <xf numFmtId="3" fontId="9" fillId="0" borderId="12" xfId="0" applyNumberFormat="1" applyFont="1" applyBorder="1" applyAlignment="1">
      <alignment vertical="center"/>
    </xf>
    <xf numFmtId="3" fontId="7" fillId="0" borderId="13" xfId="0" applyNumberFormat="1" applyFont="1" applyBorder="1" applyAlignment="1">
      <alignment vertical="center"/>
    </xf>
    <xf numFmtId="3" fontId="9" fillId="0" borderId="13" xfId="0" applyNumberFormat="1" applyFont="1" applyBorder="1" applyAlignment="1">
      <alignment vertical="center"/>
    </xf>
    <xf numFmtId="3" fontId="9" fillId="0" borderId="13" xfId="0" applyNumberFormat="1" applyFont="1" applyFill="1" applyBorder="1" applyAlignment="1">
      <alignment vertical="center"/>
    </xf>
    <xf numFmtId="3" fontId="9" fillId="0" borderId="15" xfId="0" applyNumberFormat="1" applyFont="1" applyBorder="1" applyAlignment="1">
      <alignment vertical="center"/>
    </xf>
    <xf numFmtId="3" fontId="9" fillId="0" borderId="14" xfId="0" applyNumberFormat="1" applyFont="1" applyBorder="1" applyAlignment="1">
      <alignment vertical="center"/>
    </xf>
    <xf numFmtId="3" fontId="7" fillId="0" borderId="11" xfId="0" applyNumberFormat="1" applyFont="1" applyFill="1" applyBorder="1" applyAlignment="1">
      <alignment vertical="center"/>
    </xf>
    <xf numFmtId="3" fontId="9" fillId="0" borderId="15" xfId="0" applyNumberFormat="1" applyFont="1" applyFill="1" applyBorder="1" applyAlignment="1">
      <alignment vertical="center"/>
    </xf>
    <xf numFmtId="3" fontId="7" fillId="0" borderId="13" xfId="0" applyNumberFormat="1" applyFont="1" applyFill="1" applyBorder="1" applyAlignment="1">
      <alignment vertical="center"/>
    </xf>
    <xf numFmtId="3" fontId="9" fillId="0" borderId="11" xfId="0" applyNumberFormat="1" applyFont="1" applyFill="1" applyBorder="1" applyAlignment="1">
      <alignment vertical="center"/>
    </xf>
    <xf numFmtId="4" fontId="9" fillId="0" borderId="0" xfId="0" applyNumberFormat="1" applyFont="1" applyAlignment="1">
      <alignment vertical="center"/>
    </xf>
    <xf numFmtId="4" fontId="3"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9" fillId="33" borderId="11" xfId="0" applyNumberFormat="1" applyFont="1" applyFill="1" applyBorder="1" applyAlignment="1">
      <alignment horizontal="center" vertical="center" wrapText="1"/>
    </xf>
    <xf numFmtId="4" fontId="9" fillId="0" borderId="17" xfId="0" applyNumberFormat="1" applyFont="1" applyBorder="1" applyAlignment="1">
      <alignment vertical="center" wrapText="1"/>
    </xf>
    <xf numFmtId="0" fontId="7" fillId="0" borderId="12" xfId="0" applyFont="1" applyBorder="1" applyAlignment="1">
      <alignment vertical="center"/>
    </xf>
    <xf numFmtId="164" fontId="9" fillId="0" borderId="18" xfId="0" applyNumberFormat="1" applyFont="1" applyBorder="1" applyAlignment="1">
      <alignment horizontal="center" vertical="center"/>
    </xf>
    <xf numFmtId="164" fontId="9" fillId="0" borderId="17" xfId="0" applyNumberFormat="1" applyFont="1" applyBorder="1" applyAlignment="1">
      <alignment horizontal="center" vertical="center"/>
    </xf>
    <xf numFmtId="0" fontId="7" fillId="0" borderId="16" xfId="0" applyFont="1" applyBorder="1" applyAlignment="1">
      <alignment vertical="center"/>
    </xf>
    <xf numFmtId="164" fontId="9" fillId="0" borderId="19" xfId="0" applyNumberFormat="1" applyFont="1" applyBorder="1" applyAlignment="1">
      <alignment horizontal="center" vertical="center"/>
    </xf>
    <xf numFmtId="4" fontId="7" fillId="0" borderId="12" xfId="0" applyNumberFormat="1" applyFont="1" applyBorder="1" applyAlignment="1">
      <alignment vertical="center"/>
    </xf>
    <xf numFmtId="4" fontId="9" fillId="0" borderId="18" xfId="0" applyNumberFormat="1" applyFont="1" applyBorder="1" applyAlignment="1">
      <alignment vertical="center"/>
    </xf>
    <xf numFmtId="4" fontId="9" fillId="0" borderId="17" xfId="0" applyNumberFormat="1" applyFont="1" applyBorder="1" applyAlignment="1">
      <alignment vertical="center"/>
    </xf>
    <xf numFmtId="4" fontId="9" fillId="0" borderId="19" xfId="0" applyNumberFormat="1" applyFont="1" applyBorder="1" applyAlignment="1">
      <alignment vertical="center"/>
    </xf>
    <xf numFmtId="164" fontId="9" fillId="0" borderId="14" xfId="0" applyNumberFormat="1" applyFont="1" applyBorder="1" applyAlignment="1">
      <alignment horizontal="center" vertical="center"/>
    </xf>
    <xf numFmtId="164" fontId="9" fillId="0" borderId="16" xfId="0" applyNumberFormat="1" applyFont="1" applyBorder="1" applyAlignment="1">
      <alignment horizontal="center" vertical="center"/>
    </xf>
    <xf numFmtId="0" fontId="14" fillId="0" borderId="17" xfId="0" applyFont="1" applyBorder="1" applyAlignment="1">
      <alignment wrapText="1"/>
    </xf>
    <xf numFmtId="0" fontId="14" fillId="0" borderId="17" xfId="0" applyFont="1" applyBorder="1" applyAlignment="1">
      <alignment vertical="center" wrapText="1"/>
    </xf>
    <xf numFmtId="4" fontId="7" fillId="37" borderId="13" xfId="0" applyNumberFormat="1" applyFont="1" applyFill="1" applyBorder="1" applyAlignment="1">
      <alignment vertical="center"/>
    </xf>
    <xf numFmtId="0" fontId="7" fillId="36" borderId="13" xfId="0" applyFont="1" applyFill="1" applyBorder="1" applyAlignment="1">
      <alignment horizontal="center" vertical="center"/>
    </xf>
    <xf numFmtId="0" fontId="9" fillId="36" borderId="13" xfId="0" applyFont="1" applyFill="1" applyBorder="1" applyAlignment="1">
      <alignment horizontal="center" vertical="center"/>
    </xf>
    <xf numFmtId="0" fontId="9" fillId="36" borderId="13" xfId="0" applyFont="1" applyFill="1" applyBorder="1" applyAlignment="1">
      <alignment vertical="center"/>
    </xf>
    <xf numFmtId="4" fontId="7" fillId="36" borderId="13" xfId="0" applyNumberFormat="1" applyFont="1" applyFill="1" applyBorder="1" applyAlignment="1">
      <alignment vertical="center"/>
    </xf>
    <xf numFmtId="164" fontId="7" fillId="36" borderId="13" xfId="0" applyNumberFormat="1" applyFont="1" applyFill="1" applyBorder="1" applyAlignment="1">
      <alignment horizontal="center" vertical="center"/>
    </xf>
    <xf numFmtId="0" fontId="9" fillId="36" borderId="14" xfId="0" applyFont="1" applyFill="1" applyBorder="1" applyAlignment="1">
      <alignment vertical="center"/>
    </xf>
    <xf numFmtId="49" fontId="9" fillId="36" borderId="14" xfId="0" applyNumberFormat="1" applyFont="1" applyFill="1" applyBorder="1" applyAlignment="1">
      <alignment vertical="center"/>
    </xf>
    <xf numFmtId="164" fontId="9" fillId="36" borderId="13" xfId="0" applyNumberFormat="1" applyFont="1" applyFill="1" applyBorder="1" applyAlignment="1">
      <alignment horizontal="center" vertical="center"/>
    </xf>
    <xf numFmtId="0" fontId="9" fillId="36" borderId="15" xfId="0" applyFont="1" applyFill="1" applyBorder="1" applyAlignment="1">
      <alignment vertical="center"/>
    </xf>
    <xf numFmtId="0" fontId="9" fillId="36" borderId="16" xfId="0" applyFont="1" applyFill="1" applyBorder="1" applyAlignment="1">
      <alignment vertical="center"/>
    </xf>
    <xf numFmtId="0" fontId="9" fillId="36" borderId="15" xfId="0" applyFont="1" applyFill="1" applyBorder="1" applyAlignment="1">
      <alignment horizontal="center" vertical="center"/>
    </xf>
    <xf numFmtId="164" fontId="9" fillId="36" borderId="15" xfId="0" applyNumberFormat="1" applyFont="1" applyFill="1" applyBorder="1" applyAlignment="1">
      <alignment horizontal="center" vertical="center"/>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0" fontId="9" fillId="35" borderId="11" xfId="0" applyFont="1" applyFill="1" applyBorder="1" applyAlignment="1">
      <alignment horizontal="right" vertical="center"/>
    </xf>
    <xf numFmtId="4" fontId="9" fillId="35" borderId="11" xfId="0" applyNumberFormat="1" applyFont="1" applyFill="1" applyBorder="1" applyAlignment="1">
      <alignment horizontal="right" vertical="center"/>
    </xf>
    <xf numFmtId="164" fontId="9" fillId="35" borderId="11" xfId="0" applyNumberFormat="1" applyFont="1" applyFill="1" applyBorder="1" applyAlignment="1">
      <alignment horizontal="right" vertical="center"/>
    </xf>
    <xf numFmtId="4" fontId="7" fillId="35" borderId="13" xfId="0" applyNumberFormat="1" applyFont="1" applyFill="1" applyBorder="1" applyAlignment="1">
      <alignment horizontal="right" vertical="center"/>
    </xf>
    <xf numFmtId="0" fontId="9" fillId="35" borderId="15" xfId="0" applyFont="1" applyFill="1" applyBorder="1" applyAlignment="1">
      <alignment horizontal="right" vertical="center"/>
    </xf>
    <xf numFmtId="4" fontId="9" fillId="35" borderId="15" xfId="0" applyNumberFormat="1" applyFont="1" applyFill="1" applyBorder="1" applyAlignment="1">
      <alignment horizontal="right" vertical="center"/>
    </xf>
    <xf numFmtId="0" fontId="9" fillId="0" borderId="12" xfId="0" applyFont="1" applyBorder="1" applyAlignment="1">
      <alignment horizontal="right" vertical="center"/>
    </xf>
    <xf numFmtId="4" fontId="9" fillId="0" borderId="12" xfId="0" applyNumberFormat="1" applyFont="1" applyBorder="1" applyAlignment="1">
      <alignment horizontal="right" vertical="center"/>
    </xf>
    <xf numFmtId="0" fontId="9" fillId="0" borderId="14" xfId="0" applyFont="1" applyBorder="1" applyAlignment="1">
      <alignment horizontal="left" vertical="center"/>
    </xf>
    <xf numFmtId="4" fontId="7" fillId="0" borderId="13" xfId="0" applyNumberFormat="1" applyFont="1" applyBorder="1" applyAlignment="1">
      <alignment horizontal="right" vertical="center"/>
    </xf>
    <xf numFmtId="164" fontId="9" fillId="0" borderId="13" xfId="0" applyNumberFormat="1" applyFont="1" applyBorder="1" applyAlignment="1">
      <alignment horizontal="right" vertical="center"/>
    </xf>
    <xf numFmtId="4" fontId="9" fillId="0" borderId="13" xfId="0" applyNumberFormat="1" applyFont="1" applyFill="1" applyBorder="1" applyAlignment="1">
      <alignment horizontal="right" vertical="center"/>
    </xf>
    <xf numFmtId="0" fontId="9" fillId="0" borderId="16" xfId="0" applyFont="1" applyBorder="1" applyAlignment="1">
      <alignment horizontal="right" vertical="center"/>
    </xf>
    <xf numFmtId="164" fontId="9" fillId="0" borderId="15" xfId="0" applyNumberFormat="1" applyFont="1" applyBorder="1" applyAlignment="1">
      <alignment horizontal="right" vertical="center"/>
    </xf>
    <xf numFmtId="4" fontId="9" fillId="0" borderId="16" xfId="0" applyNumberFormat="1" applyFont="1" applyBorder="1" applyAlignment="1">
      <alignment horizontal="right" vertical="center"/>
    </xf>
    <xf numFmtId="3" fontId="9" fillId="0" borderId="13" xfId="0" applyNumberFormat="1" applyFont="1" applyBorder="1" applyAlignment="1">
      <alignment horizontal="center" vertical="center" wrapText="1"/>
    </xf>
    <xf numFmtId="0" fontId="9" fillId="35" borderId="13" xfId="0" applyFont="1" applyFill="1" applyBorder="1" applyAlignment="1">
      <alignment horizontal="center" vertical="center" wrapText="1"/>
    </xf>
    <xf numFmtId="0" fontId="9" fillId="38" borderId="0" xfId="0" applyFont="1" applyFill="1" applyBorder="1" applyAlignment="1">
      <alignment vertical="center"/>
    </xf>
    <xf numFmtId="0" fontId="59" fillId="35" borderId="16" xfId="0" applyFont="1" applyFill="1" applyBorder="1" applyAlignment="1">
      <alignment vertical="center"/>
    </xf>
    <xf numFmtId="0" fontId="59" fillId="35" borderId="15" xfId="0" applyFont="1" applyFill="1" applyBorder="1" applyAlignment="1">
      <alignment horizontal="center" vertical="center"/>
    </xf>
    <xf numFmtId="0" fontId="59" fillId="35" borderId="15" xfId="0" applyFont="1" applyFill="1" applyBorder="1" applyAlignment="1">
      <alignment horizontal="center" vertical="center" wrapText="1"/>
    </xf>
    <xf numFmtId="3" fontId="59" fillId="35" borderId="15" xfId="0" applyNumberFormat="1" applyFont="1" applyFill="1" applyBorder="1" applyAlignment="1">
      <alignment vertical="center"/>
    </xf>
    <xf numFmtId="164" fontId="59" fillId="35" borderId="15" xfId="0" applyNumberFormat="1" applyFont="1" applyFill="1" applyBorder="1" applyAlignment="1">
      <alignment horizontal="center" vertical="center"/>
    </xf>
    <xf numFmtId="3" fontId="59" fillId="35" borderId="19" xfId="0" applyNumberFormat="1" applyFont="1" applyFill="1" applyBorder="1" applyAlignment="1">
      <alignment vertical="center"/>
    </xf>
    <xf numFmtId="4" fontId="59" fillId="35" borderId="15" xfId="0" applyNumberFormat="1" applyFont="1" applyFill="1" applyBorder="1" applyAlignment="1">
      <alignment vertical="center"/>
    </xf>
    <xf numFmtId="4" fontId="60" fillId="38" borderId="15" xfId="0" applyNumberFormat="1" applyFont="1" applyFill="1" applyBorder="1" applyAlignment="1">
      <alignment vertical="center" wrapText="1"/>
    </xf>
    <xf numFmtId="0" fontId="59" fillId="0" borderId="11" xfId="0" applyFont="1" applyBorder="1" applyAlignment="1">
      <alignment horizontal="center" vertical="center"/>
    </xf>
    <xf numFmtId="0" fontId="59" fillId="0" borderId="11" xfId="0" applyFont="1" applyBorder="1" applyAlignment="1">
      <alignment horizontal="center" vertical="center" wrapText="1"/>
    </xf>
    <xf numFmtId="3" fontId="59" fillId="0" borderId="12" xfId="0" applyNumberFormat="1" applyFont="1" applyBorder="1" applyAlignment="1">
      <alignment vertical="center"/>
    </xf>
    <xf numFmtId="164" fontId="59" fillId="0" borderId="13" xfId="0" applyNumberFormat="1" applyFont="1" applyBorder="1" applyAlignment="1">
      <alignment horizontal="center" vertical="center"/>
    </xf>
    <xf numFmtId="3" fontId="59" fillId="0" borderId="11" xfId="0" applyNumberFormat="1" applyFont="1" applyBorder="1" applyAlignment="1">
      <alignment vertical="center"/>
    </xf>
    <xf numFmtId="4" fontId="59" fillId="0" borderId="12" xfId="0" applyNumberFormat="1" applyFont="1" applyBorder="1" applyAlignment="1">
      <alignment vertical="center"/>
    </xf>
    <xf numFmtId="4" fontId="60" fillId="0" borderId="11" xfId="0" applyNumberFormat="1" applyFont="1" applyFill="1" applyBorder="1" applyAlignment="1">
      <alignment vertical="center" wrapText="1"/>
    </xf>
    <xf numFmtId="0" fontId="59" fillId="0" borderId="16" xfId="0" applyFont="1" applyBorder="1" applyAlignment="1">
      <alignment vertical="center"/>
    </xf>
    <xf numFmtId="0" fontId="59" fillId="0" borderId="15" xfId="0" applyFont="1" applyBorder="1" applyAlignment="1">
      <alignment horizontal="center" vertical="center" wrapText="1"/>
    </xf>
    <xf numFmtId="49" fontId="59" fillId="0" borderId="16" xfId="0" applyNumberFormat="1" applyFont="1" applyBorder="1" applyAlignment="1">
      <alignment vertical="center"/>
    </xf>
    <xf numFmtId="3" fontId="59" fillId="0" borderId="16" xfId="0" applyNumberFormat="1" applyFont="1" applyBorder="1" applyAlignment="1">
      <alignment vertical="center"/>
    </xf>
    <xf numFmtId="164" fontId="59" fillId="0" borderId="15" xfId="0" applyNumberFormat="1" applyFont="1" applyBorder="1" applyAlignment="1">
      <alignment horizontal="center" vertical="center"/>
    </xf>
    <xf numFmtId="3" fontId="59" fillId="0" borderId="15" xfId="0" applyNumberFormat="1" applyFont="1" applyBorder="1" applyAlignment="1">
      <alignment vertical="center"/>
    </xf>
    <xf numFmtId="4" fontId="59" fillId="0" borderId="16" xfId="0" applyNumberFormat="1" applyFont="1" applyFill="1" applyBorder="1" applyAlignment="1">
      <alignment vertical="center"/>
    </xf>
    <xf numFmtId="164" fontId="59" fillId="0" borderId="11" xfId="0" applyNumberFormat="1" applyFont="1" applyBorder="1" applyAlignment="1">
      <alignment horizontal="center" vertical="center"/>
    </xf>
    <xf numFmtId="3" fontId="9" fillId="0" borderId="0" xfId="0" applyNumberFormat="1" applyFont="1" applyBorder="1" applyAlignment="1">
      <alignment vertical="center"/>
    </xf>
    <xf numFmtId="0" fontId="59" fillId="0" borderId="14" xfId="0" applyFont="1" applyBorder="1" applyAlignment="1">
      <alignment vertical="center"/>
    </xf>
    <xf numFmtId="0" fontId="59" fillId="0" borderId="12" xfId="0" applyFont="1" applyFill="1" applyBorder="1" applyAlignment="1">
      <alignment vertical="center"/>
    </xf>
    <xf numFmtId="3" fontId="9" fillId="0" borderId="13" xfId="0" applyNumberFormat="1" applyFont="1" applyBorder="1" applyAlignment="1">
      <alignment horizontal="right" vertical="center" wrapText="1"/>
    </xf>
    <xf numFmtId="43" fontId="9" fillId="0" borderId="13" xfId="0" applyNumberFormat="1" applyFont="1" applyFill="1" applyBorder="1" applyAlignment="1">
      <alignment horizontal="right" vertical="center" wrapText="1"/>
    </xf>
    <xf numFmtId="4" fontId="9" fillId="0" borderId="13" xfId="0" applyNumberFormat="1" applyFont="1" applyFill="1" applyBorder="1" applyAlignment="1">
      <alignment horizontal="right" vertical="center" wrapText="1"/>
    </xf>
    <xf numFmtId="41" fontId="9" fillId="0" borderId="13" xfId="0" applyNumberFormat="1" applyFont="1" applyBorder="1" applyAlignment="1">
      <alignment horizontal="right" vertical="center" wrapText="1"/>
    </xf>
    <xf numFmtId="3" fontId="9" fillId="0" borderId="16" xfId="0" applyNumberFormat="1" applyFont="1" applyBorder="1" applyAlignment="1">
      <alignment vertical="center"/>
    </xf>
    <xf numFmtId="172" fontId="9" fillId="0" borderId="13" xfId="0" applyNumberFormat="1" applyFont="1" applyBorder="1" applyAlignment="1">
      <alignment horizontal="right" vertical="center" wrapText="1"/>
    </xf>
    <xf numFmtId="3" fontId="59" fillId="0" borderId="13" xfId="0" applyNumberFormat="1" applyFont="1" applyBorder="1" applyAlignment="1">
      <alignment vertical="center"/>
    </xf>
    <xf numFmtId="43" fontId="59" fillId="0" borderId="13" xfId="0" applyNumberFormat="1" applyFont="1" applyFill="1" applyBorder="1" applyAlignment="1">
      <alignment horizontal="right" vertical="center" wrapText="1"/>
    </xf>
    <xf numFmtId="1" fontId="9" fillId="0" borderId="13" xfId="0" applyNumberFormat="1" applyFont="1" applyBorder="1" applyAlignment="1">
      <alignment horizontal="right" vertical="center" wrapText="1"/>
    </xf>
    <xf numFmtId="172" fontId="9" fillId="0" borderId="13" xfId="0" applyNumberFormat="1" applyFont="1" applyBorder="1" applyAlignment="1">
      <alignment horizontal="right" wrapText="1"/>
    </xf>
    <xf numFmtId="0" fontId="59" fillId="0" borderId="13"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0" fontId="59" fillId="0" borderId="11" xfId="0" applyFont="1" applyBorder="1" applyAlignment="1">
      <alignment horizontal="center" vertical="center"/>
    </xf>
    <xf numFmtId="3" fontId="59" fillId="0" borderId="13" xfId="0" applyNumberFormat="1" applyFont="1" applyFill="1" applyBorder="1" applyAlignment="1">
      <alignment vertical="center"/>
    </xf>
    <xf numFmtId="3" fontId="61" fillId="36" borderId="11" xfId="0" applyNumberFormat="1" applyFont="1" applyFill="1" applyBorder="1" applyAlignment="1">
      <alignment vertical="center"/>
    </xf>
    <xf numFmtId="3" fontId="61" fillId="36" borderId="13" xfId="0" applyNumberFormat="1" applyFont="1" applyFill="1" applyBorder="1" applyAlignment="1">
      <alignment vertical="center"/>
    </xf>
    <xf numFmtId="3" fontId="61" fillId="36" borderId="15" xfId="0" applyNumberFormat="1" applyFont="1" applyFill="1" applyBorder="1" applyAlignment="1">
      <alignment vertical="center"/>
    </xf>
    <xf numFmtId="3" fontId="7" fillId="0" borderId="14" xfId="0" applyNumberFormat="1" applyFont="1" applyBorder="1" applyAlignment="1">
      <alignment vertical="center"/>
    </xf>
    <xf numFmtId="0" fontId="59" fillId="0" borderId="11" xfId="0" applyFont="1" applyBorder="1" applyAlignment="1">
      <alignment vertical="center"/>
    </xf>
    <xf numFmtId="4" fontId="59" fillId="0" borderId="15" xfId="0" applyNumberFormat="1" applyFont="1" applyBorder="1" applyAlignment="1">
      <alignment vertical="center"/>
    </xf>
    <xf numFmtId="4" fontId="59" fillId="0" borderId="20" xfId="0" applyNumberFormat="1" applyFont="1" applyBorder="1" applyAlignment="1">
      <alignment vertical="center"/>
    </xf>
    <xf numFmtId="4" fontId="59" fillId="0" borderId="21" xfId="0" applyNumberFormat="1" applyFont="1" applyFill="1" applyBorder="1" applyAlignment="1">
      <alignment vertical="center"/>
    </xf>
    <xf numFmtId="4" fontId="7" fillId="0" borderId="14" xfId="0" applyNumberFormat="1" applyFont="1" applyBorder="1" applyAlignment="1">
      <alignment vertical="center"/>
    </xf>
    <xf numFmtId="0" fontId="9" fillId="36" borderId="11" xfId="0" applyFont="1" applyFill="1" applyBorder="1" applyAlignment="1">
      <alignment vertical="center"/>
    </xf>
    <xf numFmtId="0" fontId="59" fillId="36" borderId="15" xfId="0" applyFont="1" applyFill="1" applyBorder="1" applyAlignment="1">
      <alignment vertical="center"/>
    </xf>
    <xf numFmtId="3" fontId="7" fillId="0" borderId="13" xfId="0" applyNumberFormat="1" applyFont="1" applyBorder="1" applyAlignment="1">
      <alignment horizontal="center" vertical="center"/>
    </xf>
    <xf numFmtId="164" fontId="9" fillId="0" borderId="12" xfId="0" applyNumberFormat="1" applyFont="1" applyBorder="1" applyAlignment="1">
      <alignment horizontal="center" vertical="center"/>
    </xf>
    <xf numFmtId="164" fontId="9" fillId="0" borderId="13" xfId="0" applyNumberFormat="1" applyFont="1" applyBorder="1" applyAlignment="1">
      <alignment horizontal="center" vertical="center" wrapText="1"/>
    </xf>
    <xf numFmtId="164" fontId="59" fillId="0" borderId="13" xfId="0" applyNumberFormat="1" applyFont="1" applyBorder="1" applyAlignment="1">
      <alignment horizontal="center" vertical="center" wrapText="1"/>
    </xf>
    <xf numFmtId="172" fontId="9" fillId="0" borderId="13" xfId="0" applyNumberFormat="1" applyFont="1" applyBorder="1" applyAlignment="1">
      <alignment vertical="center" wrapText="1"/>
    </xf>
    <xf numFmtId="164" fontId="59" fillId="0" borderId="13" xfId="0" applyNumberFormat="1" applyFont="1" applyFill="1" applyBorder="1" applyAlignment="1">
      <alignment horizontal="center" vertical="center"/>
    </xf>
    <xf numFmtId="0" fontId="15" fillId="35" borderId="11" xfId="52" applyFont="1" applyFill="1" applyBorder="1" applyAlignment="1">
      <alignment vertical="center"/>
      <protection/>
    </xf>
    <xf numFmtId="0" fontId="15" fillId="35" borderId="12" xfId="52" applyFont="1" applyFill="1" applyBorder="1" applyAlignment="1">
      <alignment vertical="center"/>
      <protection/>
    </xf>
    <xf numFmtId="0" fontId="15" fillId="35" borderId="11" xfId="52" applyFont="1" applyFill="1" applyBorder="1" applyAlignment="1">
      <alignment horizontal="center" vertical="center"/>
      <protection/>
    </xf>
    <xf numFmtId="164" fontId="15" fillId="35" borderId="13" xfId="52" applyNumberFormat="1" applyFont="1" applyFill="1" applyBorder="1" applyAlignment="1">
      <alignment horizontal="center" vertical="center"/>
      <protection/>
    </xf>
    <xf numFmtId="3" fontId="15" fillId="35" borderId="11" xfId="52" applyNumberFormat="1" applyFont="1" applyFill="1" applyBorder="1" applyAlignment="1">
      <alignment vertical="center"/>
      <protection/>
    </xf>
    <xf numFmtId="4" fontId="15" fillId="35" borderId="11" xfId="52" applyNumberFormat="1" applyFont="1" applyFill="1" applyBorder="1" applyAlignment="1">
      <alignment vertical="center"/>
      <protection/>
    </xf>
    <xf numFmtId="164" fontId="15" fillId="35" borderId="11" xfId="52" applyNumberFormat="1" applyFont="1" applyFill="1" applyBorder="1" applyAlignment="1">
      <alignment horizontal="center" vertical="center"/>
      <protection/>
    </xf>
    <xf numFmtId="0" fontId="13" fillId="35" borderId="13" xfId="52" applyFont="1" applyFill="1" applyBorder="1" applyAlignment="1">
      <alignment horizontal="center" vertical="center"/>
      <protection/>
    </xf>
    <xf numFmtId="0" fontId="15" fillId="35" borderId="13" xfId="52" applyFont="1" applyFill="1" applyBorder="1" applyAlignment="1">
      <alignment horizontal="center" vertical="center"/>
      <protection/>
    </xf>
    <xf numFmtId="0" fontId="15" fillId="35" borderId="13" xfId="52" applyFont="1" applyFill="1" applyBorder="1" applyAlignment="1">
      <alignment vertical="center"/>
      <protection/>
    </xf>
    <xf numFmtId="4" fontId="13" fillId="35" borderId="13" xfId="52" applyNumberFormat="1" applyFont="1" applyFill="1" applyBorder="1" applyAlignment="1">
      <alignment vertical="center"/>
      <protection/>
    </xf>
    <xf numFmtId="164" fontId="13" fillId="35" borderId="13" xfId="52" applyNumberFormat="1" applyFont="1" applyFill="1" applyBorder="1" applyAlignment="1">
      <alignment horizontal="center" vertical="center"/>
      <protection/>
    </xf>
    <xf numFmtId="3" fontId="13" fillId="35" borderId="13" xfId="52" applyNumberFormat="1" applyFont="1" applyFill="1" applyBorder="1" applyAlignment="1">
      <alignment vertical="center"/>
      <protection/>
    </xf>
    <xf numFmtId="49" fontId="15" fillId="35" borderId="14" xfId="52" applyNumberFormat="1" applyFont="1" applyFill="1" applyBorder="1" applyAlignment="1">
      <alignment vertical="center" wrapText="1"/>
      <protection/>
    </xf>
    <xf numFmtId="4" fontId="15" fillId="35" borderId="13" xfId="52" applyNumberFormat="1" applyFont="1" applyFill="1" applyBorder="1" applyAlignment="1">
      <alignment vertical="center"/>
      <protection/>
    </xf>
    <xf numFmtId="3" fontId="15" fillId="35" borderId="13" xfId="52" applyNumberFormat="1" applyFont="1" applyFill="1" applyBorder="1" applyAlignment="1">
      <alignment vertical="center"/>
      <protection/>
    </xf>
    <xf numFmtId="49" fontId="15" fillId="35" borderId="14" xfId="52" applyNumberFormat="1" applyFont="1" applyFill="1" applyBorder="1" applyAlignment="1">
      <alignment vertical="center"/>
      <protection/>
    </xf>
    <xf numFmtId="0" fontId="15" fillId="35" borderId="15" xfId="52" applyFont="1" applyFill="1" applyBorder="1" applyAlignment="1">
      <alignment vertical="center"/>
      <protection/>
    </xf>
    <xf numFmtId="0" fontId="15" fillId="35" borderId="16" xfId="52" applyFont="1" applyFill="1" applyBorder="1" applyAlignment="1">
      <alignment vertical="center"/>
      <protection/>
    </xf>
    <xf numFmtId="0" fontId="15" fillId="35" borderId="15" xfId="52" applyFont="1" applyFill="1" applyBorder="1" applyAlignment="1">
      <alignment horizontal="center" vertical="center"/>
      <protection/>
    </xf>
    <xf numFmtId="164" fontId="15" fillId="35" borderId="15" xfId="52" applyNumberFormat="1" applyFont="1" applyFill="1" applyBorder="1" applyAlignment="1">
      <alignment horizontal="center" vertical="center"/>
      <protection/>
    </xf>
    <xf numFmtId="3" fontId="15" fillId="35" borderId="15" xfId="52" applyNumberFormat="1" applyFont="1" applyFill="1" applyBorder="1" applyAlignment="1">
      <alignment vertical="center"/>
      <protection/>
    </xf>
    <xf numFmtId="4" fontId="15" fillId="35" borderId="15" xfId="52" applyNumberFormat="1" applyFont="1" applyFill="1" applyBorder="1" applyAlignment="1">
      <alignment vertical="center"/>
      <protection/>
    </xf>
    <xf numFmtId="0" fontId="15" fillId="0" borderId="11" xfId="52" applyFont="1" applyBorder="1" applyAlignment="1">
      <alignment horizontal="center" vertical="center"/>
      <protection/>
    </xf>
    <xf numFmtId="0" fontId="15" fillId="0" borderId="12" xfId="52" applyFont="1" applyBorder="1" applyAlignment="1">
      <alignment vertical="center"/>
      <protection/>
    </xf>
    <xf numFmtId="164" fontId="15" fillId="0" borderId="11" xfId="52" applyNumberFormat="1" applyFont="1" applyBorder="1" applyAlignment="1">
      <alignment horizontal="center" vertical="center"/>
      <protection/>
    </xf>
    <xf numFmtId="3" fontId="15" fillId="0" borderId="11" xfId="52" applyNumberFormat="1" applyFont="1" applyBorder="1" applyAlignment="1">
      <alignment vertical="center"/>
      <protection/>
    </xf>
    <xf numFmtId="4" fontId="15" fillId="0" borderId="12" xfId="52" applyNumberFormat="1" applyFont="1" applyBorder="1" applyAlignment="1">
      <alignment vertical="center"/>
      <protection/>
    </xf>
    <xf numFmtId="0" fontId="15" fillId="0" borderId="14" xfId="52" applyFont="1" applyBorder="1" applyAlignment="1">
      <alignment vertical="center" wrapText="1"/>
      <protection/>
    </xf>
    <xf numFmtId="0" fontId="13" fillId="0" borderId="13" xfId="52" applyFont="1" applyBorder="1" applyAlignment="1">
      <alignment vertical="center" wrapText="1"/>
      <protection/>
    </xf>
    <xf numFmtId="4" fontId="13" fillId="0" borderId="13" xfId="52" applyNumberFormat="1" applyFont="1" applyBorder="1" applyAlignment="1">
      <alignment vertical="center"/>
      <protection/>
    </xf>
    <xf numFmtId="164" fontId="13" fillId="0" borderId="13" xfId="52" applyNumberFormat="1" applyFont="1" applyBorder="1" applyAlignment="1">
      <alignment horizontal="center" vertical="center"/>
      <protection/>
    </xf>
    <xf numFmtId="3" fontId="13" fillId="0" borderId="13" xfId="52" applyNumberFormat="1" applyFont="1" applyBorder="1" applyAlignment="1">
      <alignment vertical="center"/>
      <protection/>
    </xf>
    <xf numFmtId="0" fontId="15" fillId="0" borderId="14" xfId="52" applyFont="1" applyBorder="1" applyAlignment="1">
      <alignment vertical="center"/>
      <protection/>
    </xf>
    <xf numFmtId="49" fontId="15" fillId="0" borderId="13" xfId="52" applyNumberFormat="1" applyFont="1" applyBorder="1" applyAlignment="1">
      <alignment vertical="center" wrapText="1"/>
      <protection/>
    </xf>
    <xf numFmtId="2" fontId="15" fillId="0" borderId="13" xfId="52" applyNumberFormat="1" applyFont="1" applyBorder="1" applyAlignment="1">
      <alignment horizontal="right" vertical="center"/>
      <protection/>
    </xf>
    <xf numFmtId="164" fontId="15" fillId="0" borderId="13" xfId="52" applyNumberFormat="1" applyFont="1" applyBorder="1" applyAlignment="1">
      <alignment horizontal="center" vertical="center"/>
      <protection/>
    </xf>
    <xf numFmtId="3" fontId="15" fillId="0" borderId="13" xfId="52" applyNumberFormat="1" applyFont="1" applyBorder="1" applyAlignment="1">
      <alignment vertical="center"/>
      <protection/>
    </xf>
    <xf numFmtId="4" fontId="15" fillId="0" borderId="13" xfId="52" applyNumberFormat="1" applyFont="1" applyBorder="1" applyAlignment="1">
      <alignment vertical="center"/>
      <protection/>
    </xf>
    <xf numFmtId="0" fontId="15" fillId="0" borderId="16" xfId="52" applyFont="1" applyBorder="1" applyAlignment="1">
      <alignment vertical="center"/>
      <protection/>
    </xf>
    <xf numFmtId="49" fontId="15" fillId="0" borderId="15" xfId="52" applyNumberFormat="1" applyFont="1" applyBorder="1" applyAlignment="1">
      <alignment vertical="center"/>
      <protection/>
    </xf>
    <xf numFmtId="164" fontId="15" fillId="0" borderId="15" xfId="52" applyNumberFormat="1" applyFont="1" applyBorder="1" applyAlignment="1">
      <alignment horizontal="center" vertical="center"/>
      <protection/>
    </xf>
    <xf numFmtId="3" fontId="15" fillId="0" borderId="15" xfId="52" applyNumberFormat="1" applyFont="1" applyBorder="1" applyAlignment="1">
      <alignment vertical="center"/>
      <protection/>
    </xf>
    <xf numFmtId="4" fontId="15" fillId="0" borderId="15" xfId="52" applyNumberFormat="1" applyFont="1" applyFill="1" applyBorder="1" applyAlignment="1">
      <alignment vertical="center"/>
      <protection/>
    </xf>
    <xf numFmtId="3" fontId="9" fillId="0" borderId="13" xfId="0" applyNumberFormat="1" applyFont="1" applyBorder="1" applyAlignment="1">
      <alignment horizontal="right" vertical="center"/>
    </xf>
    <xf numFmtId="3" fontId="7" fillId="0" borderId="13" xfId="0" applyNumberFormat="1" applyFont="1" applyBorder="1" applyAlignment="1">
      <alignment horizontal="right" vertical="center"/>
    </xf>
    <xf numFmtId="3" fontId="9" fillId="0" borderId="13" xfId="0" applyNumberFormat="1" applyFont="1" applyBorder="1" applyAlignment="1">
      <alignment horizontal="center" vertical="center"/>
    </xf>
    <xf numFmtId="3" fontId="9" fillId="0" borderId="16" xfId="0" applyNumberFormat="1" applyFont="1" applyBorder="1" applyAlignment="1">
      <alignment horizontal="right" vertical="center"/>
    </xf>
    <xf numFmtId="3" fontId="9" fillId="0" borderId="15" xfId="0" applyNumberFormat="1" applyFont="1" applyBorder="1" applyAlignment="1">
      <alignment horizontal="center" vertical="center"/>
    </xf>
    <xf numFmtId="3" fontId="9" fillId="0" borderId="12" xfId="0" applyNumberFormat="1" applyFont="1" applyBorder="1" applyAlignment="1">
      <alignment horizontal="right" vertical="center"/>
    </xf>
    <xf numFmtId="3" fontId="9" fillId="0" borderId="11" xfId="0" applyNumberFormat="1" applyFont="1" applyBorder="1" applyAlignment="1">
      <alignment horizontal="center" vertical="center"/>
    </xf>
    <xf numFmtId="4" fontId="7" fillId="0" borderId="11" xfId="0" applyNumberFormat="1" applyFont="1" applyBorder="1" applyAlignment="1">
      <alignment vertical="center"/>
    </xf>
    <xf numFmtId="4" fontId="10" fillId="34" borderId="11" xfId="0" applyNumberFormat="1" applyFont="1" applyFill="1" applyBorder="1" applyAlignment="1">
      <alignment vertical="center"/>
    </xf>
    <xf numFmtId="4" fontId="10" fillId="34" borderId="13" xfId="0" applyNumberFormat="1" applyFont="1" applyFill="1" applyBorder="1" applyAlignment="1">
      <alignment vertical="center"/>
    </xf>
    <xf numFmtId="4" fontId="10" fillId="34" borderId="15" xfId="0" applyNumberFormat="1" applyFont="1" applyFill="1" applyBorder="1" applyAlignment="1">
      <alignment vertical="center"/>
    </xf>
    <xf numFmtId="3" fontId="9" fillId="0" borderId="18" xfId="0" applyNumberFormat="1" applyFont="1" applyBorder="1" applyAlignment="1">
      <alignment vertical="center"/>
    </xf>
    <xf numFmtId="3" fontId="9" fillId="0" borderId="17" xfId="0" applyNumberFormat="1" applyFont="1" applyBorder="1" applyAlignment="1">
      <alignment vertical="center"/>
    </xf>
    <xf numFmtId="3" fontId="9" fillId="0" borderId="19" xfId="0" applyNumberFormat="1" applyFont="1" applyBorder="1" applyAlignment="1">
      <alignment vertical="center"/>
    </xf>
    <xf numFmtId="3" fontId="7" fillId="36" borderId="13" xfId="0" applyNumberFormat="1" applyFont="1" applyFill="1" applyBorder="1" applyAlignment="1">
      <alignment vertical="center"/>
    </xf>
    <xf numFmtId="3" fontId="9" fillId="36" borderId="15" xfId="0" applyNumberFormat="1" applyFont="1" applyFill="1" applyBorder="1" applyAlignment="1">
      <alignment vertical="center"/>
    </xf>
    <xf numFmtId="3" fontId="9" fillId="35" borderId="11" xfId="0" applyNumberFormat="1" applyFont="1" applyFill="1" applyBorder="1" applyAlignment="1">
      <alignment horizontal="right" vertical="center"/>
    </xf>
    <xf numFmtId="3" fontId="7" fillId="35" borderId="13" xfId="0" applyNumberFormat="1" applyFont="1" applyFill="1" applyBorder="1" applyAlignment="1">
      <alignment horizontal="right" vertical="center"/>
    </xf>
    <xf numFmtId="3" fontId="9" fillId="35" borderId="13" xfId="0" applyNumberFormat="1" applyFont="1" applyFill="1" applyBorder="1" applyAlignment="1">
      <alignment horizontal="right" vertical="center"/>
    </xf>
    <xf numFmtId="3" fontId="9" fillId="35" borderId="15" xfId="0" applyNumberFormat="1" applyFont="1" applyFill="1" applyBorder="1" applyAlignment="1">
      <alignment horizontal="right" vertical="center"/>
    </xf>
    <xf numFmtId="3" fontId="9" fillId="0" borderId="11" xfId="0" applyNumberFormat="1" applyFont="1" applyBorder="1" applyAlignment="1">
      <alignment horizontal="right" vertical="center"/>
    </xf>
    <xf numFmtId="3" fontId="9" fillId="0" borderId="15" xfId="0" applyNumberFormat="1" applyFont="1" applyBorder="1" applyAlignment="1">
      <alignment horizontal="right" vertical="center"/>
    </xf>
    <xf numFmtId="3" fontId="7" fillId="0" borderId="11" xfId="0" applyNumberFormat="1" applyFont="1" applyBorder="1" applyAlignment="1">
      <alignment vertical="center"/>
    </xf>
    <xf numFmtId="3" fontId="7" fillId="0" borderId="14" xfId="0" applyNumberFormat="1" applyFont="1" applyFill="1" applyBorder="1" applyAlignment="1">
      <alignment vertical="center"/>
    </xf>
    <xf numFmtId="0" fontId="9" fillId="0" borderId="13" xfId="0" applyFont="1" applyFill="1" applyBorder="1" applyAlignment="1">
      <alignment horizontal="center" vertical="center"/>
    </xf>
    <xf numFmtId="0" fontId="7" fillId="0" borderId="13" xfId="0" applyFont="1" applyFill="1" applyBorder="1" applyAlignment="1">
      <alignment horizontal="center" vertical="center"/>
    </xf>
    <xf numFmtId="4" fontId="9" fillId="37" borderId="13" xfId="0" applyNumberFormat="1" applyFont="1" applyFill="1" applyBorder="1" applyAlignment="1">
      <alignment vertical="center"/>
    </xf>
    <xf numFmtId="4" fontId="9" fillId="0" borderId="13" xfId="0" applyNumberFormat="1" applyFont="1" applyBorder="1" applyAlignment="1">
      <alignment horizontal="right" vertical="center" wrapText="1"/>
    </xf>
    <xf numFmtId="0" fontId="7" fillId="35" borderId="13" xfId="0" applyFont="1" applyFill="1" applyBorder="1" applyAlignment="1">
      <alignment horizontal="center" vertical="center" wrapText="1"/>
    </xf>
    <xf numFmtId="49" fontId="7" fillId="36" borderId="14" xfId="0" applyNumberFormat="1" applyFont="1" applyFill="1" applyBorder="1" applyAlignment="1">
      <alignment vertical="center"/>
    </xf>
    <xf numFmtId="3" fontId="62" fillId="36" borderId="13" xfId="0" applyNumberFormat="1" applyFont="1" applyFill="1" applyBorder="1" applyAlignment="1">
      <alignment vertical="center"/>
    </xf>
    <xf numFmtId="4" fontId="11" fillId="38" borderId="13" xfId="0" applyNumberFormat="1" applyFont="1" applyFill="1" applyBorder="1" applyAlignment="1">
      <alignment vertical="center" wrapText="1"/>
    </xf>
    <xf numFmtId="0" fontId="7" fillId="35" borderId="14" xfId="0" applyFont="1" applyFill="1" applyBorder="1" applyAlignment="1">
      <alignment vertical="center"/>
    </xf>
    <xf numFmtId="0" fontId="7" fillId="35" borderId="11" xfId="0" applyFont="1" applyFill="1" applyBorder="1" applyAlignment="1">
      <alignment horizontal="center" vertical="center"/>
    </xf>
    <xf numFmtId="0" fontId="0" fillId="0" borderId="16" xfId="0" applyBorder="1" applyAlignment="1">
      <alignment/>
    </xf>
    <xf numFmtId="0" fontId="0" fillId="0" borderId="14" xfId="0" applyFont="1" applyBorder="1" applyAlignment="1">
      <alignment/>
    </xf>
    <xf numFmtId="0" fontId="9" fillId="0" borderId="14" xfId="0" applyFont="1" applyBorder="1" applyAlignment="1">
      <alignment vertical="center" wrapText="1"/>
    </xf>
    <xf numFmtId="4" fontId="11" fillId="0" borderId="0" xfId="0" applyNumberFormat="1" applyFont="1" applyAlignment="1">
      <alignment/>
    </xf>
    <xf numFmtId="4" fontId="10" fillId="0" borderId="0" xfId="0" applyNumberFormat="1" applyFont="1" applyAlignment="1">
      <alignment/>
    </xf>
    <xf numFmtId="0" fontId="10" fillId="0" borderId="0" xfId="0" applyFont="1" applyAlignment="1">
      <alignment vertical="center"/>
    </xf>
    <xf numFmtId="49" fontId="10" fillId="33" borderId="18" xfId="0" applyNumberFormat="1" applyFont="1" applyFill="1" applyBorder="1" applyAlignment="1">
      <alignment horizontal="center" vertical="center"/>
    </xf>
    <xf numFmtId="0" fontId="10" fillId="33" borderId="19" xfId="0" applyFont="1" applyFill="1" applyBorder="1" applyAlignment="1">
      <alignment vertical="center"/>
    </xf>
    <xf numFmtId="0" fontId="10" fillId="34" borderId="18" xfId="0" applyFont="1" applyFill="1" applyBorder="1" applyAlignment="1">
      <alignment vertical="center"/>
    </xf>
    <xf numFmtId="0" fontId="10" fillId="34" borderId="17" xfId="0" applyFont="1" applyFill="1" applyBorder="1" applyAlignment="1">
      <alignment vertical="center"/>
    </xf>
    <xf numFmtId="0" fontId="10" fillId="34" borderId="19" xfId="0" applyFont="1" applyFill="1" applyBorder="1" applyAlignment="1">
      <alignment vertical="center"/>
    </xf>
    <xf numFmtId="0" fontId="10" fillId="35" borderId="18" xfId="0" applyFont="1" applyFill="1" applyBorder="1" applyAlignment="1">
      <alignment vertical="center"/>
    </xf>
    <xf numFmtId="0" fontId="10" fillId="35" borderId="17" xfId="0" applyFont="1" applyFill="1" applyBorder="1" applyAlignment="1">
      <alignment vertical="center"/>
    </xf>
    <xf numFmtId="0" fontId="10" fillId="35" borderId="19" xfId="0" applyFont="1" applyFill="1" applyBorder="1" applyAlignment="1">
      <alignment vertical="center"/>
    </xf>
    <xf numFmtId="0" fontId="10" fillId="0" borderId="18" xfId="0" applyFont="1" applyBorder="1" applyAlignment="1">
      <alignment vertical="center" wrapText="1"/>
    </xf>
    <xf numFmtId="0" fontId="10" fillId="0" borderId="17" xfId="0" applyFont="1" applyBorder="1" applyAlignment="1">
      <alignment vertical="top" wrapText="1"/>
    </xf>
    <xf numFmtId="0" fontId="10" fillId="0" borderId="17" xfId="0" applyFont="1" applyBorder="1" applyAlignment="1">
      <alignment vertical="center"/>
    </xf>
    <xf numFmtId="0" fontId="10" fillId="0" borderId="17" xfId="0" applyFont="1" applyBorder="1" applyAlignment="1">
      <alignment vertical="center" wrapText="1"/>
    </xf>
    <xf numFmtId="0" fontId="10" fillId="0" borderId="19" xfId="0" applyFont="1" applyBorder="1" applyAlignment="1">
      <alignment vertical="center" wrapText="1"/>
    </xf>
    <xf numFmtId="0" fontId="10" fillId="0" borderId="18" xfId="0" applyFont="1" applyFill="1" applyBorder="1" applyAlignment="1">
      <alignment vertical="center"/>
    </xf>
    <xf numFmtId="0" fontId="10" fillId="0" borderId="17" xfId="0" applyFont="1" applyFill="1" applyBorder="1" applyAlignment="1">
      <alignment vertical="center"/>
    </xf>
    <xf numFmtId="0" fontId="10" fillId="0" borderId="19" xfId="0" applyFont="1" applyFill="1" applyBorder="1" applyAlignment="1">
      <alignment vertical="center"/>
    </xf>
    <xf numFmtId="0" fontId="16" fillId="0" borderId="17" xfId="0" applyFont="1" applyBorder="1" applyAlignment="1">
      <alignment vertical="center"/>
    </xf>
    <xf numFmtId="0" fontId="10" fillId="0" borderId="19" xfId="0" applyFont="1" applyBorder="1" applyAlignment="1">
      <alignment vertical="center"/>
    </xf>
    <xf numFmtId="0" fontId="10" fillId="35" borderId="18" xfId="52" applyFont="1" applyFill="1" applyBorder="1" applyAlignment="1">
      <alignment vertical="center"/>
      <protection/>
    </xf>
    <xf numFmtId="0" fontId="10" fillId="35" borderId="19" xfId="52" applyFont="1" applyFill="1" applyBorder="1" applyAlignment="1">
      <alignment vertical="center"/>
      <protection/>
    </xf>
    <xf numFmtId="0" fontId="10" fillId="0" borderId="18" xfId="52" applyFont="1" applyBorder="1" applyAlignment="1">
      <alignment vertical="center" wrapText="1"/>
      <protection/>
    </xf>
    <xf numFmtId="0" fontId="10" fillId="0" borderId="17" xfId="52" applyFont="1" applyBorder="1" applyAlignment="1">
      <alignment vertical="center" wrapText="1"/>
      <protection/>
    </xf>
    <xf numFmtId="0" fontId="10" fillId="0" borderId="19" xfId="52" applyFont="1" applyBorder="1" applyAlignment="1">
      <alignment vertical="center" wrapText="1"/>
      <protection/>
    </xf>
    <xf numFmtId="0" fontId="10" fillId="0" borderId="18" xfId="0" applyFont="1" applyBorder="1" applyAlignment="1">
      <alignment/>
    </xf>
    <xf numFmtId="0" fontId="10" fillId="0" borderId="17" xfId="0" applyFont="1" applyBorder="1" applyAlignment="1">
      <alignment/>
    </xf>
    <xf numFmtId="0" fontId="10" fillId="0" borderId="0" xfId="0" applyFont="1" applyAlignment="1">
      <alignment vertical="center" wrapText="1"/>
    </xf>
    <xf numFmtId="0" fontId="10" fillId="0" borderId="19" xfId="0" applyFont="1" applyBorder="1" applyAlignment="1">
      <alignment/>
    </xf>
    <xf numFmtId="0" fontId="10" fillId="36" borderId="17" xfId="0" applyFont="1" applyFill="1" applyBorder="1" applyAlignment="1">
      <alignment vertical="center"/>
    </xf>
    <xf numFmtId="0" fontId="10" fillId="36" borderId="19" xfId="0" applyFont="1" applyFill="1" applyBorder="1" applyAlignment="1">
      <alignment vertical="center"/>
    </xf>
    <xf numFmtId="0" fontId="10" fillId="0" borderId="17" xfId="0" applyFont="1" applyBorder="1" applyAlignment="1">
      <alignment horizontal="left" vertical="center"/>
    </xf>
    <xf numFmtId="0" fontId="11" fillId="0" borderId="17" xfId="0" applyFont="1" applyBorder="1" applyAlignment="1">
      <alignment wrapText="1"/>
    </xf>
    <xf numFmtId="0" fontId="11" fillId="0" borderId="17" xfId="0" applyFont="1" applyBorder="1" applyAlignment="1">
      <alignment vertical="center"/>
    </xf>
    <xf numFmtId="0" fontId="11" fillId="0" borderId="17" xfId="0" applyFont="1" applyBorder="1" applyAlignment="1">
      <alignment vertical="center" wrapText="1"/>
    </xf>
    <xf numFmtId="0" fontId="10" fillId="38" borderId="0" xfId="0" applyFont="1" applyFill="1" applyBorder="1" applyAlignment="1">
      <alignment vertical="center"/>
    </xf>
    <xf numFmtId="0" fontId="60" fillId="35" borderId="19" xfId="0" applyFont="1" applyFill="1" applyBorder="1" applyAlignment="1">
      <alignment vertical="center"/>
    </xf>
    <xf numFmtId="0" fontId="60" fillId="0" borderId="18" xfId="0" applyFont="1" applyBorder="1" applyAlignment="1">
      <alignment vertical="center" wrapText="1"/>
    </xf>
    <xf numFmtId="0" fontId="60" fillId="0" borderId="19" xfId="0" applyFont="1" applyBorder="1" applyAlignment="1">
      <alignment vertical="center" wrapText="1"/>
    </xf>
    <xf numFmtId="0" fontId="60" fillId="0" borderId="17" xfId="0" applyFont="1" applyBorder="1" applyAlignment="1">
      <alignment vertical="center" wrapText="1"/>
    </xf>
    <xf numFmtId="3" fontId="10" fillId="0" borderId="17" xfId="0" applyNumberFormat="1" applyFont="1" applyBorder="1" applyAlignment="1">
      <alignment vertical="center" wrapText="1"/>
    </xf>
    <xf numFmtId="0" fontId="10" fillId="0" borderId="0" xfId="0" applyFont="1" applyAlignment="1">
      <alignment horizontal="right" vertical="center"/>
    </xf>
    <xf numFmtId="49" fontId="10" fillId="0" borderId="10" xfId="0" applyNumberFormat="1" applyFont="1" applyFill="1" applyBorder="1" applyAlignment="1">
      <alignment horizontal="center" vertical="center"/>
    </xf>
    <xf numFmtId="4" fontId="10" fillId="33" borderId="11" xfId="0" applyNumberFormat="1" applyFont="1" applyFill="1" applyBorder="1" applyAlignment="1">
      <alignment horizontal="center" vertical="center"/>
    </xf>
    <xf numFmtId="4" fontId="10" fillId="33" borderId="13" xfId="0" applyNumberFormat="1" applyFont="1" applyFill="1" applyBorder="1" applyAlignment="1">
      <alignment vertical="center"/>
    </xf>
    <xf numFmtId="4" fontId="10" fillId="33" borderId="15" xfId="0" applyNumberFormat="1" applyFont="1" applyFill="1" applyBorder="1" applyAlignment="1">
      <alignment vertical="center"/>
    </xf>
    <xf numFmtId="4" fontId="10" fillId="38" borderId="11" xfId="0" applyNumberFormat="1" applyFont="1" applyFill="1" applyBorder="1" applyAlignment="1">
      <alignment vertical="center"/>
    </xf>
    <xf numFmtId="4" fontId="10" fillId="38" borderId="13" xfId="0" applyNumberFormat="1" applyFont="1" applyFill="1" applyBorder="1" applyAlignment="1">
      <alignment vertical="center"/>
    </xf>
    <xf numFmtId="4" fontId="10" fillId="38" borderId="15" xfId="0" applyNumberFormat="1" applyFont="1" applyFill="1" applyBorder="1" applyAlignment="1">
      <alignment vertical="center"/>
    </xf>
    <xf numFmtId="4" fontId="10" fillId="0" borderId="11" xfId="0" applyNumberFormat="1" applyFont="1" applyFill="1" applyBorder="1" applyAlignment="1">
      <alignment vertical="center"/>
    </xf>
    <xf numFmtId="4" fontId="10" fillId="0" borderId="13" xfId="0" applyNumberFormat="1" applyFont="1" applyFill="1" applyBorder="1" applyAlignment="1">
      <alignment horizontal="left" vertical="top" wrapText="1"/>
    </xf>
    <xf numFmtId="4" fontId="10" fillId="0" borderId="15" xfId="0" applyNumberFormat="1" applyFont="1" applyFill="1" applyBorder="1" applyAlignment="1">
      <alignment vertical="center"/>
    </xf>
    <xf numFmtId="4" fontId="10" fillId="36" borderId="13" xfId="0" applyNumberFormat="1" applyFont="1" applyFill="1" applyBorder="1" applyAlignment="1">
      <alignment vertical="center"/>
    </xf>
    <xf numFmtId="4" fontId="10" fillId="36" borderId="15" xfId="0" applyNumberFormat="1" applyFont="1" applyFill="1" applyBorder="1" applyAlignment="1">
      <alignment vertical="center"/>
    </xf>
    <xf numFmtId="4" fontId="10" fillId="0" borderId="15" xfId="0" applyNumberFormat="1" applyFont="1" applyFill="1" applyBorder="1" applyAlignment="1">
      <alignment horizontal="left" vertical="top" wrapText="1"/>
    </xf>
    <xf numFmtId="4" fontId="10" fillId="0" borderId="13" xfId="0" applyNumberFormat="1" applyFont="1" applyFill="1" applyBorder="1" applyAlignment="1">
      <alignment vertical="center"/>
    </xf>
    <xf numFmtId="4" fontId="10" fillId="0" borderId="15" xfId="0" applyNumberFormat="1" applyFont="1" applyFill="1" applyBorder="1" applyAlignment="1">
      <alignment horizontal="left" vertical="center" wrapText="1"/>
    </xf>
    <xf numFmtId="4" fontId="10" fillId="0" borderId="11" xfId="0" applyNumberFormat="1" applyFont="1" applyFill="1" applyBorder="1" applyAlignment="1">
      <alignment vertical="center" wrapText="1"/>
    </xf>
    <xf numFmtId="4" fontId="10" fillId="0" borderId="11" xfId="0" applyNumberFormat="1" applyFont="1" applyFill="1" applyBorder="1" applyAlignment="1">
      <alignment horizontal="left" vertical="center" wrapText="1"/>
    </xf>
    <xf numFmtId="4" fontId="10" fillId="36" borderId="11" xfId="52" applyNumberFormat="1" applyFont="1" applyFill="1" applyBorder="1" applyAlignment="1">
      <alignment vertical="center"/>
      <protection/>
    </xf>
    <xf numFmtId="4" fontId="10" fillId="36" borderId="13" xfId="52" applyNumberFormat="1" applyFont="1" applyFill="1" applyBorder="1" applyAlignment="1">
      <alignment vertical="center"/>
      <protection/>
    </xf>
    <xf numFmtId="4" fontId="10" fillId="36" borderId="15" xfId="52" applyNumberFormat="1" applyFont="1" applyFill="1" applyBorder="1" applyAlignment="1">
      <alignment vertical="center"/>
      <protection/>
    </xf>
    <xf numFmtId="4" fontId="10" fillId="0" borderId="11" xfId="52" applyNumberFormat="1" applyFont="1" applyFill="1" applyBorder="1" applyAlignment="1">
      <alignment vertical="center"/>
      <protection/>
    </xf>
    <xf numFmtId="4" fontId="10" fillId="36" borderId="11" xfId="0" applyNumberFormat="1" applyFont="1" applyFill="1" applyBorder="1" applyAlignment="1">
      <alignment vertical="center"/>
    </xf>
    <xf numFmtId="0" fontId="10" fillId="0" borderId="15" xfId="0" applyNumberFormat="1" applyFont="1" applyFill="1" applyBorder="1" applyAlignment="1">
      <alignment vertical="center" wrapText="1"/>
    </xf>
    <xf numFmtId="4" fontId="10" fillId="36" borderId="11" xfId="0" applyNumberFormat="1" applyFont="1" applyFill="1" applyBorder="1" applyAlignment="1">
      <alignment horizontal="right" vertical="center"/>
    </xf>
    <xf numFmtId="4" fontId="10" fillId="36" borderId="13" xfId="0" applyNumberFormat="1" applyFont="1" applyFill="1" applyBorder="1" applyAlignment="1">
      <alignment horizontal="right" vertical="center"/>
    </xf>
    <xf numFmtId="4" fontId="10" fillId="36" borderId="15" xfId="0" applyNumberFormat="1" applyFont="1" applyFill="1" applyBorder="1" applyAlignment="1">
      <alignment horizontal="right" vertical="center"/>
    </xf>
    <xf numFmtId="4" fontId="10" fillId="0" borderId="11" xfId="0" applyNumberFormat="1" applyFont="1" applyFill="1" applyBorder="1" applyAlignment="1">
      <alignment horizontal="right" vertical="center"/>
    </xf>
    <xf numFmtId="4" fontId="10" fillId="0" borderId="15" xfId="0" applyNumberFormat="1" applyFont="1" applyFill="1" applyBorder="1" applyAlignment="1">
      <alignment horizontal="right" vertical="center"/>
    </xf>
    <xf numFmtId="4" fontId="10" fillId="38" borderId="11" xfId="0" applyNumberFormat="1" applyFont="1" applyFill="1" applyBorder="1" applyAlignment="1">
      <alignment horizontal="center" vertical="center" wrapText="1"/>
    </xf>
    <xf numFmtId="4" fontId="10" fillId="38" borderId="13" xfId="0" applyNumberFormat="1" applyFont="1" applyFill="1" applyBorder="1" applyAlignment="1">
      <alignment vertical="center" wrapText="1"/>
    </xf>
    <xf numFmtId="4" fontId="60" fillId="0" borderId="15" xfId="0" applyNumberFormat="1" applyFont="1" applyFill="1" applyBorder="1" applyAlignment="1">
      <alignment vertical="center" wrapText="1"/>
    </xf>
    <xf numFmtId="4" fontId="10" fillId="0" borderId="0" xfId="0" applyNumberFormat="1" applyFont="1" applyFill="1" applyAlignment="1">
      <alignment vertical="center"/>
    </xf>
    <xf numFmtId="4" fontId="60" fillId="0" borderId="11" xfId="0" applyNumberFormat="1" applyFont="1" applyFill="1" applyBorder="1" applyAlignment="1">
      <alignment horizontal="left" vertical="center" wrapText="1"/>
    </xf>
    <xf numFmtId="3" fontId="59" fillId="35" borderId="11" xfId="0" applyNumberFormat="1" applyFont="1" applyFill="1" applyBorder="1" applyAlignment="1">
      <alignment vertical="center"/>
    </xf>
    <xf numFmtId="3" fontId="7" fillId="0" borderId="12" xfId="0" applyNumberFormat="1" applyFont="1" applyFill="1" applyBorder="1" applyAlignment="1">
      <alignment vertical="center"/>
    </xf>
    <xf numFmtId="3" fontId="9" fillId="0" borderId="14" xfId="0" applyNumberFormat="1" applyFont="1" applyFill="1" applyBorder="1" applyAlignment="1">
      <alignment vertical="center"/>
    </xf>
    <xf numFmtId="3" fontId="15" fillId="0" borderId="12" xfId="52" applyNumberFormat="1" applyFont="1" applyBorder="1" applyAlignment="1">
      <alignment vertical="center"/>
      <protection/>
    </xf>
    <xf numFmtId="3" fontId="15" fillId="0" borderId="13" xfId="52" applyNumberFormat="1" applyFont="1" applyBorder="1" applyAlignment="1">
      <alignment horizontal="right" vertical="center"/>
      <protection/>
    </xf>
    <xf numFmtId="3" fontId="7" fillId="0" borderId="12" xfId="0" applyNumberFormat="1" applyFont="1" applyBorder="1" applyAlignment="1">
      <alignment vertical="center"/>
    </xf>
    <xf numFmtId="3" fontId="7" fillId="37" borderId="13" xfId="0" applyNumberFormat="1" applyFont="1" applyFill="1" applyBorder="1" applyAlignment="1">
      <alignment vertical="center"/>
    </xf>
    <xf numFmtId="3" fontId="9" fillId="37" borderId="13" xfId="0" applyNumberFormat="1" applyFont="1" applyFill="1" applyBorder="1" applyAlignment="1">
      <alignment vertical="center"/>
    </xf>
    <xf numFmtId="0" fontId="0" fillId="0" borderId="15" xfId="0" applyBorder="1" applyAlignment="1">
      <alignment vertical="center"/>
    </xf>
    <xf numFmtId="0" fontId="9" fillId="0" borderId="15" xfId="0" applyFont="1" applyFill="1" applyBorder="1" applyAlignment="1">
      <alignment vertical="center"/>
    </xf>
    <xf numFmtId="49" fontId="9" fillId="33" borderId="17" xfId="0" applyNumberFormat="1" applyFont="1" applyFill="1" applyBorder="1" applyAlignment="1">
      <alignment vertical="center"/>
    </xf>
    <xf numFmtId="0" fontId="9" fillId="34" borderId="14" xfId="0" applyFont="1" applyFill="1" applyBorder="1" applyAlignment="1">
      <alignment vertical="center"/>
    </xf>
    <xf numFmtId="0" fontId="9" fillId="34" borderId="17" xfId="0" applyFont="1" applyFill="1" applyBorder="1" applyAlignment="1">
      <alignment vertical="center" wrapText="1"/>
    </xf>
    <xf numFmtId="3" fontId="9" fillId="34" borderId="14" xfId="0" applyNumberFormat="1" applyFont="1" applyFill="1" applyBorder="1" applyAlignment="1">
      <alignment vertical="center"/>
    </xf>
    <xf numFmtId="4" fontId="9" fillId="34" borderId="14" xfId="0" applyNumberFormat="1" applyFont="1" applyFill="1" applyBorder="1" applyAlignment="1">
      <alignment vertical="center"/>
    </xf>
    <xf numFmtId="4" fontId="9" fillId="34" borderId="11" xfId="0" applyNumberFormat="1" applyFont="1" applyFill="1" applyBorder="1" applyAlignment="1">
      <alignment horizontal="center" vertical="center" wrapText="1"/>
    </xf>
    <xf numFmtId="4" fontId="9" fillId="34" borderId="13" xfId="0" applyNumberFormat="1" applyFont="1" applyFill="1" applyBorder="1" applyAlignment="1">
      <alignment horizontal="center" vertical="center" wrapText="1"/>
    </xf>
    <xf numFmtId="0" fontId="9" fillId="34" borderId="19" xfId="0" applyFont="1" applyFill="1" applyBorder="1" applyAlignment="1">
      <alignment vertical="center" wrapText="1"/>
    </xf>
    <xf numFmtId="4" fontId="9" fillId="34" borderId="15" xfId="0" applyNumberFormat="1" applyFont="1" applyFill="1" applyBorder="1" applyAlignment="1">
      <alignment horizontal="center" vertical="center" wrapText="1"/>
    </xf>
    <xf numFmtId="0" fontId="9" fillId="35" borderId="18" xfId="0" applyFont="1" applyFill="1" applyBorder="1" applyAlignment="1">
      <alignment vertical="center" wrapText="1"/>
    </xf>
    <xf numFmtId="4" fontId="9" fillId="38" borderId="11" xfId="0" applyNumberFormat="1" applyFont="1" applyFill="1" applyBorder="1" applyAlignment="1">
      <alignment horizontal="center" vertical="center" wrapText="1"/>
    </xf>
    <xf numFmtId="4" fontId="9" fillId="38" borderId="13" xfId="0" applyNumberFormat="1" applyFont="1" applyFill="1" applyBorder="1" applyAlignment="1">
      <alignment horizontal="center" vertical="center" wrapText="1"/>
    </xf>
    <xf numFmtId="0" fontId="9" fillId="35" borderId="17" xfId="0" applyFont="1" applyFill="1" applyBorder="1" applyAlignment="1">
      <alignment vertical="center" wrapText="1"/>
    </xf>
    <xf numFmtId="0" fontId="9" fillId="35" borderId="19" xfId="0" applyFont="1" applyFill="1" applyBorder="1" applyAlignment="1">
      <alignment vertical="center" wrapText="1"/>
    </xf>
    <xf numFmtId="4" fontId="9" fillId="38" borderId="15" xfId="0" applyNumberFormat="1" applyFont="1" applyFill="1" applyBorder="1" applyAlignment="1">
      <alignment horizontal="center" vertical="center" wrapText="1"/>
    </xf>
    <xf numFmtId="0" fontId="9" fillId="0" borderId="11" xfId="0" applyFont="1" applyBorder="1" applyAlignment="1">
      <alignment vertical="center"/>
    </xf>
    <xf numFmtId="0" fontId="9" fillId="0" borderId="18" xfId="0" applyFont="1" applyBorder="1" applyAlignment="1">
      <alignment vertical="center" wrapText="1"/>
    </xf>
    <xf numFmtId="4" fontId="4" fillId="0" borderId="11" xfId="0" applyNumberFormat="1" applyFont="1" applyFill="1" applyBorder="1" applyAlignment="1">
      <alignment horizontal="center" vertical="center" wrapText="1"/>
    </xf>
    <xf numFmtId="0" fontId="9" fillId="0" borderId="17" xfId="0" applyFont="1" applyBorder="1" applyAlignment="1">
      <alignment vertical="center" wrapText="1"/>
    </xf>
    <xf numFmtId="0" fontId="17" fillId="0" borderId="17" xfId="0" applyFont="1" applyBorder="1" applyAlignment="1">
      <alignment vertical="center" wrapText="1"/>
    </xf>
    <xf numFmtId="0" fontId="9" fillId="0" borderId="19" xfId="0" applyFont="1" applyBorder="1" applyAlignment="1">
      <alignment vertical="center" wrapText="1"/>
    </xf>
    <xf numFmtId="0" fontId="4" fillId="0" borderId="15" xfId="0" applyFont="1" applyBorder="1" applyAlignment="1">
      <alignment horizontal="center" vertical="center" wrapText="1"/>
    </xf>
    <xf numFmtId="0" fontId="18" fillId="0" borderId="17" xfId="0" applyFont="1" applyBorder="1" applyAlignment="1">
      <alignment vertical="center" wrapText="1"/>
    </xf>
    <xf numFmtId="4" fontId="4" fillId="0" borderId="11" xfId="0" applyNumberFormat="1" applyFont="1" applyFill="1" applyBorder="1" applyAlignment="1">
      <alignment horizontal="center" vertical="center"/>
    </xf>
    <xf numFmtId="4" fontId="4" fillId="0" borderId="13" xfId="0" applyNumberFormat="1" applyFont="1" applyFill="1" applyBorder="1" applyAlignment="1">
      <alignment horizontal="left" vertical="center" wrapText="1"/>
    </xf>
    <xf numFmtId="4" fontId="4" fillId="0" borderId="15" xfId="0" applyNumberFormat="1" applyFont="1" applyFill="1" applyBorder="1" applyAlignment="1">
      <alignment horizontal="center" vertical="center"/>
    </xf>
    <xf numFmtId="0" fontId="4" fillId="0" borderId="15" xfId="0" applyFont="1" applyBorder="1" applyAlignment="1">
      <alignment horizontal="left" vertical="center"/>
    </xf>
    <xf numFmtId="3" fontId="9" fillId="38" borderId="13" xfId="0" applyNumberFormat="1" applyFont="1" applyFill="1" applyBorder="1" applyAlignment="1">
      <alignment vertical="center"/>
    </xf>
    <xf numFmtId="4" fontId="9" fillId="36" borderId="13" xfId="0" applyNumberFormat="1" applyFont="1" applyFill="1" applyBorder="1" applyAlignment="1">
      <alignment vertical="center"/>
    </xf>
    <xf numFmtId="3" fontId="19" fillId="0" borderId="13" xfId="0" applyNumberFormat="1" applyFont="1" applyFill="1" applyBorder="1" applyAlignment="1">
      <alignment vertical="center"/>
    </xf>
    <xf numFmtId="3" fontId="9" fillId="0" borderId="12" xfId="0" applyNumberFormat="1" applyFont="1" applyFill="1" applyBorder="1" applyAlignment="1">
      <alignment vertical="center"/>
    </xf>
    <xf numFmtId="4" fontId="4" fillId="0" borderId="11" xfId="0" applyNumberFormat="1" applyFont="1" applyFill="1" applyBorder="1" applyAlignment="1">
      <alignment horizontal="left" vertical="center" wrapText="1"/>
    </xf>
    <xf numFmtId="49" fontId="19" fillId="0" borderId="13" xfId="0" applyNumberFormat="1" applyFont="1" applyBorder="1" applyAlignment="1">
      <alignment vertical="center"/>
    </xf>
    <xf numFmtId="3" fontId="19" fillId="0" borderId="13" xfId="0" applyNumberFormat="1" applyFont="1" applyBorder="1" applyAlignment="1">
      <alignment vertical="center"/>
    </xf>
    <xf numFmtId="164" fontId="19" fillId="0" borderId="13" xfId="0" applyNumberFormat="1" applyFont="1" applyBorder="1" applyAlignment="1">
      <alignment horizontal="center" vertical="center"/>
    </xf>
    <xf numFmtId="4" fontId="19" fillId="0" borderId="13" xfId="0" applyNumberFormat="1" applyFont="1" applyFill="1" applyBorder="1" applyAlignment="1">
      <alignment vertical="center"/>
    </xf>
    <xf numFmtId="4" fontId="19" fillId="0" borderId="14" xfId="0" applyNumberFormat="1" applyFont="1" applyFill="1" applyBorder="1" applyAlignment="1">
      <alignment vertical="center"/>
    </xf>
    <xf numFmtId="49" fontId="19" fillId="0" borderId="14" xfId="0" applyNumberFormat="1" applyFont="1" applyBorder="1" applyAlignment="1">
      <alignment vertical="center"/>
    </xf>
    <xf numFmtId="3" fontId="19" fillId="0" borderId="14" xfId="0" applyNumberFormat="1" applyFont="1" applyBorder="1" applyAlignment="1">
      <alignment vertical="center"/>
    </xf>
    <xf numFmtId="3" fontId="19" fillId="0" borderId="14" xfId="0" applyNumberFormat="1" applyFont="1" applyFill="1" applyBorder="1" applyAlignment="1">
      <alignment vertical="center"/>
    </xf>
    <xf numFmtId="164" fontId="19" fillId="0" borderId="14" xfId="0" applyNumberFormat="1" applyFont="1" applyBorder="1" applyAlignment="1">
      <alignment horizontal="center" vertical="center"/>
    </xf>
    <xf numFmtId="0" fontId="4" fillId="0" borderId="15" xfId="0" applyFont="1" applyBorder="1" applyAlignment="1">
      <alignment horizontal="left" vertical="center" wrapText="1"/>
    </xf>
    <xf numFmtId="0" fontId="9" fillId="0" borderId="11" xfId="0" applyFont="1" applyBorder="1" applyAlignment="1">
      <alignment vertical="center" wrapText="1"/>
    </xf>
    <xf numFmtId="0" fontId="0" fillId="0" borderId="15" xfId="0" applyBorder="1" applyAlignment="1">
      <alignment vertical="center" wrapText="1"/>
    </xf>
    <xf numFmtId="0" fontId="13" fillId="38" borderId="17" xfId="0" applyFont="1" applyFill="1" applyBorder="1" applyAlignment="1">
      <alignment vertical="center" wrapText="1"/>
    </xf>
    <xf numFmtId="4" fontId="9" fillId="0" borderId="11" xfId="0" applyNumberFormat="1" applyFont="1" applyFill="1" applyBorder="1" applyAlignment="1">
      <alignment horizontal="center" vertical="center" wrapText="1"/>
    </xf>
    <xf numFmtId="4" fontId="9" fillId="0" borderId="15" xfId="0" applyNumberFormat="1" applyFont="1" applyFill="1" applyBorder="1" applyAlignment="1">
      <alignment horizontal="left" vertical="center" wrapText="1"/>
    </xf>
    <xf numFmtId="4" fontId="9" fillId="0" borderId="11" xfId="0" applyNumberFormat="1" applyFont="1" applyFill="1" applyBorder="1" applyAlignment="1">
      <alignment horizontal="left" vertical="center" wrapText="1"/>
    </xf>
    <xf numFmtId="4" fontId="9" fillId="0" borderId="15" xfId="0" applyNumberFormat="1" applyFont="1" applyFill="1" applyBorder="1" applyAlignment="1">
      <alignment horizontal="center" vertical="center" wrapText="1"/>
    </xf>
    <xf numFmtId="0" fontId="9" fillId="39" borderId="22" xfId="0" applyFont="1" applyFill="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wrapText="1"/>
    </xf>
    <xf numFmtId="0" fontId="9" fillId="0" borderId="25" xfId="0" applyFont="1" applyBorder="1" applyAlignment="1">
      <alignment horizontal="center" vertical="center"/>
    </xf>
    <xf numFmtId="4" fontId="9" fillId="0" borderId="26" xfId="0" applyNumberFormat="1" applyFont="1" applyBorder="1" applyAlignment="1">
      <alignment vertical="center"/>
    </xf>
    <xf numFmtId="164" fontId="9" fillId="0" borderId="25" xfId="0" applyNumberFormat="1" applyFont="1" applyBorder="1" applyAlignment="1">
      <alignment horizontal="center" vertical="center"/>
    </xf>
    <xf numFmtId="4" fontId="4" fillId="0" borderId="22" xfId="0" applyNumberFormat="1" applyFont="1" applyFill="1" applyBorder="1" applyAlignment="1">
      <alignment horizontal="center" vertical="center" wrapText="1"/>
    </xf>
    <xf numFmtId="0" fontId="9" fillId="0" borderId="27" xfId="0" applyFont="1" applyBorder="1" applyAlignment="1">
      <alignment vertical="center"/>
    </xf>
    <xf numFmtId="0" fontId="9" fillId="0" borderId="28" xfId="0" applyFont="1" applyFill="1" applyBorder="1" applyAlignment="1">
      <alignment vertical="center" wrapText="1"/>
    </xf>
    <xf numFmtId="0" fontId="7" fillId="0" borderId="27" xfId="0" applyFont="1" applyFill="1" applyBorder="1" applyAlignment="1">
      <alignment vertical="center"/>
    </xf>
    <xf numFmtId="4" fontId="7" fillId="0" borderId="28" xfId="0" applyNumberFormat="1" applyFont="1" applyFill="1" applyBorder="1" applyAlignment="1">
      <alignment vertical="center"/>
    </xf>
    <xf numFmtId="164" fontId="7" fillId="0" borderId="29" xfId="0" applyNumberFormat="1" applyFont="1" applyBorder="1" applyAlignment="1">
      <alignment horizontal="center" vertical="center"/>
    </xf>
    <xf numFmtId="0" fontId="20" fillId="0" borderId="28" xfId="0" applyFont="1" applyFill="1" applyBorder="1" applyAlignment="1">
      <alignment vertical="center" wrapText="1"/>
    </xf>
    <xf numFmtId="49" fontId="9" fillId="0" borderId="13" xfId="0" applyNumberFormat="1" applyFont="1" applyFill="1" applyBorder="1" applyAlignment="1">
      <alignment vertical="center"/>
    </xf>
    <xf numFmtId="0" fontId="9" fillId="39" borderId="30" xfId="0" applyFont="1" applyFill="1" applyBorder="1" applyAlignment="1">
      <alignment vertical="center"/>
    </xf>
    <xf numFmtId="0" fontId="9" fillId="0" borderId="31" xfId="0" applyFont="1" applyBorder="1" applyAlignment="1">
      <alignment vertical="center"/>
    </xf>
    <xf numFmtId="0" fontId="9" fillId="0" borderId="32" xfId="0" applyFont="1" applyFill="1" applyBorder="1" applyAlignment="1">
      <alignment vertical="center" wrapText="1"/>
    </xf>
    <xf numFmtId="0" fontId="9" fillId="0" borderId="30" xfId="0" applyFont="1" applyFill="1" applyBorder="1" applyAlignment="1">
      <alignment horizontal="center" vertical="center"/>
    </xf>
    <xf numFmtId="0" fontId="9" fillId="0" borderId="31" xfId="0" applyFont="1" applyFill="1" applyBorder="1" applyAlignment="1">
      <alignment vertical="center"/>
    </xf>
    <xf numFmtId="4" fontId="9" fillId="0" borderId="33" xfId="0" applyNumberFormat="1" applyFont="1" applyFill="1" applyBorder="1" applyAlignment="1">
      <alignment vertical="center"/>
    </xf>
    <xf numFmtId="164" fontId="9" fillId="0" borderId="30" xfId="0" applyNumberFormat="1" applyFont="1" applyFill="1" applyBorder="1" applyAlignment="1">
      <alignment horizontal="center" vertical="center"/>
    </xf>
    <xf numFmtId="4" fontId="4" fillId="0" borderId="30" xfId="0" applyNumberFormat="1" applyFont="1" applyFill="1" applyBorder="1" applyAlignment="1">
      <alignment horizontal="left" vertical="center" wrapText="1"/>
    </xf>
    <xf numFmtId="0" fontId="9" fillId="0" borderId="24" xfId="0" applyFont="1" applyFill="1" applyBorder="1" applyAlignment="1">
      <alignment vertical="center" wrapText="1"/>
    </xf>
    <xf numFmtId="0" fontId="9" fillId="0" borderId="25" xfId="0" applyFont="1" applyFill="1" applyBorder="1" applyAlignment="1">
      <alignment horizontal="center" vertical="center"/>
    </xf>
    <xf numFmtId="0" fontId="9" fillId="0" borderId="23" xfId="0" applyFont="1" applyFill="1" applyBorder="1" applyAlignment="1">
      <alignment vertical="center"/>
    </xf>
    <xf numFmtId="4" fontId="9" fillId="0" borderId="26" xfId="0" applyNumberFormat="1" applyFont="1" applyFill="1" applyBorder="1" applyAlignment="1">
      <alignment vertical="center"/>
    </xf>
    <xf numFmtId="164" fontId="9" fillId="0" borderId="25" xfId="0" applyNumberFormat="1" applyFont="1" applyFill="1" applyBorder="1" applyAlignment="1">
      <alignment horizontal="center" vertical="center"/>
    </xf>
    <xf numFmtId="4" fontId="4" fillId="0" borderId="22" xfId="0" applyNumberFormat="1" applyFont="1" applyFill="1" applyBorder="1" applyAlignment="1">
      <alignment horizontal="left" vertical="center" wrapText="1"/>
    </xf>
    <xf numFmtId="164" fontId="7" fillId="0" borderId="29" xfId="0" applyNumberFormat="1" applyFont="1" applyFill="1" applyBorder="1" applyAlignment="1">
      <alignment horizontal="center" vertical="center"/>
    </xf>
    <xf numFmtId="0" fontId="9" fillId="0" borderId="0" xfId="0" applyFont="1" applyFill="1" applyAlignment="1">
      <alignment vertical="center" wrapText="1"/>
    </xf>
    <xf numFmtId="0" fontId="9" fillId="0" borderId="17" xfId="0" applyFont="1" applyFill="1" applyBorder="1" applyAlignment="1">
      <alignment vertical="center" wrapText="1"/>
    </xf>
    <xf numFmtId="0" fontId="20" fillId="0" borderId="17" xfId="0" applyFont="1" applyFill="1" applyBorder="1" applyAlignment="1">
      <alignment vertical="center" wrapText="1"/>
    </xf>
    <xf numFmtId="0" fontId="9" fillId="0" borderId="18" xfId="0" applyFont="1" applyFill="1" applyBorder="1" applyAlignment="1">
      <alignment vertical="center" wrapText="1"/>
    </xf>
    <xf numFmtId="0" fontId="9" fillId="0" borderId="11" xfId="0" applyFont="1" applyFill="1" applyBorder="1" applyAlignment="1">
      <alignment vertical="center" wrapText="1"/>
    </xf>
    <xf numFmtId="0" fontId="7" fillId="0" borderId="13" xfId="0" applyFont="1" applyFill="1" applyBorder="1" applyAlignment="1">
      <alignment vertical="center"/>
    </xf>
    <xf numFmtId="49" fontId="9" fillId="0" borderId="14" xfId="0" applyNumberFormat="1" applyFont="1" applyFill="1" applyBorder="1" applyAlignment="1">
      <alignment vertical="center"/>
    </xf>
    <xf numFmtId="164" fontId="9" fillId="0" borderId="14" xfId="0" applyNumberFormat="1" applyFont="1" applyFill="1" applyBorder="1" applyAlignment="1">
      <alignment horizontal="center" vertical="center"/>
    </xf>
    <xf numFmtId="49" fontId="19" fillId="0" borderId="13" xfId="0" applyNumberFormat="1" applyFont="1" applyFill="1" applyBorder="1" applyAlignment="1">
      <alignment vertical="center"/>
    </xf>
    <xf numFmtId="164" fontId="19" fillId="0" borderId="13" xfId="0" applyNumberFormat="1" applyFont="1" applyFill="1" applyBorder="1" applyAlignment="1">
      <alignment horizontal="center" vertical="center"/>
    </xf>
    <xf numFmtId="0" fontId="19" fillId="0" borderId="34" xfId="0" applyFont="1" applyFill="1" applyBorder="1" applyAlignment="1">
      <alignment vertical="center" wrapText="1"/>
    </xf>
    <xf numFmtId="49" fontId="19" fillId="0" borderId="14" xfId="0" applyNumberFormat="1" applyFont="1" applyFill="1" applyBorder="1" applyAlignment="1">
      <alignment vertical="center"/>
    </xf>
    <xf numFmtId="164" fontId="19" fillId="0" borderId="14" xfId="0" applyNumberFormat="1" applyFont="1" applyFill="1" applyBorder="1" applyAlignment="1">
      <alignment horizontal="center" vertical="center"/>
    </xf>
    <xf numFmtId="0" fontId="9" fillId="0" borderId="19" xfId="0" applyFont="1" applyFill="1" applyBorder="1" applyAlignment="1">
      <alignment vertical="center" wrapText="1"/>
    </xf>
    <xf numFmtId="0" fontId="19" fillId="0" borderId="35" xfId="0" applyFont="1" applyFill="1" applyBorder="1" applyAlignment="1">
      <alignment vertical="center" wrapText="1"/>
    </xf>
    <xf numFmtId="3" fontId="9" fillId="0" borderId="16" xfId="0" applyNumberFormat="1" applyFont="1" applyFill="1" applyBorder="1" applyAlignment="1">
      <alignment vertical="center"/>
    </xf>
    <xf numFmtId="0" fontId="9" fillId="38" borderId="11" xfId="0" applyFont="1" applyFill="1" applyBorder="1" applyAlignment="1">
      <alignment horizontal="center" vertical="center"/>
    </xf>
    <xf numFmtId="0" fontId="9" fillId="38" borderId="12" xfId="0" applyFont="1" applyFill="1" applyBorder="1" applyAlignment="1">
      <alignment vertical="center"/>
    </xf>
    <xf numFmtId="0" fontId="9" fillId="38" borderId="18" xfId="0" applyFont="1" applyFill="1" applyBorder="1" applyAlignment="1">
      <alignment vertical="center" wrapText="1"/>
    </xf>
    <xf numFmtId="3" fontId="9" fillId="38" borderId="12" xfId="0" applyNumberFormat="1" applyFont="1" applyFill="1" applyBorder="1" applyAlignment="1">
      <alignment vertical="center"/>
    </xf>
    <xf numFmtId="3" fontId="9" fillId="38" borderId="11" xfId="0" applyNumberFormat="1" applyFont="1" applyFill="1" applyBorder="1" applyAlignment="1">
      <alignment vertical="center"/>
    </xf>
    <xf numFmtId="4" fontId="9" fillId="38" borderId="12" xfId="0" applyNumberFormat="1" applyFont="1" applyFill="1" applyBorder="1" applyAlignment="1">
      <alignment vertical="center"/>
    </xf>
    <xf numFmtId="164" fontId="9" fillId="38" borderId="11" xfId="0" applyNumberFormat="1" applyFont="1" applyFill="1" applyBorder="1" applyAlignment="1">
      <alignment horizontal="center" vertical="center"/>
    </xf>
    <xf numFmtId="4" fontId="4" fillId="38" borderId="11" xfId="0" applyNumberFormat="1" applyFont="1" applyFill="1" applyBorder="1" applyAlignment="1">
      <alignment horizontal="center" vertical="center" wrapText="1"/>
    </xf>
    <xf numFmtId="0" fontId="9" fillId="38" borderId="17" xfId="0" applyFont="1" applyFill="1" applyBorder="1" applyAlignment="1">
      <alignment vertical="center" wrapText="1"/>
    </xf>
    <xf numFmtId="3" fontId="9" fillId="38" borderId="14" xfId="0" applyNumberFormat="1" applyFont="1" applyFill="1" applyBorder="1" applyAlignment="1">
      <alignment vertical="center"/>
    </xf>
    <xf numFmtId="4" fontId="9" fillId="38" borderId="14" xfId="0" applyNumberFormat="1" applyFont="1" applyFill="1" applyBorder="1" applyAlignment="1">
      <alignment vertical="center"/>
    </xf>
    <xf numFmtId="0" fontId="0" fillId="0" borderId="19" xfId="0" applyBorder="1" applyAlignment="1">
      <alignment vertical="center" wrapText="1"/>
    </xf>
    <xf numFmtId="164" fontId="9" fillId="0" borderId="15" xfId="0" applyNumberFormat="1" applyFont="1" applyBorder="1" applyAlignment="1">
      <alignment horizontal="left" vertical="center"/>
    </xf>
    <xf numFmtId="0" fontId="17" fillId="0" borderId="17" xfId="0" applyFont="1" applyFill="1" applyBorder="1" applyAlignment="1">
      <alignment vertical="center" wrapText="1"/>
    </xf>
    <xf numFmtId="4" fontId="4" fillId="0" borderId="15" xfId="0" applyNumberFormat="1" applyFont="1" applyFill="1" applyBorder="1" applyAlignment="1">
      <alignment horizontal="left" vertical="center" wrapText="1"/>
    </xf>
    <xf numFmtId="49" fontId="9" fillId="0" borderId="17" xfId="0" applyNumberFormat="1" applyFont="1" applyFill="1" applyBorder="1" applyAlignment="1">
      <alignment vertical="center" wrapText="1"/>
    </xf>
    <xf numFmtId="49" fontId="17" fillId="0" borderId="17" xfId="0" applyNumberFormat="1" applyFont="1" applyFill="1" applyBorder="1" applyAlignment="1">
      <alignment vertical="center" wrapText="1"/>
    </xf>
    <xf numFmtId="0" fontId="9" fillId="0" borderId="15" xfId="0" applyFont="1" applyFill="1" applyBorder="1" applyAlignment="1">
      <alignment horizontal="center" vertical="center"/>
    </xf>
    <xf numFmtId="0" fontId="9" fillId="0" borderId="17" xfId="0" applyNumberFormat="1" applyFont="1" applyFill="1" applyBorder="1" applyAlignment="1">
      <alignment vertical="center" wrapText="1"/>
    </xf>
    <xf numFmtId="4" fontId="9" fillId="38" borderId="11" xfId="0" applyNumberFormat="1" applyFont="1" applyFill="1" applyBorder="1" applyAlignment="1">
      <alignment vertical="center"/>
    </xf>
    <xf numFmtId="49" fontId="4" fillId="38" borderId="11" xfId="0" applyNumberFormat="1" applyFont="1" applyFill="1" applyBorder="1" applyAlignment="1">
      <alignment horizontal="center" vertical="center" wrapText="1"/>
    </xf>
    <xf numFmtId="3" fontId="9" fillId="0" borderId="13" xfId="0" applyNumberFormat="1" applyFont="1" applyBorder="1" applyAlignment="1">
      <alignment horizontal="center" vertical="center" wrapText="1"/>
    </xf>
    <xf numFmtId="0" fontId="9" fillId="0" borderId="13" xfId="0" applyFont="1" applyBorder="1" applyAlignment="1">
      <alignment horizontal="center" vertical="center" wrapText="1"/>
    </xf>
    <xf numFmtId="4" fontId="10" fillId="0" borderId="13" xfId="0" applyNumberFormat="1" applyFont="1" applyFill="1" applyBorder="1" applyAlignment="1">
      <alignment horizontal="left" vertical="center" wrapText="1"/>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3" xfId="0" applyNumberFormat="1" applyFont="1" applyBorder="1" applyAlignment="1">
      <alignment horizontal="center" vertical="center" wrapText="1"/>
    </xf>
    <xf numFmtId="4" fontId="10" fillId="0" borderId="11" xfId="0" applyNumberFormat="1" applyFont="1" applyFill="1" applyBorder="1" applyAlignment="1">
      <alignment horizontal="left" vertical="center" wrapText="1"/>
    </xf>
    <xf numFmtId="4" fontId="10" fillId="0" borderId="15" xfId="0" applyNumberFormat="1" applyFont="1" applyFill="1" applyBorder="1" applyAlignment="1">
      <alignment horizontal="left" vertical="center" wrapText="1"/>
    </xf>
    <xf numFmtId="4" fontId="10" fillId="0" borderId="13" xfId="0" applyNumberFormat="1" applyFont="1" applyFill="1" applyBorder="1" applyAlignment="1">
      <alignment vertical="center" wrapText="1"/>
    </xf>
    <xf numFmtId="0" fontId="9" fillId="0" borderId="17" xfId="0" applyFont="1" applyBorder="1" applyAlignment="1">
      <alignment horizontal="center" vertical="center" wrapText="1"/>
    </xf>
    <xf numFmtId="0" fontId="7" fillId="35" borderId="14" xfId="0" applyFont="1" applyFill="1" applyBorder="1" applyAlignment="1">
      <alignment vertical="center"/>
    </xf>
    <xf numFmtId="0" fontId="7" fillId="35" borderId="17" xfId="0" applyFont="1" applyFill="1" applyBorder="1" applyAlignment="1">
      <alignment vertical="center"/>
    </xf>
    <xf numFmtId="0" fontId="10" fillId="0" borderId="11" xfId="0" applyNumberFormat="1" applyFont="1" applyFill="1" applyBorder="1" applyAlignment="1">
      <alignment vertical="center" wrapText="1"/>
    </xf>
    <xf numFmtId="0" fontId="10" fillId="0" borderId="13" xfId="0" applyNumberFormat="1" applyFont="1" applyBorder="1" applyAlignment="1">
      <alignment vertical="center" wrapText="1"/>
    </xf>
    <xf numFmtId="0" fontId="10" fillId="0" borderId="15" xfId="0" applyNumberFormat="1" applyFont="1" applyBorder="1" applyAlignment="1">
      <alignment vertical="center" wrapText="1"/>
    </xf>
    <xf numFmtId="0" fontId="0" fillId="0" borderId="15" xfId="0" applyBorder="1" applyAlignment="1">
      <alignment horizontal="center" vertical="center"/>
    </xf>
    <xf numFmtId="0" fontId="7" fillId="36" borderId="14" xfId="0" applyFont="1" applyFill="1" applyBorder="1" applyAlignment="1">
      <alignment vertical="center"/>
    </xf>
    <xf numFmtId="0" fontId="7" fillId="36" borderId="17" xfId="0" applyFont="1" applyFill="1" applyBorder="1" applyAlignment="1">
      <alignment vertical="center"/>
    </xf>
    <xf numFmtId="3" fontId="9" fillId="0" borderId="11" xfId="0" applyNumberFormat="1" applyFont="1" applyBorder="1" applyAlignment="1">
      <alignment horizontal="center" vertical="center" wrapText="1"/>
    </xf>
    <xf numFmtId="0" fontId="9" fillId="0" borderId="15" xfId="0" applyFont="1" applyBorder="1" applyAlignment="1">
      <alignment horizontal="center" vertical="center" wrapText="1"/>
    </xf>
    <xf numFmtId="4" fontId="10" fillId="0" borderId="13" xfId="52" applyNumberFormat="1" applyFont="1" applyFill="1" applyBorder="1" applyAlignment="1">
      <alignment horizontal="left" vertical="top" wrapText="1"/>
      <protection/>
    </xf>
    <xf numFmtId="4" fontId="10" fillId="0" borderId="15" xfId="52" applyNumberFormat="1" applyFont="1" applyFill="1" applyBorder="1" applyAlignment="1">
      <alignment horizontal="left" vertical="top" wrapText="1"/>
      <protection/>
    </xf>
    <xf numFmtId="0" fontId="9" fillId="0" borderId="11"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3" fontId="9" fillId="0" borderId="12"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10" fillId="0" borderId="18" xfId="0" applyNumberFormat="1" applyFont="1" applyFill="1" applyBorder="1" applyAlignment="1">
      <alignment vertical="center" wrapText="1"/>
    </xf>
    <xf numFmtId="0" fontId="10" fillId="0" borderId="17" xfId="0" applyFont="1" applyBorder="1" applyAlignment="1">
      <alignment vertical="center" wrapText="1"/>
    </xf>
    <xf numFmtId="0" fontId="10" fillId="0" borderId="19" xfId="0" applyFont="1" applyBorder="1" applyAlignment="1">
      <alignment vertical="center" wrapText="1"/>
    </xf>
    <xf numFmtId="4" fontId="10" fillId="0" borderId="13" xfId="0" applyNumberFormat="1" applyFont="1" applyFill="1" applyBorder="1" applyAlignment="1">
      <alignment vertical="top" wrapText="1"/>
    </xf>
    <xf numFmtId="4" fontId="10" fillId="0" borderId="13" xfId="0" applyNumberFormat="1" applyFont="1" applyFill="1" applyBorder="1" applyAlignment="1">
      <alignment vertical="top"/>
    </xf>
    <xf numFmtId="0" fontId="9" fillId="0" borderId="14" xfId="0" applyFont="1"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9" fillId="0" borderId="13" xfId="0" applyFont="1" applyBorder="1" applyAlignment="1">
      <alignment horizontal="center" vertical="top"/>
    </xf>
    <xf numFmtId="0" fontId="13" fillId="35" borderId="14" xfId="52" applyFont="1" applyFill="1" applyBorder="1" applyAlignment="1">
      <alignment horizontal="left" vertical="top" wrapText="1"/>
      <protection/>
    </xf>
    <xf numFmtId="0" fontId="13" fillId="35" borderId="17" xfId="52" applyFont="1" applyFill="1" applyBorder="1" applyAlignment="1">
      <alignment horizontal="left" vertical="top" wrapText="1"/>
      <protection/>
    </xf>
    <xf numFmtId="0" fontId="15" fillId="0" borderId="11" xfId="52" applyFont="1" applyBorder="1" applyAlignment="1">
      <alignment horizontal="center" vertical="center"/>
      <protection/>
    </xf>
    <xf numFmtId="0" fontId="15" fillId="0" borderId="13" xfId="52" applyFont="1" applyBorder="1" applyAlignment="1">
      <alignment horizontal="center" vertical="center"/>
      <protection/>
    </xf>
    <xf numFmtId="0" fontId="15" fillId="0" borderId="17" xfId="52" applyFont="1" applyBorder="1" applyAlignment="1">
      <alignment horizontal="center" vertical="center" wrapText="1"/>
      <protection/>
    </xf>
    <xf numFmtId="0" fontId="15" fillId="0" borderId="13" xfId="52" applyFont="1" applyBorder="1" applyAlignment="1">
      <alignment horizontal="center" vertical="center" wrapText="1"/>
      <protection/>
    </xf>
    <xf numFmtId="0" fontId="15" fillId="0" borderId="15" xfId="52" applyFont="1" applyBorder="1" applyAlignment="1">
      <alignment horizontal="center" vertical="center" wrapText="1"/>
      <protection/>
    </xf>
    <xf numFmtId="0" fontId="2" fillId="0" borderId="0" xfId="0" applyFont="1" applyAlignment="1">
      <alignment horizontal="center" vertical="center" wrapText="1"/>
    </xf>
    <xf numFmtId="4" fontId="10" fillId="0" borderId="13" xfId="0" applyNumberFormat="1" applyFont="1" applyFill="1" applyBorder="1" applyAlignment="1">
      <alignment horizontal="left" vertical="top" wrapText="1"/>
    </xf>
    <xf numFmtId="0" fontId="3" fillId="0" borderId="10" xfId="0" applyFont="1" applyBorder="1" applyAlignment="1">
      <alignment horizontal="center" vertical="center"/>
    </xf>
    <xf numFmtId="0" fontId="7" fillId="34" borderId="14" xfId="0" applyFont="1" applyFill="1" applyBorder="1" applyAlignment="1">
      <alignment vertical="center"/>
    </xf>
    <xf numFmtId="0" fontId="7" fillId="34" borderId="17" xfId="0" applyFont="1" applyFill="1" applyBorder="1" applyAlignment="1">
      <alignment vertical="center"/>
    </xf>
    <xf numFmtId="0" fontId="10" fillId="0" borderId="13" xfId="0" applyFont="1" applyBorder="1" applyAlignment="1">
      <alignment horizontal="center" vertical="center" wrapText="1"/>
    </xf>
    <xf numFmtId="49" fontId="9" fillId="33" borderId="14" xfId="0" applyNumberFormat="1" applyFont="1" applyFill="1" applyBorder="1" applyAlignment="1">
      <alignment vertical="center"/>
    </xf>
    <xf numFmtId="49" fontId="9" fillId="33" borderId="17" xfId="0" applyNumberFormat="1" applyFont="1" applyFill="1" applyBorder="1" applyAlignment="1">
      <alignment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0" xfId="0" applyFont="1" applyBorder="1" applyAlignment="1">
      <alignment horizontal="center" vertical="center" textRotation="90" wrapText="1"/>
    </xf>
    <xf numFmtId="49" fontId="4" fillId="0" borderId="36" xfId="0" applyNumberFormat="1" applyFont="1" applyBorder="1" applyAlignment="1">
      <alignment horizontal="center" vertical="center"/>
    </xf>
    <xf numFmtId="49" fontId="4" fillId="0" borderId="38" xfId="0" applyNumberFormat="1" applyFont="1" applyBorder="1" applyAlignment="1">
      <alignment horizontal="center" vertical="center"/>
    </xf>
    <xf numFmtId="0" fontId="7" fillId="33" borderId="14" xfId="0" applyFont="1" applyFill="1" applyBorder="1" applyAlignment="1">
      <alignment vertical="center"/>
    </xf>
    <xf numFmtId="0" fontId="7" fillId="33" borderId="17" xfId="0" applyFont="1" applyFill="1" applyBorder="1" applyAlignment="1">
      <alignment vertical="center"/>
    </xf>
    <xf numFmtId="4" fontId="10" fillId="0" borderId="13" xfId="0" applyNumberFormat="1" applyFont="1" applyFill="1" applyBorder="1" applyAlignment="1">
      <alignment horizontal="center" vertical="center"/>
    </xf>
    <xf numFmtId="0" fontId="7" fillId="35" borderId="14" xfId="0" applyFont="1" applyFill="1" applyBorder="1" applyAlignment="1">
      <alignment vertical="center" wrapText="1"/>
    </xf>
    <xf numFmtId="0" fontId="0" fillId="0" borderId="17" xfId="0" applyBorder="1" applyAlignment="1">
      <alignment vertical="center" wrapText="1"/>
    </xf>
    <xf numFmtId="4" fontId="10" fillId="0" borderId="11" xfId="0" applyNumberFormat="1" applyFont="1" applyFill="1" applyBorder="1" applyAlignment="1">
      <alignment horizontal="left" vertical="top" wrapText="1"/>
    </xf>
    <xf numFmtId="4" fontId="10" fillId="0" borderId="15" xfId="0" applyNumberFormat="1" applyFont="1" applyFill="1" applyBorder="1" applyAlignment="1">
      <alignment horizontal="left" vertical="top" wrapText="1"/>
    </xf>
    <xf numFmtId="0" fontId="10" fillId="0" borderId="15" xfId="0" applyFont="1" applyBorder="1" applyAlignment="1">
      <alignment/>
    </xf>
    <xf numFmtId="0" fontId="9" fillId="0" borderId="11" xfId="0" applyFont="1" applyFill="1"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9" fillId="0" borderId="11" xfId="0"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4" fontId="10" fillId="0" borderId="11" xfId="0" applyNumberFormat="1" applyFont="1" applyFill="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0" borderId="17" xfId="0" applyFont="1" applyFill="1" applyBorder="1" applyAlignment="1">
      <alignment vertical="center" wrapText="1"/>
    </xf>
    <xf numFmtId="0" fontId="10" fillId="0" borderId="17" xfId="0" applyFont="1" applyBorder="1" applyAlignment="1">
      <alignment vertical="center"/>
    </xf>
    <xf numFmtId="0" fontId="9" fillId="0" borderId="13" xfId="0" applyFont="1" applyFill="1" applyBorder="1" applyAlignment="1">
      <alignment vertical="center"/>
    </xf>
    <xf numFmtId="0" fontId="9" fillId="0" borderId="15" xfId="0" applyFont="1" applyFill="1" applyBorder="1" applyAlignment="1">
      <alignment vertical="center"/>
    </xf>
    <xf numFmtId="0" fontId="9" fillId="0" borderId="13" xfId="0"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0" fontId="9" fillId="0" borderId="12" xfId="0" applyFont="1" applyFill="1" applyBorder="1" applyAlignment="1">
      <alignment vertical="center"/>
    </xf>
    <xf numFmtId="0" fontId="9" fillId="0" borderId="14" xfId="0" applyFont="1" applyFill="1" applyBorder="1" applyAlignment="1">
      <alignment vertical="center"/>
    </xf>
    <xf numFmtId="0" fontId="0" fillId="0" borderId="14" xfId="0" applyBorder="1" applyAlignment="1">
      <alignment vertical="center"/>
    </xf>
    <xf numFmtId="0" fontId="10" fillId="0" borderId="18" xfId="0" applyFont="1" applyBorder="1" applyAlignment="1">
      <alignment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9" fillId="0" borderId="14" xfId="0" applyFont="1" applyBorder="1" applyAlignment="1">
      <alignment horizontal="left" vertical="top" wrapText="1"/>
    </xf>
    <xf numFmtId="0" fontId="9" fillId="0" borderId="17" xfId="0" applyFont="1" applyBorder="1" applyAlignment="1">
      <alignment horizontal="left" vertical="top" wrapText="1"/>
    </xf>
    <xf numFmtId="0" fontId="10" fillId="0" borderId="17" xfId="0" applyFont="1" applyBorder="1" applyAlignment="1">
      <alignment horizontal="left" vertical="top" wrapText="1"/>
    </xf>
    <xf numFmtId="0" fontId="9" fillId="0" borderId="14" xfId="0" applyFont="1" applyBorder="1" applyAlignment="1">
      <alignment horizontal="left" vertical="center"/>
    </xf>
    <xf numFmtId="0" fontId="10" fillId="0" borderId="17" xfId="0" applyFont="1" applyBorder="1" applyAlignment="1">
      <alignment horizontal="left" vertical="center"/>
    </xf>
    <xf numFmtId="0" fontId="10" fillId="0" borderId="17" xfId="0" applyFont="1" applyBorder="1" applyAlignment="1">
      <alignment horizontal="left" vertical="center" wrapText="1"/>
    </xf>
    <xf numFmtId="0" fontId="10" fillId="0" borderId="19" xfId="0" applyFont="1" applyBorder="1" applyAlignment="1">
      <alignment horizontal="left" vertical="center" wrapText="1"/>
    </xf>
    <xf numFmtId="0" fontId="9" fillId="0" borderId="14" xfId="0" applyFont="1" applyBorder="1" applyAlignment="1">
      <alignment horizontal="left" vertical="top"/>
    </xf>
    <xf numFmtId="0" fontId="10" fillId="0" borderId="19" xfId="0" applyFont="1" applyBorder="1" applyAlignment="1">
      <alignment horizontal="left" vertical="top" wrapText="1"/>
    </xf>
    <xf numFmtId="0" fontId="7"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9" fillId="34" borderId="11"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5" xfId="0" applyFont="1" applyFill="1" applyBorder="1" applyAlignment="1">
      <alignment horizontal="center" vertical="center"/>
    </xf>
    <xf numFmtId="49" fontId="9" fillId="34" borderId="14" xfId="0" applyNumberFormat="1" applyFont="1" applyFill="1" applyBorder="1" applyAlignment="1">
      <alignment vertical="center"/>
    </xf>
    <xf numFmtId="49" fontId="9" fillId="34" borderId="17" xfId="0" applyNumberFormat="1" applyFont="1" applyFill="1" applyBorder="1" applyAlignment="1">
      <alignment vertical="center"/>
    </xf>
    <xf numFmtId="0" fontId="4" fillId="0" borderId="13" xfId="0" applyFont="1" applyBorder="1" applyAlignment="1">
      <alignment horizontal="left" vertical="center" wrapText="1"/>
    </xf>
    <xf numFmtId="4" fontId="4" fillId="0" borderId="13"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3" xfId="0" applyBorder="1" applyAlignment="1">
      <alignment horizontal="left" vertical="center" wrapText="1"/>
    </xf>
    <xf numFmtId="0" fontId="19" fillId="0" borderId="13" xfId="0" applyFont="1" applyBorder="1" applyAlignment="1">
      <alignment horizontal="center" vertical="center" wrapText="1"/>
    </xf>
    <xf numFmtId="0" fontId="0" fillId="0" borderId="15" xfId="0" applyBorder="1" applyAlignment="1">
      <alignment horizontal="left" vertical="center" wrapText="1"/>
    </xf>
    <xf numFmtId="178" fontId="4" fillId="0" borderId="13" xfId="0" applyNumberFormat="1" applyFont="1" applyFill="1" applyBorder="1" applyAlignment="1">
      <alignment horizontal="left" vertical="center" wrapText="1"/>
    </xf>
    <xf numFmtId="0" fontId="9" fillId="39" borderId="29" xfId="0" applyFont="1" applyFill="1" applyBorder="1" applyAlignment="1">
      <alignment horizontal="center" vertical="center"/>
    </xf>
    <xf numFmtId="0" fontId="9" fillId="0" borderId="29" xfId="0" applyFont="1" applyFill="1" applyBorder="1" applyAlignment="1">
      <alignment horizontal="center" vertical="center" wrapText="1"/>
    </xf>
    <xf numFmtId="4" fontId="4" fillId="0" borderId="29" xfId="0" applyNumberFormat="1" applyFont="1" applyFill="1" applyBorder="1" applyAlignment="1">
      <alignment horizontal="left" vertical="center" wrapText="1"/>
    </xf>
    <xf numFmtId="0" fontId="9" fillId="39" borderId="34" xfId="0" applyFont="1" applyFill="1" applyBorder="1" applyAlignment="1">
      <alignment horizontal="center" vertical="center"/>
    </xf>
    <xf numFmtId="0" fontId="9" fillId="39" borderId="27" xfId="0" applyFont="1" applyFill="1" applyBorder="1" applyAlignment="1">
      <alignment horizontal="center" vertical="center"/>
    </xf>
    <xf numFmtId="4" fontId="4" fillId="0" borderId="28" xfId="0" applyNumberFormat="1" applyFont="1" applyFill="1" applyBorder="1" applyAlignment="1">
      <alignment horizontal="left" vertical="center" wrapText="1"/>
    </xf>
    <xf numFmtId="4" fontId="4" fillId="0" borderId="39" xfId="0" applyNumberFormat="1" applyFont="1" applyFill="1" applyBorder="1" applyAlignment="1">
      <alignment horizontal="left" vertical="center" wrapText="1"/>
    </xf>
    <xf numFmtId="0" fontId="0" fillId="0" borderId="39" xfId="0" applyBorder="1" applyAlignment="1">
      <alignment vertical="center" wrapText="1"/>
    </xf>
    <xf numFmtId="0" fontId="0" fillId="0" borderId="40" xfId="0" applyBorder="1" applyAlignment="1">
      <alignment vertical="center" wrapText="1"/>
    </xf>
    <xf numFmtId="0" fontId="19" fillId="0" borderId="13" xfId="0" applyFont="1" applyFill="1" applyBorder="1" applyAlignment="1">
      <alignment horizontal="center" vertical="center" wrapText="1"/>
    </xf>
    <xf numFmtId="0" fontId="19" fillId="0" borderId="34" xfId="0" applyFont="1" applyFill="1" applyBorder="1" applyAlignment="1">
      <alignment horizontal="center" vertical="center" wrapText="1"/>
    </xf>
    <xf numFmtId="4" fontId="4" fillId="0" borderId="15" xfId="0" applyNumberFormat="1" applyFont="1" applyFill="1" applyBorder="1" applyAlignment="1">
      <alignment horizontal="left" vertical="center" wrapText="1"/>
    </xf>
    <xf numFmtId="4" fontId="4" fillId="0" borderId="11" xfId="0" applyNumberFormat="1" applyFont="1" applyFill="1" applyBorder="1" applyAlignment="1">
      <alignment horizontal="left" vertical="center" wrapText="1"/>
    </xf>
    <xf numFmtId="0" fontId="0" fillId="0" borderId="15" xfId="0" applyBorder="1" applyAlignment="1">
      <alignmen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34"/>
  <sheetViews>
    <sheetView tabSelected="1" zoomScale="120" zoomScaleNormal="120" zoomScalePageLayoutView="0" workbookViewId="0" topLeftCell="A665">
      <selection activeCell="I704" sqref="I704"/>
    </sheetView>
  </sheetViews>
  <sheetFormatPr defaultColWidth="9.140625" defaultRowHeight="12.75" outlineLevelRow="1"/>
  <cols>
    <col min="1" max="1" width="3.00390625" style="14" customWidth="1"/>
    <col min="2" max="2" width="12.7109375" style="14" customWidth="1"/>
    <col min="3" max="3" width="38.7109375" style="369" customWidth="1"/>
    <col min="4" max="4" width="6.7109375" style="8" customWidth="1"/>
    <col min="5" max="5" width="6.421875" style="8" customWidth="1"/>
    <col min="6" max="6" width="19.421875" style="14" customWidth="1"/>
    <col min="7" max="7" width="16.28125" style="14" customWidth="1"/>
    <col min="8" max="8" width="14.57421875" style="14" customWidth="1"/>
    <col min="9" max="9" width="10.421875" style="14" customWidth="1"/>
    <col min="10" max="10" width="12.7109375" style="14" customWidth="1"/>
    <col min="11" max="11" width="12.7109375" style="153" customWidth="1"/>
    <col min="12" max="12" width="12.7109375" style="177" customWidth="1"/>
    <col min="13" max="13" width="10.28125" style="14" customWidth="1"/>
    <col min="14" max="14" width="30.7109375" style="441" customWidth="1"/>
    <col min="15" max="16384" width="9.140625" style="84" customWidth="1"/>
  </cols>
  <sheetData>
    <row r="1" spans="3:14" s="37" customFormat="1" ht="20.25">
      <c r="C1" s="367"/>
      <c r="D1" s="38"/>
      <c r="K1" s="151"/>
      <c r="L1" s="38"/>
      <c r="N1" s="115"/>
    </row>
    <row r="2" spans="3:14" ht="12" customHeight="1">
      <c r="C2" s="368"/>
      <c r="D2" s="2"/>
      <c r="K2" s="152"/>
      <c r="L2" s="2"/>
      <c r="N2" s="115"/>
    </row>
    <row r="3" spans="3:14" ht="12.75">
      <c r="C3" s="368"/>
      <c r="D3" s="2"/>
      <c r="F3" s="1"/>
      <c r="H3" s="14"/>
      <c r="K3" s="152"/>
      <c r="L3" s="2"/>
      <c r="M3" s="39"/>
      <c r="N3" s="115"/>
    </row>
    <row r="4" spans="1:14" ht="13.5" customHeight="1">
      <c r="A4" s="90" t="s">
        <v>19</v>
      </c>
      <c r="N4" s="115" t="s">
        <v>538</v>
      </c>
    </row>
    <row r="5" spans="1:14" ht="13.5" customHeight="1">
      <c r="A5" s="90"/>
      <c r="N5" s="115"/>
    </row>
    <row r="6" spans="1:14" ht="13.5" customHeight="1">
      <c r="A6" s="90"/>
      <c r="N6" s="115"/>
    </row>
    <row r="7" spans="1:14" s="89" customFormat="1" ht="15" customHeight="1">
      <c r="A7" s="613" t="s">
        <v>32</v>
      </c>
      <c r="B7" s="613"/>
      <c r="C7" s="613"/>
      <c r="D7" s="613"/>
      <c r="E7" s="613"/>
      <c r="F7" s="613"/>
      <c r="G7" s="613"/>
      <c r="H7" s="613"/>
      <c r="I7" s="613"/>
      <c r="J7" s="613"/>
      <c r="K7" s="613"/>
      <c r="L7" s="613"/>
      <c r="M7" s="613"/>
      <c r="N7" s="613"/>
    </row>
    <row r="8" spans="13:14" ht="15.75" customHeight="1">
      <c r="M8" s="40"/>
      <c r="N8" s="409" t="s">
        <v>7</v>
      </c>
    </row>
    <row r="9" spans="1:14" ht="15.75" customHeight="1">
      <c r="A9" s="615" t="s">
        <v>16</v>
      </c>
      <c r="B9" s="615" t="s">
        <v>20</v>
      </c>
      <c r="C9" s="615"/>
      <c r="D9" s="624" t="s">
        <v>27</v>
      </c>
      <c r="E9" s="624" t="s">
        <v>33</v>
      </c>
      <c r="F9" s="615" t="s">
        <v>26</v>
      </c>
      <c r="G9" s="615"/>
      <c r="H9" s="615"/>
      <c r="I9" s="615"/>
      <c r="J9" s="621" t="s">
        <v>40</v>
      </c>
      <c r="K9" s="622"/>
      <c r="L9" s="622"/>
      <c r="M9" s="622"/>
      <c r="N9" s="623"/>
    </row>
    <row r="10" spans="1:14" s="85" customFormat="1" ht="45.75" customHeight="1">
      <c r="A10" s="615"/>
      <c r="B10" s="615"/>
      <c r="C10" s="615"/>
      <c r="D10" s="624"/>
      <c r="E10" s="624"/>
      <c r="F10" s="3" t="s">
        <v>17</v>
      </c>
      <c r="G10" s="4" t="s">
        <v>25</v>
      </c>
      <c r="H10" s="4" t="s">
        <v>45</v>
      </c>
      <c r="I10" s="4" t="s">
        <v>35</v>
      </c>
      <c r="J10" s="4" t="s">
        <v>41</v>
      </c>
      <c r="K10" s="154" t="s">
        <v>43</v>
      </c>
      <c r="L10" s="178" t="s">
        <v>42</v>
      </c>
      <c r="M10" s="4" t="s">
        <v>34</v>
      </c>
      <c r="N10" s="116" t="s">
        <v>3</v>
      </c>
    </row>
    <row r="11" spans="1:14" s="87" customFormat="1" ht="12" customHeight="1">
      <c r="A11" s="5" t="s">
        <v>8</v>
      </c>
      <c r="B11" s="625" t="s">
        <v>9</v>
      </c>
      <c r="C11" s="626"/>
      <c r="D11" s="5" t="s">
        <v>10</v>
      </c>
      <c r="E11" s="5" t="s">
        <v>11</v>
      </c>
      <c r="F11" s="5" t="s">
        <v>12</v>
      </c>
      <c r="G11" s="5" t="s">
        <v>13</v>
      </c>
      <c r="H11" s="5" t="s">
        <v>14</v>
      </c>
      <c r="I11" s="5" t="s">
        <v>15</v>
      </c>
      <c r="J11" s="5" t="s">
        <v>0</v>
      </c>
      <c r="K11" s="155" t="s">
        <v>1</v>
      </c>
      <c r="L11" s="179" t="s">
        <v>2</v>
      </c>
      <c r="M11" s="5" t="s">
        <v>28</v>
      </c>
      <c r="N11" s="410" t="s">
        <v>31</v>
      </c>
    </row>
    <row r="12" spans="1:14" s="86" customFormat="1" ht="3.75" customHeight="1">
      <c r="A12" s="6"/>
      <c r="B12" s="7"/>
      <c r="C12" s="370"/>
      <c r="D12" s="6"/>
      <c r="E12" s="6"/>
      <c r="F12" s="6"/>
      <c r="G12" s="6"/>
      <c r="H12" s="6"/>
      <c r="I12" s="6"/>
      <c r="J12" s="6"/>
      <c r="K12" s="156"/>
      <c r="L12" s="180"/>
      <c r="M12" s="6"/>
      <c r="N12" s="411"/>
    </row>
    <row r="13" spans="1:14" ht="10.5" customHeight="1">
      <c r="A13" s="9" t="s">
        <v>6</v>
      </c>
      <c r="B13" s="627" t="s">
        <v>21</v>
      </c>
      <c r="C13" s="628"/>
      <c r="D13" s="10"/>
      <c r="E13" s="10"/>
      <c r="F13" s="11"/>
      <c r="G13" s="12">
        <f>G16+G14+G15</f>
        <v>2059743461</v>
      </c>
      <c r="H13" s="12">
        <f>H16+H14+H15</f>
        <v>411458262.97999996</v>
      </c>
      <c r="I13" s="13">
        <f>IF(G13&gt;0,H13/G13*100,"-")</f>
        <v>19.976189791142147</v>
      </c>
      <c r="J13" s="12">
        <f>J16+J14+J15</f>
        <v>244869828</v>
      </c>
      <c r="K13" s="12">
        <f>K16+K14+K15</f>
        <v>271064537</v>
      </c>
      <c r="L13" s="12">
        <f>L16+L14+L15</f>
        <v>110650613.63000001</v>
      </c>
      <c r="M13" s="13">
        <f>IF(K13&gt;0,L13/K13*100,"-")</f>
        <v>40.82076351802523</v>
      </c>
      <c r="N13" s="412"/>
    </row>
    <row r="14" spans="1:14" ht="10.5" customHeight="1">
      <c r="A14" s="11"/>
      <c r="B14" s="619" t="s">
        <v>18</v>
      </c>
      <c r="C14" s="620"/>
      <c r="D14" s="10"/>
      <c r="E14" s="10"/>
      <c r="F14" s="15"/>
      <c r="G14" s="16">
        <f>G20+G309</f>
        <v>2028046544</v>
      </c>
      <c r="H14" s="16">
        <f>H20+H309</f>
        <v>399365770.08</v>
      </c>
      <c r="I14" s="17">
        <f>IF(G14&gt;0,H14/G14*100,"-")</f>
        <v>19.692140264804493</v>
      </c>
      <c r="J14" s="16">
        <f>J20+J309</f>
        <v>233424965</v>
      </c>
      <c r="K14" s="16">
        <f>K20+K309</f>
        <v>260845302</v>
      </c>
      <c r="L14" s="16">
        <f>L20+L309</f>
        <v>108045559.31</v>
      </c>
      <c r="M14" s="17">
        <f>IF(K14&gt;0,L14/K14*100,"-")</f>
        <v>41.421316957435565</v>
      </c>
      <c r="N14" s="412"/>
    </row>
    <row r="15" spans="1:14" ht="10.5" customHeight="1">
      <c r="A15" s="11"/>
      <c r="B15" s="15" t="s">
        <v>236</v>
      </c>
      <c r="C15" s="453"/>
      <c r="D15" s="10"/>
      <c r="E15" s="10"/>
      <c r="F15" s="15"/>
      <c r="G15" s="16">
        <f>G310</f>
        <v>9885251</v>
      </c>
      <c r="H15" s="16">
        <f>H310</f>
        <v>2686994</v>
      </c>
      <c r="I15" s="17"/>
      <c r="J15" s="16">
        <f>J310</f>
        <v>7255407</v>
      </c>
      <c r="K15" s="16">
        <f>K310</f>
        <v>4455407</v>
      </c>
      <c r="L15" s="16">
        <f>L310</f>
        <v>1257149.03</v>
      </c>
      <c r="M15" s="17"/>
      <c r="N15" s="412"/>
    </row>
    <row r="16" spans="1:14" ht="10.5" customHeight="1">
      <c r="A16" s="11"/>
      <c r="B16" s="619" t="s">
        <v>23</v>
      </c>
      <c r="C16" s="620"/>
      <c r="D16" s="10"/>
      <c r="E16" s="10"/>
      <c r="F16" s="15"/>
      <c r="G16" s="16">
        <f>G21+G311</f>
        <v>21811666</v>
      </c>
      <c r="H16" s="16">
        <f>H21+H311</f>
        <v>9405498.9</v>
      </c>
      <c r="I16" s="17">
        <f>IF(G16&gt;0,H16/G16*100,"-")</f>
        <v>43.12141447608816</v>
      </c>
      <c r="J16" s="16">
        <f>J21+J311</f>
        <v>4189456</v>
      </c>
      <c r="K16" s="16">
        <f>K21+K311</f>
        <v>5763828</v>
      </c>
      <c r="L16" s="16">
        <f>L21+L311</f>
        <v>1347905.29</v>
      </c>
      <c r="M16" s="17">
        <f>IF(K16&gt;0,L16/K16*100,"-")</f>
        <v>23.385591832372516</v>
      </c>
      <c r="N16" s="412"/>
    </row>
    <row r="17" spans="1:14" ht="3.75" customHeight="1">
      <c r="A17" s="41"/>
      <c r="B17" s="42"/>
      <c r="C17" s="371"/>
      <c r="D17" s="43"/>
      <c r="E17" s="43"/>
      <c r="F17" s="41"/>
      <c r="G17" s="41"/>
      <c r="H17" s="41"/>
      <c r="I17" s="41"/>
      <c r="J17" s="41"/>
      <c r="K17" s="157"/>
      <c r="L17" s="44"/>
      <c r="M17" s="45"/>
      <c r="N17" s="413"/>
    </row>
    <row r="18" spans="1:14" ht="3.75" customHeight="1">
      <c r="A18" s="46"/>
      <c r="B18" s="47"/>
      <c r="C18" s="372"/>
      <c r="D18" s="48"/>
      <c r="E18" s="48"/>
      <c r="F18" s="46"/>
      <c r="G18" s="46"/>
      <c r="H18" s="46"/>
      <c r="I18" s="46"/>
      <c r="J18" s="46"/>
      <c r="K18" s="158"/>
      <c r="L18" s="49"/>
      <c r="M18" s="50"/>
      <c r="N18" s="338"/>
    </row>
    <row r="19" spans="1:14" ht="10.5" customHeight="1">
      <c r="A19" s="18" t="s">
        <v>5</v>
      </c>
      <c r="B19" s="616" t="s">
        <v>22</v>
      </c>
      <c r="C19" s="617"/>
      <c r="D19" s="19"/>
      <c r="E19" s="19"/>
      <c r="F19" s="20"/>
      <c r="G19" s="159">
        <f>SUM(G20:G21)</f>
        <v>1704192623</v>
      </c>
      <c r="H19" s="21">
        <f>SUM(H20:H21)</f>
        <v>325156819.97999996</v>
      </c>
      <c r="I19" s="22">
        <f>IF(G19&gt;0,H19/G19*100,"-")</f>
        <v>19.079816189299393</v>
      </c>
      <c r="J19" s="21">
        <f>SUM(J20:J21)</f>
        <v>197415409</v>
      </c>
      <c r="K19" s="159">
        <f>SUM(K20:K21)</f>
        <v>216194411</v>
      </c>
      <c r="L19" s="21">
        <f>SUM(L20:L21)</f>
        <v>103141303.09</v>
      </c>
      <c r="M19" s="22">
        <f>IF(K19&gt;0,L19/K19*100,"-")</f>
        <v>47.707663955290684</v>
      </c>
      <c r="N19" s="339"/>
    </row>
    <row r="20" spans="1:14" ht="10.5" customHeight="1">
      <c r="A20" s="20"/>
      <c r="B20" s="23" t="s">
        <v>18</v>
      </c>
      <c r="C20" s="373"/>
      <c r="D20" s="19"/>
      <c r="E20" s="19"/>
      <c r="F20" s="23"/>
      <c r="G20" s="160">
        <f>SUM(G25,G40,G67,G102,G110,G120,G138,G148,G168,G220,G286,G293)</f>
        <v>1703395307</v>
      </c>
      <c r="H20" s="24">
        <f>SUM(H25,H40,H67,H102,H110,H120,H138,H148,H168,H220,H286,H293)</f>
        <v>324651270.08</v>
      </c>
      <c r="I20" s="25">
        <f>IF(G20&gt;0,H20/G20*100,"-")</f>
        <v>19.059068012331913</v>
      </c>
      <c r="J20" s="24">
        <f aca="true" t="shared" si="0" ref="J20:L21">SUM(J25,J40,J67,J102,J110,J120,J138,J148,J168,J220,J286,J293)</f>
        <v>196866236</v>
      </c>
      <c r="K20" s="160">
        <f t="shared" si="0"/>
        <v>215565432</v>
      </c>
      <c r="L20" s="24">
        <f t="shared" si="0"/>
        <v>102790490.19</v>
      </c>
      <c r="M20" s="25">
        <f>IF(K20&gt;0,L20/K20*100,"-")</f>
        <v>47.68412506417077</v>
      </c>
      <c r="N20" s="339"/>
    </row>
    <row r="21" spans="1:14" ht="10.5" customHeight="1">
      <c r="A21" s="20"/>
      <c r="B21" s="23" t="s">
        <v>23</v>
      </c>
      <c r="C21" s="373"/>
      <c r="D21" s="19"/>
      <c r="E21" s="19"/>
      <c r="F21" s="23"/>
      <c r="G21" s="160">
        <f>SUM(G26,G41,G68,G103,G111,G121,G139,G149,G169,G221,G287,G294)</f>
        <v>797316</v>
      </c>
      <c r="H21" s="24">
        <f>SUM(H26,H41,H68,H103,H111,H121,H139,H149,H169,H221,H287,H294)</f>
        <v>505549.9</v>
      </c>
      <c r="I21" s="25">
        <f>IF(G21&gt;0,H21/G21*100,"-")</f>
        <v>63.40646619408115</v>
      </c>
      <c r="J21" s="24">
        <f t="shared" si="0"/>
        <v>549173</v>
      </c>
      <c r="K21" s="160">
        <f t="shared" si="0"/>
        <v>628979</v>
      </c>
      <c r="L21" s="24">
        <f t="shared" si="0"/>
        <v>350812.9</v>
      </c>
      <c r="M21" s="25">
        <f>IF(K21&gt;0,L21/K21*100,"-")</f>
        <v>55.77497817892172</v>
      </c>
      <c r="N21" s="339"/>
    </row>
    <row r="22" spans="1:14" ht="3.75" customHeight="1">
      <c r="A22" s="51"/>
      <c r="B22" s="52"/>
      <c r="C22" s="374"/>
      <c r="D22" s="53"/>
      <c r="E22" s="53"/>
      <c r="F22" s="51"/>
      <c r="G22" s="161"/>
      <c r="H22" s="51"/>
      <c r="I22" s="51"/>
      <c r="J22" s="51"/>
      <c r="K22" s="161"/>
      <c r="L22" s="54"/>
      <c r="M22" s="55"/>
      <c r="N22" s="340"/>
    </row>
    <row r="23" spans="1:14" ht="3.75" customHeight="1">
      <c r="A23" s="56"/>
      <c r="B23" s="57"/>
      <c r="C23" s="375"/>
      <c r="D23" s="58"/>
      <c r="E23" s="58"/>
      <c r="F23" s="56"/>
      <c r="G23" s="443"/>
      <c r="H23" s="97"/>
      <c r="I23" s="56"/>
      <c r="J23" s="56"/>
      <c r="K23" s="162"/>
      <c r="L23" s="59"/>
      <c r="M23" s="60"/>
      <c r="N23" s="414"/>
    </row>
    <row r="24" spans="1:14" ht="10.5" customHeight="1">
      <c r="A24" s="26" t="s">
        <v>4</v>
      </c>
      <c r="B24" s="579" t="s">
        <v>36</v>
      </c>
      <c r="C24" s="580"/>
      <c r="D24" s="27"/>
      <c r="E24" s="27"/>
      <c r="F24" s="28"/>
      <c r="G24" s="163">
        <f>SUM(G25:G26)</f>
        <v>177557710</v>
      </c>
      <c r="H24" s="29">
        <f>SUM(H25:H26)</f>
        <v>57141169.06999999</v>
      </c>
      <c r="I24" s="30">
        <f>IF(G24&gt;0,H24/G24*100,"-")</f>
        <v>32.18174478033085</v>
      </c>
      <c r="J24" s="29">
        <f>SUM(J25:J26)</f>
        <v>21538471</v>
      </c>
      <c r="K24" s="163">
        <f>SUM(K25:K26)</f>
        <v>21538471</v>
      </c>
      <c r="L24" s="29">
        <f>SUM(L25:L26)</f>
        <v>11155260</v>
      </c>
      <c r="M24" s="30">
        <f>IF(K24&gt;0,L24/K24*100,"-")</f>
        <v>51.79225581983048</v>
      </c>
      <c r="N24" s="415"/>
    </row>
    <row r="25" spans="1:14" ht="10.5" customHeight="1">
      <c r="A25" s="28"/>
      <c r="B25" s="31"/>
      <c r="C25" s="376"/>
      <c r="D25" s="27"/>
      <c r="E25" s="27"/>
      <c r="F25" s="32" t="s">
        <v>18</v>
      </c>
      <c r="G25" s="164">
        <f>G30</f>
        <v>177557710</v>
      </c>
      <c r="H25" s="33">
        <f>H30</f>
        <v>57141169.06999999</v>
      </c>
      <c r="I25" s="34">
        <f>IF(G25&gt;0,H25/G25*100,"-")</f>
        <v>32.18174478033085</v>
      </c>
      <c r="J25" s="33">
        <f>J30</f>
        <v>21538471</v>
      </c>
      <c r="K25" s="164">
        <f>K30</f>
        <v>21538471</v>
      </c>
      <c r="L25" s="33">
        <f>L30</f>
        <v>11155260</v>
      </c>
      <c r="M25" s="34">
        <f>IF(K25&gt;0,L25/K25*100,"-")</f>
        <v>51.79225581983048</v>
      </c>
      <c r="N25" s="415"/>
    </row>
    <row r="26" spans="1:14" ht="10.5" customHeight="1">
      <c r="A26" s="28"/>
      <c r="B26" s="31"/>
      <c r="C26" s="376"/>
      <c r="D26" s="27"/>
      <c r="E26" s="27"/>
      <c r="F26" s="32" t="s">
        <v>23</v>
      </c>
      <c r="G26" s="164">
        <f>G31</f>
        <v>0</v>
      </c>
      <c r="H26" s="33">
        <f>H31</f>
        <v>0</v>
      </c>
      <c r="I26" s="34" t="str">
        <f>IF(G26&gt;0,H26/G26*100,"-")</f>
        <v>-</v>
      </c>
      <c r="J26" s="33">
        <f>J38</f>
        <v>0</v>
      </c>
      <c r="K26" s="164">
        <f>K31</f>
        <v>0</v>
      </c>
      <c r="L26" s="33">
        <f>L31</f>
        <v>0</v>
      </c>
      <c r="M26" s="34" t="str">
        <f>IF(K26&gt;0,L26/K26*100,"-")</f>
        <v>-</v>
      </c>
      <c r="N26" s="415"/>
    </row>
    <row r="27" spans="1:14" ht="3.75" customHeight="1">
      <c r="A27" s="61"/>
      <c r="B27" s="62"/>
      <c r="C27" s="377"/>
      <c r="D27" s="63"/>
      <c r="E27" s="63"/>
      <c r="F27" s="61"/>
      <c r="G27" s="165"/>
      <c r="H27" s="61"/>
      <c r="I27" s="65"/>
      <c r="J27" s="61"/>
      <c r="K27" s="165"/>
      <c r="L27" s="64"/>
      <c r="M27" s="65"/>
      <c r="N27" s="416"/>
    </row>
    <row r="28" spans="1:14" s="83" customFormat="1" ht="3.75" customHeight="1">
      <c r="A28" s="571" t="s">
        <v>4</v>
      </c>
      <c r="B28" s="67"/>
      <c r="C28" s="378"/>
      <c r="D28" s="66"/>
      <c r="E28" s="66"/>
      <c r="F28" s="67"/>
      <c r="G28" s="167"/>
      <c r="H28" s="67"/>
      <c r="I28" s="70"/>
      <c r="J28" s="67"/>
      <c r="K28" s="166"/>
      <c r="L28" s="69"/>
      <c r="M28" s="70"/>
      <c r="N28" s="417"/>
    </row>
    <row r="29" spans="1:14" s="83" customFormat="1" ht="21" customHeight="1">
      <c r="A29" s="572"/>
      <c r="B29" s="92" t="s">
        <v>29</v>
      </c>
      <c r="C29" s="379" t="s">
        <v>37</v>
      </c>
      <c r="D29" s="618" t="s">
        <v>39</v>
      </c>
      <c r="E29" s="91"/>
      <c r="F29" s="72" t="s">
        <v>30</v>
      </c>
      <c r="G29" s="168">
        <f>G30+G31</f>
        <v>177557710</v>
      </c>
      <c r="H29" s="35">
        <f>H30+H31</f>
        <v>57141169.06999999</v>
      </c>
      <c r="I29" s="36">
        <f>IF(G29&gt;0,H29/G29*100,"-")</f>
        <v>32.18174478033085</v>
      </c>
      <c r="J29" s="35">
        <f>J30</f>
        <v>21538471</v>
      </c>
      <c r="K29" s="168">
        <f>K30+K31</f>
        <v>21538471</v>
      </c>
      <c r="L29" s="35">
        <f>L30+L31</f>
        <v>11155260</v>
      </c>
      <c r="M29" s="36">
        <f>IF(K29&gt;0,L29/K29*100,"-")</f>
        <v>51.79225581983048</v>
      </c>
      <c r="N29" s="614" t="s">
        <v>38</v>
      </c>
    </row>
    <row r="30" spans="1:14" s="83" customFormat="1" ht="10.5" customHeight="1">
      <c r="A30" s="572"/>
      <c r="B30" s="71" t="s">
        <v>44</v>
      </c>
      <c r="C30" s="380"/>
      <c r="D30" s="618"/>
      <c r="E30" s="91"/>
      <c r="F30" s="73" t="s">
        <v>18</v>
      </c>
      <c r="G30" s="342">
        <f>G33+G37</f>
        <v>177557710</v>
      </c>
      <c r="H30" s="74">
        <f>H33+H37</f>
        <v>57141169.06999999</v>
      </c>
      <c r="I30" s="75">
        <f>IF(G30&gt;0,H30/G30*100,"-")</f>
        <v>32.18174478033085</v>
      </c>
      <c r="J30" s="74">
        <f>J33+J36</f>
        <v>21538471</v>
      </c>
      <c r="K30" s="169">
        <f>K33+K37</f>
        <v>21538471</v>
      </c>
      <c r="L30" s="74">
        <f>L33+L37</f>
        <v>11155260</v>
      </c>
      <c r="M30" s="75">
        <f>IF(K30&gt;0,L30/K30*100,"-")</f>
        <v>51.79225581983048</v>
      </c>
      <c r="N30" s="614"/>
    </row>
    <row r="31" spans="1:14" s="83" customFormat="1" ht="10.5" customHeight="1">
      <c r="A31" s="572"/>
      <c r="B31" s="71"/>
      <c r="C31" s="380"/>
      <c r="D31" s="618"/>
      <c r="E31" s="91"/>
      <c r="F31" s="73"/>
      <c r="G31" s="342"/>
      <c r="H31" s="74"/>
      <c r="I31" s="75"/>
      <c r="J31" s="74"/>
      <c r="K31" s="169"/>
      <c r="L31" s="74"/>
      <c r="M31" s="75"/>
      <c r="N31" s="614"/>
    </row>
    <row r="32" spans="1:14" s="83" customFormat="1" ht="10.5" customHeight="1">
      <c r="A32" s="572"/>
      <c r="B32" s="71"/>
      <c r="C32" s="380"/>
      <c r="D32" s="618"/>
      <c r="E32" s="91">
        <v>700</v>
      </c>
      <c r="F32" s="73"/>
      <c r="G32" s="169"/>
      <c r="H32" s="74"/>
      <c r="I32" s="75"/>
      <c r="J32" s="74"/>
      <c r="K32" s="169"/>
      <c r="L32" s="74"/>
      <c r="M32" s="75"/>
      <c r="N32" s="614"/>
    </row>
    <row r="33" spans="1:14" s="83" customFormat="1" ht="10.5" customHeight="1">
      <c r="A33" s="572"/>
      <c r="B33" s="71"/>
      <c r="C33" s="380"/>
      <c r="D33" s="618"/>
      <c r="E33" s="91">
        <v>70004</v>
      </c>
      <c r="F33" s="73" t="s">
        <v>18</v>
      </c>
      <c r="G33" s="169">
        <v>175915130</v>
      </c>
      <c r="H33" s="74">
        <v>57060012.41</v>
      </c>
      <c r="I33" s="75">
        <f>IF(G33&gt;0,H33/G33*100,"-")</f>
        <v>32.436102801390646</v>
      </c>
      <c r="J33" s="74">
        <v>21271471</v>
      </c>
      <c r="K33" s="169">
        <v>21271471</v>
      </c>
      <c r="L33" s="74">
        <v>11074103.34</v>
      </c>
      <c r="M33" s="75">
        <f>IF(K33&gt;0,L33/K33*100,"-")</f>
        <v>52.06082522454606</v>
      </c>
      <c r="N33" s="614"/>
    </row>
    <row r="34" spans="1:14" s="83" customFormat="1" ht="10.5" customHeight="1">
      <c r="A34" s="572"/>
      <c r="B34" s="71"/>
      <c r="C34" s="380"/>
      <c r="D34" s="618"/>
      <c r="E34" s="91"/>
      <c r="F34" s="73"/>
      <c r="G34" s="169"/>
      <c r="H34" s="74"/>
      <c r="I34" s="75"/>
      <c r="J34" s="74"/>
      <c r="K34" s="169"/>
      <c r="L34" s="74"/>
      <c r="M34" s="75"/>
      <c r="N34" s="614"/>
    </row>
    <row r="35" spans="1:14" s="83" customFormat="1" ht="10.5" customHeight="1">
      <c r="A35" s="572"/>
      <c r="B35" s="71"/>
      <c r="C35" s="380"/>
      <c r="D35" s="618"/>
      <c r="E35" s="91">
        <v>700</v>
      </c>
      <c r="F35" s="73"/>
      <c r="G35" s="169"/>
      <c r="H35" s="74"/>
      <c r="I35" s="75"/>
      <c r="J35" s="74"/>
      <c r="K35" s="169"/>
      <c r="L35" s="74"/>
      <c r="M35" s="75"/>
      <c r="N35" s="614"/>
    </row>
    <row r="36" spans="1:14" s="83" customFormat="1" ht="10.5" customHeight="1">
      <c r="A36" s="572"/>
      <c r="B36" s="71"/>
      <c r="C36" s="380"/>
      <c r="D36" s="618"/>
      <c r="E36" s="91">
        <v>70005</v>
      </c>
      <c r="G36" s="168">
        <f>G37+G38</f>
        <v>1642580</v>
      </c>
      <c r="H36" s="74">
        <f>H37+H38</f>
        <v>81156.66</v>
      </c>
      <c r="I36" s="75">
        <f>IF(G36&gt;0,H36/G36*100,"-")</f>
        <v>4.940804100865711</v>
      </c>
      <c r="J36" s="74">
        <f>J37</f>
        <v>267000</v>
      </c>
      <c r="K36" s="169">
        <f>K37+K38</f>
        <v>267000</v>
      </c>
      <c r="L36" s="74">
        <f>L37+L38</f>
        <v>81156.66</v>
      </c>
      <c r="M36" s="75">
        <f aca="true" t="shared" si="1" ref="M36:M41">IF(K36&gt;0,L36/K36*100,"-")</f>
        <v>30.395752808988764</v>
      </c>
      <c r="N36" s="614"/>
    </row>
    <row r="37" spans="1:14" s="83" customFormat="1" ht="10.5" customHeight="1">
      <c r="A37" s="572"/>
      <c r="B37" s="71"/>
      <c r="C37" s="381"/>
      <c r="D37" s="618"/>
      <c r="E37" s="91"/>
      <c r="F37" s="73" t="s">
        <v>18</v>
      </c>
      <c r="G37" s="342">
        <v>1642580</v>
      </c>
      <c r="H37" s="74">
        <v>81156.66</v>
      </c>
      <c r="I37" s="75"/>
      <c r="J37" s="74">
        <v>267000</v>
      </c>
      <c r="K37" s="169">
        <v>267000</v>
      </c>
      <c r="L37" s="76">
        <v>81156.66</v>
      </c>
      <c r="M37" s="75">
        <f t="shared" si="1"/>
        <v>30.395752808988764</v>
      </c>
      <c r="N37" s="614"/>
    </row>
    <row r="38" spans="1:14" s="83" customFormat="1" ht="10.5" customHeight="1">
      <c r="A38" s="573"/>
      <c r="B38" s="78"/>
      <c r="C38" s="382"/>
      <c r="D38" s="77"/>
      <c r="E38" s="77"/>
      <c r="F38" s="93"/>
      <c r="G38" s="80"/>
      <c r="H38" s="80"/>
      <c r="I38" s="81"/>
      <c r="J38" s="78"/>
      <c r="K38" s="171"/>
      <c r="L38" s="80"/>
      <c r="M38" s="81" t="str">
        <f t="shared" si="1"/>
        <v>-</v>
      </c>
      <c r="N38" s="419"/>
    </row>
    <row r="39" spans="1:14" ht="11.25">
      <c r="A39" s="26"/>
      <c r="B39" s="579"/>
      <c r="C39" s="580"/>
      <c r="D39" s="27"/>
      <c r="E39" s="27"/>
      <c r="F39" s="28"/>
      <c r="G39" s="163">
        <f>SUM(G40:G41)</f>
        <v>6027608</v>
      </c>
      <c r="H39" s="29">
        <f>SUM(H40:H41)</f>
        <v>185907.18</v>
      </c>
      <c r="I39" s="30">
        <f>IF(G39&gt;0,H39/G39*100,"-")</f>
        <v>3.0842612857372274</v>
      </c>
      <c r="J39" s="29">
        <f>SUM(J40:J41)</f>
        <v>98000</v>
      </c>
      <c r="K39" s="163">
        <f>SUM(K40:K41)</f>
        <v>98000</v>
      </c>
      <c r="L39" s="29">
        <f>SUM(L40:L41)</f>
        <v>41809.36</v>
      </c>
      <c r="M39" s="30">
        <f t="shared" si="1"/>
        <v>42.66261224489796</v>
      </c>
      <c r="N39" s="420"/>
    </row>
    <row r="40" spans="1:14" ht="12.75">
      <c r="A40" s="28" t="s">
        <v>56</v>
      </c>
      <c r="B40" s="630" t="s">
        <v>46</v>
      </c>
      <c r="C40" s="631"/>
      <c r="D40" s="27"/>
      <c r="E40" s="27"/>
      <c r="F40" s="32" t="s">
        <v>18</v>
      </c>
      <c r="G40" s="164">
        <f>SUM(G44,G57,G61)</f>
        <v>6027608</v>
      </c>
      <c r="H40" s="33">
        <f>SUM(H44,H57,H61)</f>
        <v>185907.18</v>
      </c>
      <c r="I40" s="34">
        <f>IF(G40&gt;0,H40/G40*100,"-")</f>
        <v>3.0842612857372274</v>
      </c>
      <c r="J40" s="33">
        <f>SUM(J44,J57,J61)</f>
        <v>98000</v>
      </c>
      <c r="K40" s="164">
        <f>SUM(K44,K57,K61)</f>
        <v>98000</v>
      </c>
      <c r="L40" s="33">
        <f>SUM(L44,L57,L61)</f>
        <v>41809.36</v>
      </c>
      <c r="M40" s="34">
        <f t="shared" si="1"/>
        <v>42.66261224489796</v>
      </c>
      <c r="N40" s="420"/>
    </row>
    <row r="41" spans="1:14" ht="11.25">
      <c r="A41" s="28"/>
      <c r="B41" s="31"/>
      <c r="C41" s="376"/>
      <c r="D41" s="27"/>
      <c r="E41" s="27"/>
      <c r="F41" s="32" t="s">
        <v>23</v>
      </c>
      <c r="G41" s="164">
        <f>G46</f>
        <v>0</v>
      </c>
      <c r="H41" s="33">
        <f>H46</f>
        <v>0</v>
      </c>
      <c r="I41" s="34" t="str">
        <f>IF(G41&gt;0,H41/G41*100,"-")</f>
        <v>-</v>
      </c>
      <c r="J41" s="33">
        <f>J46</f>
        <v>0</v>
      </c>
      <c r="K41" s="164">
        <f>K46</f>
        <v>0</v>
      </c>
      <c r="L41" s="33">
        <f>L46</f>
        <v>0</v>
      </c>
      <c r="M41" s="34" t="str">
        <f t="shared" si="1"/>
        <v>-</v>
      </c>
      <c r="N41" s="420"/>
    </row>
    <row r="42" spans="1:14" ht="11.25">
      <c r="A42" s="61"/>
      <c r="B42" s="62"/>
      <c r="C42" s="377"/>
      <c r="D42" s="63"/>
      <c r="E42" s="63"/>
      <c r="F42" s="61"/>
      <c r="G42" s="165"/>
      <c r="H42" s="61"/>
      <c r="I42" s="65"/>
      <c r="J42" s="61"/>
      <c r="K42" s="165"/>
      <c r="L42" s="64"/>
      <c r="M42" s="65"/>
      <c r="N42" s="421"/>
    </row>
    <row r="43" spans="1:14" ht="11.25">
      <c r="A43" s="101"/>
      <c r="B43" s="67"/>
      <c r="C43" s="378"/>
      <c r="D43" s="66"/>
      <c r="E43" s="66"/>
      <c r="F43" s="67"/>
      <c r="G43" s="167"/>
      <c r="H43" s="67"/>
      <c r="I43" s="70"/>
      <c r="J43" s="67"/>
      <c r="K43" s="166"/>
      <c r="L43" s="69"/>
      <c r="M43" s="70"/>
      <c r="N43" s="417"/>
    </row>
    <row r="44" spans="1:14" ht="22.5">
      <c r="A44" s="605" t="s">
        <v>4</v>
      </c>
      <c r="B44" s="71" t="s">
        <v>29</v>
      </c>
      <c r="C44" s="381" t="s">
        <v>47</v>
      </c>
      <c r="D44" s="569" t="s">
        <v>48</v>
      </c>
      <c r="E44" s="569"/>
      <c r="F44" s="72" t="s">
        <v>30</v>
      </c>
      <c r="G44" s="168">
        <f>SUM(G45:G46)</f>
        <v>732098</v>
      </c>
      <c r="H44" s="35">
        <f>SUM(H45:H46)</f>
        <v>185907.18</v>
      </c>
      <c r="I44" s="36">
        <f>IF(G44&gt;0,H44/G44*100,"-")</f>
        <v>25.393756027198545</v>
      </c>
      <c r="J44" s="35">
        <f>SUM(J45:J46)</f>
        <v>98000</v>
      </c>
      <c r="K44" s="168">
        <f>SUM(K45:K46)</f>
        <v>98000</v>
      </c>
      <c r="L44" s="35">
        <f>SUM(L45:L46)</f>
        <v>41809.36</v>
      </c>
      <c r="M44" s="36">
        <f>IF(K44&gt;0,L44/K44*100,"-")</f>
        <v>42.66261224489796</v>
      </c>
      <c r="N44" s="629"/>
    </row>
    <row r="45" spans="1:14" ht="22.5">
      <c r="A45" s="605"/>
      <c r="B45" s="71" t="s">
        <v>24</v>
      </c>
      <c r="C45" s="381" t="s">
        <v>49</v>
      </c>
      <c r="D45" s="569"/>
      <c r="E45" s="569"/>
      <c r="F45" s="73" t="s">
        <v>18</v>
      </c>
      <c r="G45" s="169">
        <f>G47+G49+G51</f>
        <v>732098</v>
      </c>
      <c r="H45" s="74">
        <f>H47+H49+H51</f>
        <v>185907.18</v>
      </c>
      <c r="I45" s="36">
        <f aca="true" t="shared" si="2" ref="I45:I52">IF(G45&gt;0,H45/G45*100,"-")</f>
        <v>25.393756027198545</v>
      </c>
      <c r="J45" s="74">
        <f>J47+J49+J51</f>
        <v>98000</v>
      </c>
      <c r="K45" s="169">
        <f>K47+K49+K51</f>
        <v>98000</v>
      </c>
      <c r="L45" s="74">
        <f>L47+L49+L51</f>
        <v>41809.36</v>
      </c>
      <c r="M45" s="75">
        <f>IF(K45&gt;0,L45/K45*100,"-")</f>
        <v>42.66261224489796</v>
      </c>
      <c r="N45" s="629"/>
    </row>
    <row r="46" spans="1:14" ht="11.25">
      <c r="A46" s="605"/>
      <c r="B46" s="71"/>
      <c r="C46" s="381"/>
      <c r="D46" s="569"/>
      <c r="E46" s="569"/>
      <c r="F46" s="73" t="s">
        <v>23</v>
      </c>
      <c r="G46" s="169"/>
      <c r="H46" s="74"/>
      <c r="I46" s="36" t="str">
        <f t="shared" si="2"/>
        <v>-</v>
      </c>
      <c r="J46" s="74"/>
      <c r="K46" s="169"/>
      <c r="L46" s="76"/>
      <c r="M46" s="75" t="str">
        <f aca="true" t="shared" si="3" ref="M46:M52">IF(K46&gt;0,L46/K46*100,"-")</f>
        <v>-</v>
      </c>
      <c r="N46" s="629"/>
    </row>
    <row r="47" spans="1:14" ht="135" customHeight="1">
      <c r="A47" s="605"/>
      <c r="B47" s="71"/>
      <c r="C47" s="381"/>
      <c r="D47" s="95"/>
      <c r="E47" s="103" t="s">
        <v>50</v>
      </c>
      <c r="F47" s="104"/>
      <c r="G47" s="167">
        <f>G48</f>
        <v>164604</v>
      </c>
      <c r="H47" s="69">
        <f>H48</f>
        <v>29023.6</v>
      </c>
      <c r="I47" s="105">
        <f t="shared" si="2"/>
        <v>17.63237831401424</v>
      </c>
      <c r="J47" s="69">
        <f>J48</f>
        <v>24000</v>
      </c>
      <c r="K47" s="167">
        <f>K48</f>
        <v>24000</v>
      </c>
      <c r="L47" s="69">
        <f>L48</f>
        <v>8419.3</v>
      </c>
      <c r="M47" s="70">
        <f t="shared" si="3"/>
        <v>35.080416666666665</v>
      </c>
      <c r="N47" s="632" t="s">
        <v>51</v>
      </c>
    </row>
    <row r="48" spans="1:14" ht="11.25">
      <c r="A48" s="605"/>
      <c r="B48" s="71"/>
      <c r="C48" s="381"/>
      <c r="D48" s="95"/>
      <c r="E48" s="106"/>
      <c r="F48" s="107" t="s">
        <v>18</v>
      </c>
      <c r="G48" s="259">
        <v>164604</v>
      </c>
      <c r="H48" s="80">
        <f>20604.3+L48</f>
        <v>29023.6</v>
      </c>
      <c r="I48" s="108">
        <f t="shared" si="2"/>
        <v>17.63237831401424</v>
      </c>
      <c r="J48" s="80">
        <v>24000</v>
      </c>
      <c r="K48" s="171">
        <v>24000</v>
      </c>
      <c r="L48" s="109">
        <v>8419.3</v>
      </c>
      <c r="M48" s="81">
        <f t="shared" si="3"/>
        <v>35.080416666666665</v>
      </c>
      <c r="N48" s="633"/>
    </row>
    <row r="49" spans="1:14" ht="22.5">
      <c r="A49" s="605"/>
      <c r="B49" s="71"/>
      <c r="C49" s="381"/>
      <c r="D49" s="95"/>
      <c r="E49" s="110" t="s">
        <v>52</v>
      </c>
      <c r="F49" s="111"/>
      <c r="G49" s="172">
        <f>G50</f>
        <v>345650</v>
      </c>
      <c r="H49" s="112">
        <f>H50</f>
        <v>103262.71</v>
      </c>
      <c r="I49" s="36">
        <f t="shared" si="2"/>
        <v>29.874934181975988</v>
      </c>
      <c r="J49" s="112">
        <f>J50</f>
        <v>44000</v>
      </c>
      <c r="K49" s="172">
        <f>K50</f>
        <v>44000</v>
      </c>
      <c r="L49" s="112">
        <f>L50</f>
        <v>21613.14</v>
      </c>
      <c r="M49" s="75">
        <f t="shared" si="3"/>
        <v>49.12077272727273</v>
      </c>
      <c r="N49" s="632" t="s">
        <v>53</v>
      </c>
    </row>
    <row r="50" spans="1:14" ht="33.75" customHeight="1">
      <c r="A50" s="605"/>
      <c r="B50" s="71"/>
      <c r="C50" s="381"/>
      <c r="D50" s="95"/>
      <c r="E50" s="106"/>
      <c r="F50" s="107" t="s">
        <v>18</v>
      </c>
      <c r="G50" s="259">
        <v>345650</v>
      </c>
      <c r="H50" s="80">
        <f>81649.57+L50</f>
        <v>103262.71</v>
      </c>
      <c r="I50" s="108">
        <f t="shared" si="2"/>
        <v>29.874934181975988</v>
      </c>
      <c r="J50" s="80">
        <v>44000</v>
      </c>
      <c r="K50" s="171">
        <v>44000</v>
      </c>
      <c r="L50" s="109">
        <v>21613.14</v>
      </c>
      <c r="M50" s="81">
        <f t="shared" si="3"/>
        <v>49.12077272727273</v>
      </c>
      <c r="N50" s="634"/>
    </row>
    <row r="51" spans="1:14" ht="22.5">
      <c r="A51" s="605"/>
      <c r="B51" s="71"/>
      <c r="C51" s="381"/>
      <c r="D51" s="95"/>
      <c r="E51" s="110" t="s">
        <v>54</v>
      </c>
      <c r="F51" s="111"/>
      <c r="G51" s="172">
        <f>G52</f>
        <v>221844</v>
      </c>
      <c r="H51" s="112">
        <f>H52</f>
        <v>53620.869999999995</v>
      </c>
      <c r="I51" s="36">
        <f t="shared" si="2"/>
        <v>24.170529741620236</v>
      </c>
      <c r="J51" s="112">
        <f>J52</f>
        <v>30000</v>
      </c>
      <c r="K51" s="172">
        <f>K52</f>
        <v>30000</v>
      </c>
      <c r="L51" s="112">
        <f>L52</f>
        <v>11776.92</v>
      </c>
      <c r="M51" s="75">
        <f t="shared" si="3"/>
        <v>39.2564</v>
      </c>
      <c r="N51" s="614" t="s">
        <v>55</v>
      </c>
    </row>
    <row r="52" spans="1:14" ht="11.25">
      <c r="A52" s="605"/>
      <c r="B52" s="71"/>
      <c r="C52" s="381"/>
      <c r="D52" s="95"/>
      <c r="E52" s="95"/>
      <c r="F52" s="111" t="s">
        <v>18</v>
      </c>
      <c r="G52" s="172">
        <v>221844</v>
      </c>
      <c r="H52" s="112">
        <f>41843.95+L52</f>
        <v>53620.869999999995</v>
      </c>
      <c r="I52" s="36">
        <f t="shared" si="2"/>
        <v>24.170529741620236</v>
      </c>
      <c r="J52" s="112">
        <v>30000</v>
      </c>
      <c r="K52" s="169">
        <v>30000</v>
      </c>
      <c r="L52" s="82">
        <v>11776.92</v>
      </c>
      <c r="M52" s="75">
        <f t="shared" si="3"/>
        <v>39.2564</v>
      </c>
      <c r="N52" s="614"/>
    </row>
    <row r="53" spans="1:14" ht="11.25">
      <c r="A53" s="102"/>
      <c r="B53" s="71"/>
      <c r="C53" s="381"/>
      <c r="D53" s="95"/>
      <c r="E53" s="95"/>
      <c r="F53" s="111"/>
      <c r="G53" s="172"/>
      <c r="H53" s="112"/>
      <c r="I53" s="36"/>
      <c r="J53" s="112"/>
      <c r="K53" s="169"/>
      <c r="L53" s="82"/>
      <c r="M53" s="75"/>
      <c r="N53" s="418"/>
    </row>
    <row r="54" spans="1:14" ht="11.25">
      <c r="A54" s="113"/>
      <c r="B54" s="78"/>
      <c r="C54" s="382"/>
      <c r="D54" s="114"/>
      <c r="E54" s="114"/>
      <c r="F54" s="107"/>
      <c r="G54" s="259"/>
      <c r="H54" s="80"/>
      <c r="I54" s="108"/>
      <c r="J54" s="80"/>
      <c r="K54" s="171"/>
      <c r="L54" s="109"/>
      <c r="M54" s="81"/>
      <c r="N54" s="422"/>
    </row>
    <row r="55" spans="1:14" ht="11.25">
      <c r="A55" s="102"/>
      <c r="B55" s="71"/>
      <c r="C55" s="381"/>
      <c r="D55" s="96"/>
      <c r="E55" s="96"/>
      <c r="F55" s="71"/>
      <c r="G55" s="172"/>
      <c r="H55" s="71"/>
      <c r="I55" s="75"/>
      <c r="J55" s="71"/>
      <c r="K55" s="169"/>
      <c r="L55" s="112"/>
      <c r="M55" s="75"/>
      <c r="N55" s="423"/>
    </row>
    <row r="56" spans="1:14" ht="11.25">
      <c r="A56" s="102"/>
      <c r="B56" s="71"/>
      <c r="C56" s="381"/>
      <c r="D56" s="96"/>
      <c r="E56" s="96"/>
      <c r="F56" s="71"/>
      <c r="G56" s="172"/>
      <c r="H56" s="71"/>
      <c r="I56" s="75"/>
      <c r="J56" s="71"/>
      <c r="K56" s="170"/>
      <c r="L56" s="112"/>
      <c r="M56" s="75"/>
      <c r="N56" s="423"/>
    </row>
    <row r="57" spans="1:14" ht="33.75">
      <c r="A57" s="605" t="s">
        <v>56</v>
      </c>
      <c r="B57" s="71" t="s">
        <v>29</v>
      </c>
      <c r="C57" s="381" t="s">
        <v>57</v>
      </c>
      <c r="D57" s="569" t="s">
        <v>58</v>
      </c>
      <c r="E57" s="569" t="s">
        <v>59</v>
      </c>
      <c r="F57" s="72" t="s">
        <v>30</v>
      </c>
      <c r="G57" s="168">
        <f>SUM(G58:G59)</f>
        <v>5045510</v>
      </c>
      <c r="H57" s="35">
        <v>0</v>
      </c>
      <c r="I57" s="36">
        <f>IF(G57&gt;0,H57/G57*100,"-")</f>
        <v>0</v>
      </c>
      <c r="J57" s="35">
        <v>0</v>
      </c>
      <c r="K57" s="175">
        <v>0</v>
      </c>
      <c r="L57" s="35"/>
      <c r="M57" s="36" t="str">
        <f>IF(K57&gt;0,L57/K57*100,"-")</f>
        <v>-</v>
      </c>
      <c r="N57" s="570" t="s">
        <v>222</v>
      </c>
    </row>
    <row r="58" spans="1:14" ht="33.75">
      <c r="A58" s="605"/>
      <c r="B58" s="71" t="s">
        <v>24</v>
      </c>
      <c r="C58" s="381" t="s">
        <v>60</v>
      </c>
      <c r="D58" s="569"/>
      <c r="E58" s="569"/>
      <c r="F58" s="73" t="s">
        <v>18</v>
      </c>
      <c r="G58" s="169">
        <v>5045510</v>
      </c>
      <c r="H58" s="74">
        <v>0</v>
      </c>
      <c r="I58" s="36">
        <f>IF(G58&gt;0,H58/G58*100,"-")</f>
        <v>0</v>
      </c>
      <c r="J58" s="74">
        <v>0</v>
      </c>
      <c r="K58" s="170">
        <v>0</v>
      </c>
      <c r="L58" s="74"/>
      <c r="M58" s="75" t="str">
        <f>IF(K58&gt;0,L58/K58*100,"-")</f>
        <v>-</v>
      </c>
      <c r="N58" s="570"/>
    </row>
    <row r="59" spans="1:14" ht="11.25">
      <c r="A59" s="605"/>
      <c r="B59" s="71"/>
      <c r="C59" s="381"/>
      <c r="D59" s="569"/>
      <c r="E59" s="569"/>
      <c r="F59" s="73" t="s">
        <v>23</v>
      </c>
      <c r="G59" s="169"/>
      <c r="H59" s="74"/>
      <c r="I59" s="36" t="str">
        <f>IF(G59&gt;0,H59/G59*100,"-")</f>
        <v>-</v>
      </c>
      <c r="J59" s="74"/>
      <c r="K59" s="170"/>
      <c r="L59" s="76"/>
      <c r="M59" s="75" t="str">
        <f>IF(K59&gt;0,L59/K59*100,"-")</f>
        <v>-</v>
      </c>
      <c r="N59" s="576"/>
    </row>
    <row r="60" spans="1:14" ht="11.25">
      <c r="A60" s="102"/>
      <c r="B60" s="67"/>
      <c r="C60" s="378"/>
      <c r="D60" s="66"/>
      <c r="E60" s="66"/>
      <c r="F60" s="67"/>
      <c r="G60" s="167"/>
      <c r="H60" s="67"/>
      <c r="I60" s="70"/>
      <c r="J60" s="67"/>
      <c r="K60" s="176"/>
      <c r="L60" s="69"/>
      <c r="M60" s="70"/>
      <c r="N60" s="417"/>
    </row>
    <row r="61" spans="1:14" ht="33.75">
      <c r="A61" s="605" t="s">
        <v>61</v>
      </c>
      <c r="B61" s="71" t="s">
        <v>29</v>
      </c>
      <c r="C61" s="379" t="s">
        <v>62</v>
      </c>
      <c r="D61" s="569" t="s">
        <v>58</v>
      </c>
      <c r="E61" s="569" t="s">
        <v>63</v>
      </c>
      <c r="F61" s="72" t="s">
        <v>30</v>
      </c>
      <c r="G61" s="168">
        <f>SUM(G62:G63)</f>
        <v>250000</v>
      </c>
      <c r="H61" s="35">
        <v>0</v>
      </c>
      <c r="I61" s="36">
        <f>IF(G61&gt;0,H61/G61*100,"-")</f>
        <v>0</v>
      </c>
      <c r="J61" s="35">
        <v>0</v>
      </c>
      <c r="K61" s="175">
        <v>0</v>
      </c>
      <c r="L61" s="35"/>
      <c r="M61" s="36" t="str">
        <f>IF(K61&gt;0,L61/K61*100,"-")</f>
        <v>-</v>
      </c>
      <c r="N61" s="570" t="s">
        <v>223</v>
      </c>
    </row>
    <row r="62" spans="1:14" ht="33.75">
      <c r="A62" s="605"/>
      <c r="B62" s="71" t="s">
        <v>24</v>
      </c>
      <c r="C62" s="381" t="s">
        <v>64</v>
      </c>
      <c r="D62" s="569"/>
      <c r="E62" s="569"/>
      <c r="F62" s="73" t="s">
        <v>18</v>
      </c>
      <c r="G62" s="169">
        <v>250000</v>
      </c>
      <c r="H62" s="74">
        <v>0</v>
      </c>
      <c r="I62" s="36">
        <f>IF(G62&gt;0,H62/G62*100,"-")</f>
        <v>0</v>
      </c>
      <c r="J62" s="74">
        <v>0</v>
      </c>
      <c r="K62" s="170">
        <v>0</v>
      </c>
      <c r="L62" s="74"/>
      <c r="M62" s="75" t="str">
        <f>IF(K62&gt;0,L62/K62*100,"-")</f>
        <v>-</v>
      </c>
      <c r="N62" s="570"/>
    </row>
    <row r="63" spans="1:14" ht="11.25">
      <c r="A63" s="605"/>
      <c r="B63" s="71"/>
      <c r="C63" s="381"/>
      <c r="D63" s="569"/>
      <c r="E63" s="569"/>
      <c r="F63" s="73" t="s">
        <v>23</v>
      </c>
      <c r="G63" s="169"/>
      <c r="H63" s="74"/>
      <c r="I63" s="36" t="str">
        <f>IF(G63&gt;0,H63/G63*100,"-")</f>
        <v>-</v>
      </c>
      <c r="J63" s="74"/>
      <c r="K63" s="170"/>
      <c r="L63" s="76"/>
      <c r="M63" s="75" t="str">
        <f>IF(K63&gt;0,L63/K63*100,"-")</f>
        <v>-</v>
      </c>
      <c r="N63" s="570"/>
    </row>
    <row r="64" spans="1:14" ht="11.25">
      <c r="A64" s="113"/>
      <c r="B64" s="78"/>
      <c r="C64" s="382"/>
      <c r="D64" s="77"/>
      <c r="E64" s="77"/>
      <c r="F64" s="78"/>
      <c r="G64" s="259"/>
      <c r="H64" s="78"/>
      <c r="I64" s="81"/>
      <c r="J64" s="78"/>
      <c r="K64" s="174"/>
      <c r="L64" s="80"/>
      <c r="M64" s="81"/>
      <c r="N64" s="419"/>
    </row>
    <row r="65" spans="1:14" ht="11.25">
      <c r="A65" s="56"/>
      <c r="B65" s="57"/>
      <c r="C65" s="375"/>
      <c r="D65" s="58"/>
      <c r="E65" s="58"/>
      <c r="F65" s="56"/>
      <c r="G65" s="56"/>
      <c r="H65" s="56"/>
      <c r="I65" s="60"/>
      <c r="J65" s="56"/>
      <c r="K65" s="162"/>
      <c r="L65" s="59"/>
      <c r="M65" s="60"/>
      <c r="N65" s="414"/>
    </row>
    <row r="66" spans="1:14" ht="11.25">
      <c r="A66" s="26" t="s">
        <v>61</v>
      </c>
      <c r="B66" s="579" t="s">
        <v>65</v>
      </c>
      <c r="C66" s="580"/>
      <c r="D66" s="27"/>
      <c r="E66" s="27"/>
      <c r="F66" s="28"/>
      <c r="G66" s="163">
        <f>SUM(G67:G68)</f>
        <v>139294838</v>
      </c>
      <c r="H66" s="29">
        <f>SUM(H67:H68)</f>
        <v>780714.98</v>
      </c>
      <c r="I66" s="30">
        <f>IF(G66&gt;0,H66/G66*100,"-")</f>
        <v>0.5604766057447154</v>
      </c>
      <c r="J66" s="29">
        <f>SUM(J67:J68)</f>
        <v>951000</v>
      </c>
      <c r="K66" s="163">
        <f>SUM(K67:K68)</f>
        <v>13714400</v>
      </c>
      <c r="L66" s="29">
        <f>SUM(L67:L68)</f>
        <v>222860.98</v>
      </c>
      <c r="M66" s="30">
        <f>IF(K66&gt;0,L66/K66*100,"-")</f>
        <v>1.6250144373796886</v>
      </c>
      <c r="N66" s="415"/>
    </row>
    <row r="67" spans="1:14" ht="11.25">
      <c r="A67" s="28"/>
      <c r="B67" s="31"/>
      <c r="C67" s="376"/>
      <c r="D67" s="27"/>
      <c r="E67" s="27"/>
      <c r="F67" s="32" t="s">
        <v>18</v>
      </c>
      <c r="G67" s="164">
        <f>G71+G77+G84+G90+G96</f>
        <v>139294838</v>
      </c>
      <c r="H67" s="33">
        <f>H71+H77+H84+H90+H96</f>
        <v>780714.98</v>
      </c>
      <c r="I67" s="34">
        <f>IF(G67&gt;0,H67/G67*100,"-")</f>
        <v>0.5604766057447154</v>
      </c>
      <c r="J67" s="33">
        <f>J71+J77+J84+J90+J96</f>
        <v>951000</v>
      </c>
      <c r="K67" s="164">
        <f>K71+K77+K84+K90+K96</f>
        <v>13714400</v>
      </c>
      <c r="L67" s="33">
        <f>L71+L77+L84+L90+L96</f>
        <v>222860.98</v>
      </c>
      <c r="M67" s="34">
        <f>IF(K67&gt;0,L67/K67*100,"-")</f>
        <v>1.6250144373796886</v>
      </c>
      <c r="N67" s="415"/>
    </row>
    <row r="68" spans="1:14" ht="11.25">
      <c r="A68" s="28"/>
      <c r="B68" s="31"/>
      <c r="C68" s="376"/>
      <c r="D68" s="27"/>
      <c r="E68" s="27"/>
      <c r="F68" s="32" t="s">
        <v>23</v>
      </c>
      <c r="G68" s="164">
        <f>G97</f>
        <v>0</v>
      </c>
      <c r="H68" s="33">
        <f>H97</f>
        <v>0</v>
      </c>
      <c r="I68" s="34" t="str">
        <f>IF(G68&gt;0,H68/G68*100,"-")</f>
        <v>-</v>
      </c>
      <c r="J68" s="33">
        <f>J97</f>
        <v>0</v>
      </c>
      <c r="K68" s="164">
        <f>K97</f>
        <v>0</v>
      </c>
      <c r="L68" s="33">
        <f>L97</f>
        <v>0</v>
      </c>
      <c r="M68" s="34" t="str">
        <f>IF(K68&gt;0,L68/K68*100,"-")</f>
        <v>-</v>
      </c>
      <c r="N68" s="415"/>
    </row>
    <row r="69" spans="1:14" ht="11.25">
      <c r="A69" s="61"/>
      <c r="B69" s="62"/>
      <c r="C69" s="377"/>
      <c r="D69" s="63"/>
      <c r="E69" s="63"/>
      <c r="F69" s="61"/>
      <c r="G69" s="61"/>
      <c r="H69" s="61"/>
      <c r="I69" s="65"/>
      <c r="J69" s="61"/>
      <c r="K69" s="165"/>
      <c r="L69" s="64"/>
      <c r="M69" s="65"/>
      <c r="N69" s="416"/>
    </row>
    <row r="70" spans="1:14" ht="11.25">
      <c r="A70" s="635" t="s">
        <v>4</v>
      </c>
      <c r="B70" s="118" t="s">
        <v>29</v>
      </c>
      <c r="C70" s="383" t="s">
        <v>66</v>
      </c>
      <c r="D70" s="638" t="s">
        <v>67</v>
      </c>
      <c r="E70" s="639" t="s">
        <v>68</v>
      </c>
      <c r="F70" s="119" t="s">
        <v>30</v>
      </c>
      <c r="G70" s="444">
        <v>134394624</v>
      </c>
      <c r="H70" s="120">
        <v>32514.72</v>
      </c>
      <c r="I70" s="121">
        <v>0</v>
      </c>
      <c r="J70" s="120">
        <v>0</v>
      </c>
      <c r="K70" s="173">
        <v>12818400</v>
      </c>
      <c r="L70" s="120">
        <v>32514.72</v>
      </c>
      <c r="M70" s="121">
        <f>(L70/K70)*100</f>
        <v>0.25365661861074706</v>
      </c>
      <c r="N70" s="640" t="s">
        <v>231</v>
      </c>
    </row>
    <row r="71" spans="1:14" ht="11.25">
      <c r="A71" s="636"/>
      <c r="B71" s="122" t="s">
        <v>24</v>
      </c>
      <c r="C71" s="643" t="s">
        <v>69</v>
      </c>
      <c r="D71" s="592"/>
      <c r="E71" s="592"/>
      <c r="F71" s="73" t="s">
        <v>18</v>
      </c>
      <c r="G71" s="445">
        <v>134394624</v>
      </c>
      <c r="H71" s="82">
        <v>32514.72</v>
      </c>
      <c r="I71" s="123">
        <v>0</v>
      </c>
      <c r="J71" s="82">
        <v>0</v>
      </c>
      <c r="K71" s="170">
        <v>12818400</v>
      </c>
      <c r="L71" s="82">
        <v>32514.72</v>
      </c>
      <c r="M71" s="123">
        <f>(L71/K71)*100</f>
        <v>0.25365661861074706</v>
      </c>
      <c r="N71" s="641"/>
    </row>
    <row r="72" spans="1:14" ht="11.25">
      <c r="A72" s="636"/>
      <c r="B72" s="122"/>
      <c r="C72" s="644"/>
      <c r="D72" s="592"/>
      <c r="E72" s="592"/>
      <c r="F72" s="73" t="s">
        <v>23</v>
      </c>
      <c r="G72" s="445">
        <v>0</v>
      </c>
      <c r="H72" s="82">
        <v>0</v>
      </c>
      <c r="I72" s="123" t="s">
        <v>70</v>
      </c>
      <c r="J72" s="82">
        <v>0</v>
      </c>
      <c r="K72" s="170">
        <v>0</v>
      </c>
      <c r="L72" s="82">
        <v>0</v>
      </c>
      <c r="M72" s="94" t="s">
        <v>70</v>
      </c>
      <c r="N72" s="641"/>
    </row>
    <row r="73" spans="1:14" ht="11.25">
      <c r="A73" s="636"/>
      <c r="B73" s="122"/>
      <c r="C73" s="384"/>
      <c r="D73" s="592"/>
      <c r="E73" s="592"/>
      <c r="F73" s="135"/>
      <c r="G73" s="135"/>
      <c r="H73" s="135"/>
      <c r="I73" s="123"/>
      <c r="J73" s="135"/>
      <c r="K73" s="170"/>
      <c r="L73" s="76"/>
      <c r="M73" s="123"/>
      <c r="N73" s="641"/>
    </row>
    <row r="74" spans="1:14" ht="11.25">
      <c r="A74" s="636"/>
      <c r="B74" s="122"/>
      <c r="C74" s="384"/>
      <c r="D74" s="592"/>
      <c r="E74" s="592"/>
      <c r="F74" s="126"/>
      <c r="G74" s="126"/>
      <c r="H74" s="126"/>
      <c r="I74" s="123"/>
      <c r="J74" s="126"/>
      <c r="K74" s="170"/>
      <c r="L74" s="82"/>
      <c r="M74" s="123"/>
      <c r="N74" s="641"/>
    </row>
    <row r="75" spans="1:14" ht="36" customHeight="1">
      <c r="A75" s="637"/>
      <c r="B75" s="124"/>
      <c r="C75" s="385"/>
      <c r="D75" s="593"/>
      <c r="E75" s="593"/>
      <c r="F75" s="127"/>
      <c r="G75" s="127"/>
      <c r="H75" s="127"/>
      <c r="I75" s="125"/>
      <c r="J75" s="127"/>
      <c r="K75" s="174"/>
      <c r="L75" s="109"/>
      <c r="M75" s="125"/>
      <c r="N75" s="642"/>
    </row>
    <row r="76" spans="1:14" ht="11.25">
      <c r="A76" s="635" t="s">
        <v>56</v>
      </c>
      <c r="B76" s="122" t="s">
        <v>29</v>
      </c>
      <c r="C76" s="384" t="s">
        <v>71</v>
      </c>
      <c r="D76" s="638" t="s">
        <v>67</v>
      </c>
      <c r="E76" s="638" t="s">
        <v>72</v>
      </c>
      <c r="F76" s="72" t="s">
        <v>30</v>
      </c>
      <c r="G76" s="353">
        <f>SUM(G77)</f>
        <v>2313523</v>
      </c>
      <c r="H76" s="128">
        <f>SUM(H77)</f>
        <v>97790.49</v>
      </c>
      <c r="I76" s="129">
        <v>4.1</v>
      </c>
      <c r="J76" s="128">
        <f>SUM(J77)</f>
        <v>385000</v>
      </c>
      <c r="K76" s="353">
        <f>SUM(K77)</f>
        <v>330000</v>
      </c>
      <c r="L76" s="128">
        <f>SUM(L77)</f>
        <v>97790.49</v>
      </c>
      <c r="M76" s="129">
        <f>(L76/K76)*100</f>
        <v>29.633481818181817</v>
      </c>
      <c r="N76" s="640" t="s">
        <v>73</v>
      </c>
    </row>
    <row r="77" spans="1:14" ht="11.25">
      <c r="A77" s="636"/>
      <c r="B77" s="122" t="s">
        <v>24</v>
      </c>
      <c r="C77" s="384" t="s">
        <v>74</v>
      </c>
      <c r="D77" s="592"/>
      <c r="E77" s="592"/>
      <c r="F77" s="73" t="s">
        <v>18</v>
      </c>
      <c r="G77" s="445">
        <v>2313523</v>
      </c>
      <c r="H77" s="82">
        <v>97790.49</v>
      </c>
      <c r="I77" s="123">
        <v>4.1</v>
      </c>
      <c r="J77" s="82">
        <v>385000</v>
      </c>
      <c r="K77" s="170">
        <v>330000</v>
      </c>
      <c r="L77" s="82">
        <v>97790.49</v>
      </c>
      <c r="M77" s="123">
        <f>(L77/K77)*100</f>
        <v>29.633481818181817</v>
      </c>
      <c r="N77" s="641"/>
    </row>
    <row r="78" spans="1:14" ht="11.25">
      <c r="A78" s="636"/>
      <c r="B78" s="126"/>
      <c r="C78" s="384"/>
      <c r="D78" s="592"/>
      <c r="E78" s="592"/>
      <c r="F78" s="73" t="s">
        <v>23</v>
      </c>
      <c r="G78" s="445">
        <v>0</v>
      </c>
      <c r="H78" s="82">
        <v>0</v>
      </c>
      <c r="I78" s="123" t="s">
        <v>70</v>
      </c>
      <c r="J78" s="82">
        <v>0</v>
      </c>
      <c r="K78" s="170">
        <v>0</v>
      </c>
      <c r="L78" s="82">
        <v>0</v>
      </c>
      <c r="M78" s="94" t="s">
        <v>70</v>
      </c>
      <c r="N78" s="641"/>
    </row>
    <row r="79" spans="1:14" ht="11.25">
      <c r="A79" s="636"/>
      <c r="B79" s="126"/>
      <c r="C79" s="384"/>
      <c r="D79" s="592"/>
      <c r="E79" s="592"/>
      <c r="F79" s="126"/>
      <c r="G79" s="126"/>
      <c r="H79" s="126"/>
      <c r="I79" s="123"/>
      <c r="J79" s="126"/>
      <c r="K79" s="170"/>
      <c r="L79" s="82"/>
      <c r="M79" s="123"/>
      <c r="N79" s="641"/>
    </row>
    <row r="80" spans="1:14" ht="11.25">
      <c r="A80" s="636"/>
      <c r="B80" s="126"/>
      <c r="C80" s="384"/>
      <c r="D80" s="592"/>
      <c r="E80" s="592"/>
      <c r="F80" s="126"/>
      <c r="G80" s="126"/>
      <c r="H80" s="126"/>
      <c r="I80" s="123"/>
      <c r="J80" s="126"/>
      <c r="K80" s="170"/>
      <c r="L80" s="82"/>
      <c r="M80" s="123"/>
      <c r="N80" s="641"/>
    </row>
    <row r="81" spans="1:14" ht="29.25" customHeight="1">
      <c r="A81" s="637"/>
      <c r="B81" s="126"/>
      <c r="C81" s="384"/>
      <c r="D81" s="593"/>
      <c r="E81" s="593"/>
      <c r="F81" s="126"/>
      <c r="G81" s="126"/>
      <c r="H81" s="126"/>
      <c r="I81" s="123"/>
      <c r="J81" s="126"/>
      <c r="K81" s="170"/>
      <c r="L81" s="82"/>
      <c r="M81" s="123"/>
      <c r="N81" s="642"/>
    </row>
    <row r="82" spans="1:14" ht="11.25">
      <c r="A82" s="635" t="s">
        <v>61</v>
      </c>
      <c r="B82" s="131"/>
      <c r="C82" s="383"/>
      <c r="D82" s="132"/>
      <c r="E82" s="132"/>
      <c r="F82" s="131"/>
      <c r="G82" s="131"/>
      <c r="H82" s="131"/>
      <c r="I82" s="133"/>
      <c r="J82" s="131"/>
      <c r="K82" s="176"/>
      <c r="L82" s="134"/>
      <c r="M82" s="133"/>
      <c r="N82" s="640" t="s">
        <v>75</v>
      </c>
    </row>
    <row r="83" spans="1:14" ht="11.25">
      <c r="A83" s="645"/>
      <c r="B83" s="122" t="s">
        <v>29</v>
      </c>
      <c r="C83" s="384" t="s">
        <v>76</v>
      </c>
      <c r="D83" s="647" t="s">
        <v>48</v>
      </c>
      <c r="E83" s="648" t="s">
        <v>77</v>
      </c>
      <c r="F83" s="72" t="s">
        <v>30</v>
      </c>
      <c r="G83" s="353">
        <f>G84+G85</f>
        <v>923340</v>
      </c>
      <c r="H83" s="128">
        <v>250914.13</v>
      </c>
      <c r="I83" s="129">
        <f>(H83/G83)*100</f>
        <v>27.174619316828036</v>
      </c>
      <c r="J83" s="128">
        <v>350000</v>
      </c>
      <c r="K83" s="175">
        <v>350000</v>
      </c>
      <c r="L83" s="128">
        <v>27574.13</v>
      </c>
      <c r="M83" s="129">
        <f>(L83/K83)*100</f>
        <v>7.878322857142857</v>
      </c>
      <c r="N83" s="641"/>
    </row>
    <row r="84" spans="1:14" ht="11.25">
      <c r="A84" s="645"/>
      <c r="B84" s="122" t="s">
        <v>24</v>
      </c>
      <c r="C84" s="384" t="s">
        <v>78</v>
      </c>
      <c r="D84" s="592"/>
      <c r="E84" s="592"/>
      <c r="F84" s="73" t="s">
        <v>18</v>
      </c>
      <c r="G84" s="445">
        <v>923340</v>
      </c>
      <c r="H84" s="82">
        <v>250914.13</v>
      </c>
      <c r="I84" s="123">
        <f>(H84/G84)*100</f>
        <v>27.174619316828036</v>
      </c>
      <c r="J84" s="82">
        <v>350000</v>
      </c>
      <c r="K84" s="170">
        <v>350000</v>
      </c>
      <c r="L84" s="82">
        <v>27574.13</v>
      </c>
      <c r="M84" s="123">
        <f>(L84/K84)*100</f>
        <v>7.878322857142857</v>
      </c>
      <c r="N84" s="641"/>
    </row>
    <row r="85" spans="1:14" ht="11.25">
      <c r="A85" s="645"/>
      <c r="B85" s="126"/>
      <c r="C85" s="384"/>
      <c r="D85" s="592"/>
      <c r="E85" s="592"/>
      <c r="F85" s="73" t="s">
        <v>23</v>
      </c>
      <c r="G85" s="445">
        <v>0</v>
      </c>
      <c r="H85" s="82">
        <v>0</v>
      </c>
      <c r="I85" s="123" t="s">
        <v>70</v>
      </c>
      <c r="J85" s="82">
        <v>0</v>
      </c>
      <c r="K85" s="170">
        <v>0</v>
      </c>
      <c r="L85" s="82">
        <v>0</v>
      </c>
      <c r="M85" s="123" t="s">
        <v>70</v>
      </c>
      <c r="N85" s="641"/>
    </row>
    <row r="86" spans="1:14" ht="11.25">
      <c r="A86" s="645"/>
      <c r="B86" s="126"/>
      <c r="C86" s="384"/>
      <c r="D86" s="592"/>
      <c r="E86" s="592"/>
      <c r="F86" s="126"/>
      <c r="G86" s="126"/>
      <c r="H86" s="126"/>
      <c r="I86" s="123"/>
      <c r="J86" s="126"/>
      <c r="K86" s="170"/>
      <c r="L86" s="82"/>
      <c r="M86" s="123"/>
      <c r="N86" s="641"/>
    </row>
    <row r="87" spans="1:14" ht="75" customHeight="1">
      <c r="A87" s="646"/>
      <c r="B87" s="126"/>
      <c r="C87" s="385"/>
      <c r="D87" s="593"/>
      <c r="E87" s="593"/>
      <c r="F87" s="127"/>
      <c r="G87" s="127"/>
      <c r="H87" s="127"/>
      <c r="I87" s="125"/>
      <c r="J87" s="127"/>
      <c r="K87" s="174"/>
      <c r="L87" s="109"/>
      <c r="M87" s="125"/>
      <c r="N87" s="642"/>
    </row>
    <row r="88" spans="1:14" ht="11.25">
      <c r="A88" s="649" t="s">
        <v>79</v>
      </c>
      <c r="B88" s="118" t="s">
        <v>29</v>
      </c>
      <c r="C88" s="652" t="s">
        <v>80</v>
      </c>
      <c r="D88" s="638" t="s">
        <v>39</v>
      </c>
      <c r="E88" s="639" t="s">
        <v>81</v>
      </c>
      <c r="F88" s="117"/>
      <c r="G88" s="117"/>
      <c r="H88" s="117"/>
      <c r="I88" s="133"/>
      <c r="J88" s="117"/>
      <c r="K88" s="176"/>
      <c r="L88" s="88"/>
      <c r="M88" s="133"/>
      <c r="N88" s="575" t="s">
        <v>232</v>
      </c>
    </row>
    <row r="89" spans="1:14" ht="12.75">
      <c r="A89" s="650"/>
      <c r="B89" s="136"/>
      <c r="C89" s="644"/>
      <c r="D89" s="647"/>
      <c r="E89" s="647"/>
      <c r="F89" s="72" t="s">
        <v>30</v>
      </c>
      <c r="G89" s="175">
        <f>SUM(G96,G90)</f>
        <v>1663351</v>
      </c>
      <c r="H89" s="130">
        <f>SUM(H96,H90)</f>
        <v>399495.64</v>
      </c>
      <c r="I89" s="129">
        <f>(H89/G89)*100</f>
        <v>24.017518852004176</v>
      </c>
      <c r="J89" s="130">
        <f>SUM(J96,J90)</f>
        <v>216000</v>
      </c>
      <c r="K89" s="130">
        <f>SUM(K96,K90)</f>
        <v>216000</v>
      </c>
      <c r="L89" s="130">
        <f>SUM(L96,L90)</f>
        <v>64981.64</v>
      </c>
      <c r="M89" s="129">
        <f>(L89/K89)*100</f>
        <v>30.084092592592594</v>
      </c>
      <c r="N89" s="570"/>
    </row>
    <row r="90" spans="1:14" ht="12.75">
      <c r="A90" s="650"/>
      <c r="B90" s="136"/>
      <c r="C90" s="644"/>
      <c r="D90" s="647"/>
      <c r="E90" s="647"/>
      <c r="F90" s="73" t="s">
        <v>18</v>
      </c>
      <c r="G90" s="170">
        <v>750601</v>
      </c>
      <c r="H90" s="76">
        <v>208762.94</v>
      </c>
      <c r="I90" s="123">
        <f>(H90/G90)*100</f>
        <v>27.81277136587881</v>
      </c>
      <c r="J90" s="76">
        <v>96000</v>
      </c>
      <c r="K90" s="170">
        <v>96000</v>
      </c>
      <c r="L90" s="76">
        <v>48757.94</v>
      </c>
      <c r="M90" s="123">
        <f>(L90/K90)*100</f>
        <v>50.789520833333334</v>
      </c>
      <c r="N90" s="570"/>
    </row>
    <row r="91" spans="1:14" ht="11.25">
      <c r="A91" s="650"/>
      <c r="B91" s="137" t="s">
        <v>24</v>
      </c>
      <c r="C91" s="598" t="s">
        <v>82</v>
      </c>
      <c r="D91" s="647"/>
      <c r="E91" s="647"/>
      <c r="F91" s="73" t="s">
        <v>23</v>
      </c>
      <c r="G91" s="170">
        <v>0</v>
      </c>
      <c r="H91" s="76">
        <v>0</v>
      </c>
      <c r="I91" s="123" t="s">
        <v>70</v>
      </c>
      <c r="J91" s="76">
        <v>0</v>
      </c>
      <c r="K91" s="170">
        <v>0</v>
      </c>
      <c r="L91" s="76">
        <v>0</v>
      </c>
      <c r="M91" s="123" t="s">
        <v>70</v>
      </c>
      <c r="N91" s="655"/>
    </row>
    <row r="92" spans="1:14" ht="12.75">
      <c r="A92" s="650"/>
      <c r="B92" s="136"/>
      <c r="C92" s="644"/>
      <c r="D92" s="647"/>
      <c r="E92" s="647"/>
      <c r="F92" s="135"/>
      <c r="G92" s="170"/>
      <c r="H92" s="135"/>
      <c r="I92" s="123"/>
      <c r="J92" s="135"/>
      <c r="K92" s="170"/>
      <c r="L92" s="76"/>
      <c r="M92" s="123"/>
      <c r="N92" s="655"/>
    </row>
    <row r="93" spans="1:14" ht="12.75">
      <c r="A93" s="650"/>
      <c r="B93" s="136"/>
      <c r="C93" s="644"/>
      <c r="D93" s="647"/>
      <c r="E93" s="647"/>
      <c r="F93" s="135"/>
      <c r="G93" s="170"/>
      <c r="H93" s="135"/>
      <c r="I93" s="123"/>
      <c r="J93" s="135"/>
      <c r="K93" s="170"/>
      <c r="L93" s="76"/>
      <c r="M93" s="123"/>
      <c r="N93" s="655"/>
    </row>
    <row r="94" spans="1:14" ht="12.75">
      <c r="A94" s="651"/>
      <c r="B94" s="136"/>
      <c r="C94" s="380"/>
      <c r="D94" s="653"/>
      <c r="E94" s="569" t="s">
        <v>83</v>
      </c>
      <c r="F94" s="138"/>
      <c r="G94" s="169"/>
      <c r="H94" s="138"/>
      <c r="I94" s="75"/>
      <c r="J94" s="138"/>
      <c r="K94" s="169"/>
      <c r="L94" s="74"/>
      <c r="M94" s="75"/>
      <c r="N94" s="655"/>
    </row>
    <row r="95" spans="1:14" ht="12.75">
      <c r="A95" s="651"/>
      <c r="B95" s="136"/>
      <c r="C95" s="380"/>
      <c r="D95" s="653"/>
      <c r="E95" s="592"/>
      <c r="F95" s="72"/>
      <c r="G95" s="168"/>
      <c r="H95" s="35"/>
      <c r="I95" s="36"/>
      <c r="J95" s="35"/>
      <c r="K95" s="168"/>
      <c r="L95" s="35"/>
      <c r="M95" s="36"/>
      <c r="N95" s="655"/>
    </row>
    <row r="96" spans="1:14" ht="12.75">
      <c r="A96" s="651"/>
      <c r="B96" s="136"/>
      <c r="C96" s="380"/>
      <c r="D96" s="653"/>
      <c r="E96" s="592"/>
      <c r="F96" s="73" t="s">
        <v>18</v>
      </c>
      <c r="G96" s="169">
        <v>912750</v>
      </c>
      <c r="H96" s="74">
        <v>190732.7</v>
      </c>
      <c r="I96" s="75">
        <f>IF(G96&gt;0,H96/G96*100,"-")</f>
        <v>20.896488633251163</v>
      </c>
      <c r="J96" s="74">
        <v>120000</v>
      </c>
      <c r="K96" s="169">
        <v>120000</v>
      </c>
      <c r="L96" s="74">
        <v>16223.7</v>
      </c>
      <c r="M96" s="75">
        <f>IF(K96&gt;0,L96/K96*100,"-")</f>
        <v>13.51975</v>
      </c>
      <c r="N96" s="655"/>
    </row>
    <row r="97" spans="1:14" ht="12.75">
      <c r="A97" s="651"/>
      <c r="B97" s="136"/>
      <c r="C97" s="380"/>
      <c r="D97" s="653"/>
      <c r="E97" s="592"/>
      <c r="F97" s="73" t="s">
        <v>23</v>
      </c>
      <c r="G97" s="169">
        <v>0</v>
      </c>
      <c r="H97" s="140">
        <v>0</v>
      </c>
      <c r="I97" s="75" t="s">
        <v>70</v>
      </c>
      <c r="J97" s="140">
        <v>0</v>
      </c>
      <c r="K97" s="169">
        <v>0</v>
      </c>
      <c r="L97" s="76">
        <v>0</v>
      </c>
      <c r="M97" s="75" t="str">
        <f>IF(K97&gt;0,L97/K97*100,"-")</f>
        <v>-</v>
      </c>
      <c r="N97" s="655"/>
    </row>
    <row r="98" spans="1:14" ht="12.75">
      <c r="A98" s="636"/>
      <c r="B98" s="136"/>
      <c r="C98" s="386"/>
      <c r="D98" s="653"/>
      <c r="E98" s="592"/>
      <c r="F98" s="73"/>
      <c r="G98" s="73"/>
      <c r="H98" s="73"/>
      <c r="I98" s="75"/>
      <c r="J98" s="73"/>
      <c r="K98" s="169"/>
      <c r="L98" s="76"/>
      <c r="M98" s="75"/>
      <c r="N98" s="655"/>
    </row>
    <row r="99" spans="1:14" ht="21.75" customHeight="1">
      <c r="A99" s="637"/>
      <c r="B99" s="139"/>
      <c r="C99" s="387"/>
      <c r="D99" s="654"/>
      <c r="E99" s="593"/>
      <c r="F99" s="141"/>
      <c r="G99" s="141"/>
      <c r="H99" s="141"/>
      <c r="I99" s="81"/>
      <c r="J99" s="141"/>
      <c r="K99" s="171"/>
      <c r="L99" s="79"/>
      <c r="M99" s="81"/>
      <c r="N99" s="656"/>
    </row>
    <row r="100" spans="1:14" ht="12">
      <c r="A100" s="286"/>
      <c r="B100" s="287"/>
      <c r="C100" s="388"/>
      <c r="D100" s="288"/>
      <c r="E100" s="288"/>
      <c r="F100" s="286"/>
      <c r="G100" s="286"/>
      <c r="H100" s="286"/>
      <c r="I100" s="289"/>
      <c r="J100" s="286"/>
      <c r="K100" s="290"/>
      <c r="L100" s="291"/>
      <c r="M100" s="292"/>
      <c r="N100" s="427"/>
    </row>
    <row r="101" spans="1:14" ht="12">
      <c r="A101" s="293" t="s">
        <v>79</v>
      </c>
      <c r="B101" s="606" t="s">
        <v>84</v>
      </c>
      <c r="C101" s="607"/>
      <c r="D101" s="294"/>
      <c r="E101" s="294"/>
      <c r="F101" s="295"/>
      <c r="G101" s="298">
        <v>252000</v>
      </c>
      <c r="H101" s="296">
        <v>80005.39</v>
      </c>
      <c r="I101" s="297">
        <v>31.7</v>
      </c>
      <c r="J101" s="296">
        <v>30000</v>
      </c>
      <c r="K101" s="298">
        <v>30000</v>
      </c>
      <c r="L101" s="296">
        <v>8005.39</v>
      </c>
      <c r="M101" s="297">
        <v>26.7</v>
      </c>
      <c r="N101" s="428"/>
    </row>
    <row r="102" spans="1:14" ht="12">
      <c r="A102" s="295"/>
      <c r="B102" s="606"/>
      <c r="C102" s="607"/>
      <c r="D102" s="294"/>
      <c r="E102" s="294"/>
      <c r="F102" s="299" t="s">
        <v>18</v>
      </c>
      <c r="G102" s="301">
        <v>252000</v>
      </c>
      <c r="H102" s="300">
        <v>80005.39</v>
      </c>
      <c r="I102" s="297">
        <v>31.7</v>
      </c>
      <c r="J102" s="300">
        <v>30000</v>
      </c>
      <c r="K102" s="301">
        <v>30000</v>
      </c>
      <c r="L102" s="300">
        <v>8005.39</v>
      </c>
      <c r="M102" s="289">
        <v>26.7</v>
      </c>
      <c r="N102" s="428"/>
    </row>
    <row r="103" spans="1:14" ht="12">
      <c r="A103" s="295"/>
      <c r="B103" s="606"/>
      <c r="C103" s="607"/>
      <c r="D103" s="294"/>
      <c r="E103" s="294"/>
      <c r="F103" s="302" t="s">
        <v>23</v>
      </c>
      <c r="G103" s="301">
        <v>0</v>
      </c>
      <c r="H103" s="300">
        <v>0</v>
      </c>
      <c r="I103" s="289" t="s">
        <v>85</v>
      </c>
      <c r="J103" s="300">
        <v>0</v>
      </c>
      <c r="K103" s="301">
        <v>0</v>
      </c>
      <c r="L103" s="300">
        <v>0</v>
      </c>
      <c r="M103" s="289" t="s">
        <v>85</v>
      </c>
      <c r="N103" s="428"/>
    </row>
    <row r="104" spans="1:14" ht="12">
      <c r="A104" s="303"/>
      <c r="B104" s="304"/>
      <c r="C104" s="389"/>
      <c r="D104" s="305"/>
      <c r="E104" s="305"/>
      <c r="F104" s="303"/>
      <c r="G104" s="307"/>
      <c r="H104" s="303"/>
      <c r="I104" s="306"/>
      <c r="J104" s="303"/>
      <c r="K104" s="307"/>
      <c r="L104" s="308"/>
      <c r="M104" s="306"/>
      <c r="N104" s="429"/>
    </row>
    <row r="105" spans="1:14" ht="12">
      <c r="A105" s="608" t="s">
        <v>4</v>
      </c>
      <c r="B105" s="310"/>
      <c r="C105" s="390"/>
      <c r="D105" s="309"/>
      <c r="E105" s="309"/>
      <c r="F105" s="310"/>
      <c r="G105" s="446"/>
      <c r="H105" s="310"/>
      <c r="I105" s="311"/>
      <c r="J105" s="310"/>
      <c r="K105" s="312"/>
      <c r="L105" s="313"/>
      <c r="M105" s="311"/>
      <c r="N105" s="430"/>
    </row>
    <row r="106" spans="1:14" ht="33.75">
      <c r="A106" s="609"/>
      <c r="B106" s="314" t="s">
        <v>86</v>
      </c>
      <c r="C106" s="391" t="s">
        <v>87</v>
      </c>
      <c r="D106" s="610" t="s">
        <v>88</v>
      </c>
      <c r="E106" s="611" t="s">
        <v>89</v>
      </c>
      <c r="F106" s="315" t="s">
        <v>30</v>
      </c>
      <c r="G106" s="318">
        <v>252000</v>
      </c>
      <c r="H106" s="316">
        <v>80005.39</v>
      </c>
      <c r="I106" s="317">
        <v>31.74</v>
      </c>
      <c r="J106" s="316">
        <v>30000</v>
      </c>
      <c r="K106" s="318">
        <v>30000</v>
      </c>
      <c r="L106" s="316">
        <v>8005.39</v>
      </c>
      <c r="M106" s="317">
        <v>26.68</v>
      </c>
      <c r="N106" s="589" t="s">
        <v>90</v>
      </c>
    </row>
    <row r="107" spans="1:14" ht="22.5">
      <c r="A107" s="609"/>
      <c r="B107" s="319" t="s">
        <v>24</v>
      </c>
      <c r="C107" s="391" t="s">
        <v>91</v>
      </c>
      <c r="D107" s="611"/>
      <c r="E107" s="611"/>
      <c r="F107" s="320" t="s">
        <v>18</v>
      </c>
      <c r="G107" s="447">
        <v>252000</v>
      </c>
      <c r="H107" s="321">
        <v>80005.39</v>
      </c>
      <c r="I107" s="322">
        <v>31.7</v>
      </c>
      <c r="J107" s="321">
        <v>30000</v>
      </c>
      <c r="K107" s="323">
        <v>30000</v>
      </c>
      <c r="L107" s="324">
        <v>8005.39</v>
      </c>
      <c r="M107" s="322">
        <v>26.7</v>
      </c>
      <c r="N107" s="589"/>
    </row>
    <row r="108" spans="1:14" ht="71.25" customHeight="1">
      <c r="A108" s="609"/>
      <c r="B108" s="325"/>
      <c r="C108" s="392"/>
      <c r="D108" s="612"/>
      <c r="E108" s="612"/>
      <c r="F108" s="326" t="s">
        <v>23</v>
      </c>
      <c r="G108" s="328"/>
      <c r="H108" s="326"/>
      <c r="I108" s="327" t="s">
        <v>85</v>
      </c>
      <c r="J108" s="326"/>
      <c r="K108" s="328"/>
      <c r="L108" s="329"/>
      <c r="M108" s="327" t="s">
        <v>85</v>
      </c>
      <c r="N108" s="590"/>
    </row>
    <row r="109" spans="1:14" ht="11.25">
      <c r="A109" s="363"/>
      <c r="B109" s="579"/>
      <c r="C109" s="580"/>
      <c r="D109" s="27"/>
      <c r="E109" s="27"/>
      <c r="F109" s="28"/>
      <c r="G109" s="163">
        <f>SUM(G110:G111)</f>
        <v>69000</v>
      </c>
      <c r="H109" s="29">
        <f>SUM(H110:H111)</f>
        <v>1000</v>
      </c>
      <c r="I109" s="30">
        <f>IF(G109&gt;0,H109/G109*100,"-")</f>
        <v>1.4492753623188406</v>
      </c>
      <c r="J109" s="29">
        <f>SUM(J110)</f>
        <v>68000</v>
      </c>
      <c r="K109" s="163">
        <f>SUM(K110:K111)</f>
        <v>68000</v>
      </c>
      <c r="L109" s="29">
        <f>SUM(L110:L111)</f>
        <v>0</v>
      </c>
      <c r="M109" s="142">
        <f>IF(K109&gt;0,L109/K109*100,"-")</f>
        <v>0</v>
      </c>
      <c r="N109" s="420"/>
    </row>
    <row r="110" spans="1:14" ht="11.25">
      <c r="A110" s="28" t="s">
        <v>138</v>
      </c>
      <c r="B110" s="362" t="s">
        <v>92</v>
      </c>
      <c r="C110" s="376"/>
      <c r="D110" s="27"/>
      <c r="E110" s="27"/>
      <c r="F110" s="32" t="s">
        <v>18</v>
      </c>
      <c r="G110" s="164">
        <f>G115</f>
        <v>69000</v>
      </c>
      <c r="H110" s="143">
        <f>H115</f>
        <v>1000</v>
      </c>
      <c r="I110" s="34">
        <f>IF(G110&gt;0,H110/G110*100,"-")</f>
        <v>1.4492753623188406</v>
      </c>
      <c r="J110" s="143">
        <v>68000</v>
      </c>
      <c r="K110" s="164">
        <f>K115</f>
        <v>68000</v>
      </c>
      <c r="L110" s="33">
        <f aca="true" t="shared" si="4" ref="J110:L111">L115</f>
        <v>0</v>
      </c>
      <c r="M110" s="144">
        <f>IF(K110&gt;0,L110/K110*100,"-")</f>
        <v>0</v>
      </c>
      <c r="N110" s="420"/>
    </row>
    <row r="111" spans="1:14" ht="11.25">
      <c r="A111" s="28"/>
      <c r="B111" s="31"/>
      <c r="C111" s="376"/>
      <c r="D111" s="27"/>
      <c r="E111" s="27"/>
      <c r="F111" s="32" t="s">
        <v>23</v>
      </c>
      <c r="G111" s="164">
        <f>G116</f>
        <v>0</v>
      </c>
      <c r="H111" s="33">
        <f>H116</f>
        <v>0</v>
      </c>
      <c r="I111" s="34" t="str">
        <f>IF(G111&gt;0,H111/G111*100,"-")</f>
        <v>-</v>
      </c>
      <c r="J111" s="143">
        <f t="shared" si="4"/>
        <v>0</v>
      </c>
      <c r="K111" s="164">
        <f t="shared" si="4"/>
        <v>0</v>
      </c>
      <c r="L111" s="33">
        <f t="shared" si="4"/>
        <v>0</v>
      </c>
      <c r="M111" s="34" t="str">
        <f>IF(K111&gt;0,L111/K111*100,"-")</f>
        <v>-</v>
      </c>
      <c r="N111" s="420"/>
    </row>
    <row r="112" spans="1:14" ht="11.25">
      <c r="A112" s="61"/>
      <c r="B112" s="62"/>
      <c r="C112" s="377"/>
      <c r="D112" s="63"/>
      <c r="E112" s="63"/>
      <c r="F112" s="61"/>
      <c r="G112" s="61"/>
      <c r="H112" s="61"/>
      <c r="I112" s="65"/>
      <c r="J112" s="61"/>
      <c r="K112" s="165"/>
      <c r="L112" s="64"/>
      <c r="M112" s="65"/>
      <c r="N112" s="421"/>
    </row>
    <row r="113" spans="1:14" ht="11.25">
      <c r="A113" s="571" t="s">
        <v>4</v>
      </c>
      <c r="B113" s="67"/>
      <c r="C113" s="378"/>
      <c r="D113" s="66"/>
      <c r="E113" s="66"/>
      <c r="F113" s="67"/>
      <c r="G113" s="67"/>
      <c r="H113" s="67"/>
      <c r="I113" s="70"/>
      <c r="J113" s="67"/>
      <c r="K113" s="166"/>
      <c r="L113" s="69"/>
      <c r="M113" s="70"/>
      <c r="N113" s="417"/>
    </row>
    <row r="114" spans="1:14" ht="11.25">
      <c r="A114" s="572"/>
      <c r="B114" s="71" t="s">
        <v>29</v>
      </c>
      <c r="C114" s="380" t="s">
        <v>93</v>
      </c>
      <c r="D114" s="76"/>
      <c r="E114" s="83"/>
      <c r="F114" s="72" t="s">
        <v>30</v>
      </c>
      <c r="G114" s="168">
        <f>SUM(G115:G116)</f>
        <v>69000</v>
      </c>
      <c r="H114" s="35">
        <f>SUM(H115:H116)</f>
        <v>1000</v>
      </c>
      <c r="I114" s="36">
        <f>IF(G114&gt;0,H114/G114*100,"-")</f>
        <v>1.4492753623188406</v>
      </c>
      <c r="J114" s="168">
        <v>68000</v>
      </c>
      <c r="K114" s="168">
        <f>SUM(K115:K116)</f>
        <v>68000</v>
      </c>
      <c r="L114" s="35">
        <f>SUM(L115:L116)</f>
        <v>0</v>
      </c>
      <c r="M114" s="146">
        <f>IF(K114&gt;0,L114/K114*100,"-")</f>
        <v>0</v>
      </c>
      <c r="N114" s="600" t="s">
        <v>94</v>
      </c>
    </row>
    <row r="115" spans="1:14" ht="11.25">
      <c r="A115" s="572"/>
      <c r="B115" s="602" t="s">
        <v>95</v>
      </c>
      <c r="C115" s="603"/>
      <c r="D115" s="76"/>
      <c r="E115" s="83"/>
      <c r="F115" s="73" t="s">
        <v>18</v>
      </c>
      <c r="G115" s="330">
        <v>69000</v>
      </c>
      <c r="H115" s="147">
        <v>1000</v>
      </c>
      <c r="I115" s="75">
        <f>IF(G115&gt;0,H115/G115*100,"-")</f>
        <v>1.4492753623188406</v>
      </c>
      <c r="J115" s="150" t="s">
        <v>96</v>
      </c>
      <c r="K115" s="169">
        <v>68000</v>
      </c>
      <c r="L115" s="74">
        <v>0</v>
      </c>
      <c r="M115" s="149"/>
      <c r="N115" s="601"/>
    </row>
    <row r="116" spans="1:14" ht="11.25">
      <c r="A116" s="572"/>
      <c r="B116" s="604"/>
      <c r="C116" s="603"/>
      <c r="D116" s="76"/>
      <c r="E116" s="83"/>
      <c r="F116" s="73" t="s">
        <v>23</v>
      </c>
      <c r="G116" s="169"/>
      <c r="H116" s="73"/>
      <c r="I116" s="75" t="str">
        <f>IF(G116&gt;0,H116/G116*100,"-")</f>
        <v>-</v>
      </c>
      <c r="J116" s="73"/>
      <c r="K116" s="169"/>
      <c r="L116" s="76"/>
      <c r="M116" s="75" t="str">
        <f>IF(K116&gt;0,L116/K116*100,"-")</f>
        <v>-</v>
      </c>
      <c r="N116" s="601"/>
    </row>
    <row r="117" spans="1:14" ht="16.5" customHeight="1">
      <c r="A117" s="573"/>
      <c r="B117" s="78"/>
      <c r="C117" s="382"/>
      <c r="D117" s="77"/>
      <c r="E117" s="77"/>
      <c r="F117" s="78"/>
      <c r="G117" s="259"/>
      <c r="H117" s="78"/>
      <c r="I117" s="81"/>
      <c r="J117" s="78"/>
      <c r="K117" s="171"/>
      <c r="L117" s="80"/>
      <c r="M117" s="81"/>
      <c r="N117" s="419"/>
    </row>
    <row r="118" spans="1:14" ht="11.25">
      <c r="A118" s="56"/>
      <c r="B118" s="57"/>
      <c r="C118" s="375"/>
      <c r="D118" s="58"/>
      <c r="E118" s="58"/>
      <c r="F118" s="56"/>
      <c r="G118" s="162"/>
      <c r="H118" s="56"/>
      <c r="I118" s="60"/>
      <c r="J118" s="56"/>
      <c r="K118" s="162"/>
      <c r="L118" s="59"/>
      <c r="M118" s="60"/>
      <c r="N118" s="431"/>
    </row>
    <row r="119" spans="1:14" ht="11.25">
      <c r="A119" s="26" t="s">
        <v>141</v>
      </c>
      <c r="B119" s="579" t="s">
        <v>97</v>
      </c>
      <c r="C119" s="580"/>
      <c r="D119" s="27"/>
      <c r="E119" s="27"/>
      <c r="F119" s="28"/>
      <c r="G119" s="163">
        <f>SUM(G120:G121)</f>
        <v>4943642</v>
      </c>
      <c r="H119" s="29">
        <f>SUM(H120:H121)</f>
        <v>1102204.8599999999</v>
      </c>
      <c r="I119" s="30">
        <f>IF(G119&gt;0,H119/G119*100,"-")</f>
        <v>22.29540205378949</v>
      </c>
      <c r="J119" s="29">
        <f>SUM(J120:J121)</f>
        <v>693000</v>
      </c>
      <c r="K119" s="163">
        <f>SUM(K120:K121)</f>
        <v>693000</v>
      </c>
      <c r="L119" s="29">
        <f>SUM(L120:L121)</f>
        <v>307569.45</v>
      </c>
      <c r="M119" s="30">
        <f>IF(K119&gt;0,L119/K119*100,"-")</f>
        <v>44.38231601731602</v>
      </c>
      <c r="N119" s="420"/>
    </row>
    <row r="120" spans="1:14" ht="11.25">
      <c r="A120" s="28"/>
      <c r="B120" s="31"/>
      <c r="C120" s="376"/>
      <c r="D120" s="27"/>
      <c r="E120" s="27"/>
      <c r="F120" s="32" t="s">
        <v>18</v>
      </c>
      <c r="G120" s="164">
        <f>+G125+G130+G134</f>
        <v>4943642</v>
      </c>
      <c r="H120" s="33">
        <f>+H125+H130+H134</f>
        <v>1102204.8599999999</v>
      </c>
      <c r="I120" s="34">
        <f>IF(G120&gt;0,H120/G120*100,"-")</f>
        <v>22.29540205378949</v>
      </c>
      <c r="J120" s="33">
        <f>J125+J130+J134</f>
        <v>693000</v>
      </c>
      <c r="K120" s="164">
        <f>K125+K130+K134</f>
        <v>693000</v>
      </c>
      <c r="L120" s="33">
        <f>L125+L130+L134</f>
        <v>307569.45</v>
      </c>
      <c r="M120" s="34">
        <f>IF(K120&gt;0,L120/K120*100,"-")</f>
        <v>44.38231601731602</v>
      </c>
      <c r="N120" s="420"/>
    </row>
    <row r="121" spans="1:14" ht="11.25">
      <c r="A121" s="28"/>
      <c r="B121" s="31"/>
      <c r="C121" s="376"/>
      <c r="D121" s="27"/>
      <c r="E121" s="27"/>
      <c r="F121" s="32" t="s">
        <v>23</v>
      </c>
      <c r="G121" s="164"/>
      <c r="H121" s="33">
        <f>+H126+H131</f>
        <v>0</v>
      </c>
      <c r="I121" s="34" t="str">
        <f>IF(G121&gt;0,H121/G121*100,"-")</f>
        <v>-</v>
      </c>
      <c r="J121" s="33">
        <f>J126+J131</f>
        <v>0</v>
      </c>
      <c r="K121" s="164">
        <f>K126+K131</f>
        <v>0</v>
      </c>
      <c r="L121" s="33">
        <f>L126+L131</f>
        <v>0</v>
      </c>
      <c r="M121" s="34" t="str">
        <f>IF(K121&gt;0,L121/K121*100,"-")</f>
        <v>-</v>
      </c>
      <c r="N121" s="420"/>
    </row>
    <row r="122" spans="1:14" ht="11.25">
      <c r="A122" s="61"/>
      <c r="B122" s="62"/>
      <c r="C122" s="377"/>
      <c r="D122" s="63"/>
      <c r="E122" s="63"/>
      <c r="F122" s="61"/>
      <c r="G122" s="165"/>
      <c r="H122" s="61"/>
      <c r="I122" s="65"/>
      <c r="J122" s="61"/>
      <c r="K122" s="165"/>
      <c r="L122" s="64"/>
      <c r="M122" s="65"/>
      <c r="N122" s="421"/>
    </row>
    <row r="123" spans="1:14" ht="11.25">
      <c r="A123" s="571" t="s">
        <v>4</v>
      </c>
      <c r="B123" s="67"/>
      <c r="C123" s="378"/>
      <c r="D123" s="66"/>
      <c r="E123" s="66"/>
      <c r="F123" s="67"/>
      <c r="G123" s="167"/>
      <c r="H123" s="67"/>
      <c r="I123" s="70"/>
      <c r="J123" s="67"/>
      <c r="K123" s="166"/>
      <c r="L123" s="69"/>
      <c r="M123" s="70"/>
      <c r="N123" s="581" t="s">
        <v>98</v>
      </c>
    </row>
    <row r="124" spans="1:14" ht="22.5">
      <c r="A124" s="572"/>
      <c r="B124" s="71" t="s">
        <v>29</v>
      </c>
      <c r="C124" s="381" t="s">
        <v>99</v>
      </c>
      <c r="D124" s="569" t="s">
        <v>39</v>
      </c>
      <c r="E124" s="569">
        <v>710</v>
      </c>
      <c r="F124" s="72" t="s">
        <v>30</v>
      </c>
      <c r="G124" s="168">
        <f>SUM(G125:G126)</f>
        <v>3515392</v>
      </c>
      <c r="H124" s="35">
        <f>SUM(H125:H126)</f>
        <v>646747.72</v>
      </c>
      <c r="I124" s="36">
        <f>IF(G124&gt;0,H124/G124*100,"-")</f>
        <v>18.397598902199242</v>
      </c>
      <c r="J124" s="35">
        <f>SUM(J125:J126)</f>
        <v>473000</v>
      </c>
      <c r="K124" s="168">
        <f>SUM(K125:K126)</f>
        <v>473000</v>
      </c>
      <c r="L124" s="35">
        <f>SUM(L125:L126)</f>
        <v>140360.34</v>
      </c>
      <c r="M124" s="36">
        <f>IF(K124&gt;0,L124/K124*100,"-")</f>
        <v>29.674490486257927</v>
      </c>
      <c r="N124" s="582"/>
    </row>
    <row r="125" spans="1:14" ht="11.25">
      <c r="A125" s="572"/>
      <c r="B125" s="71" t="s">
        <v>24</v>
      </c>
      <c r="C125" s="380" t="s">
        <v>100</v>
      </c>
      <c r="D125" s="569"/>
      <c r="E125" s="569"/>
      <c r="F125" s="73" t="s">
        <v>18</v>
      </c>
      <c r="G125" s="169">
        <v>3515392</v>
      </c>
      <c r="H125" s="74">
        <v>646747.72</v>
      </c>
      <c r="I125" s="75">
        <f>IF(G125&gt;0,H125/G125*100,"-")</f>
        <v>18.397598902199242</v>
      </c>
      <c r="J125" s="74">
        <v>473000</v>
      </c>
      <c r="K125" s="169">
        <v>473000</v>
      </c>
      <c r="L125" s="74">
        <v>140360.34</v>
      </c>
      <c r="M125" s="75">
        <f>IF(K125&gt;0,L125/K125*100,"-")</f>
        <v>29.674490486257927</v>
      </c>
      <c r="N125" s="582"/>
    </row>
    <row r="126" spans="1:14" ht="11.25">
      <c r="A126" s="572"/>
      <c r="B126" s="71"/>
      <c r="C126" s="381"/>
      <c r="D126" s="569"/>
      <c r="E126" s="569"/>
      <c r="F126" s="73" t="s">
        <v>23</v>
      </c>
      <c r="G126" s="74"/>
      <c r="H126" s="74"/>
      <c r="I126" s="75" t="str">
        <f>IF(G126&gt;0,H126/G126*100,"-")</f>
        <v>-</v>
      </c>
      <c r="J126" s="74"/>
      <c r="K126" s="169"/>
      <c r="L126" s="76"/>
      <c r="M126" s="75" t="str">
        <f>IF(K126&gt;0,L126/K126*100,"-")</f>
        <v>-</v>
      </c>
      <c r="N126" s="582"/>
    </row>
    <row r="127" spans="1:14" ht="69" customHeight="1">
      <c r="A127" s="573"/>
      <c r="B127" s="78"/>
      <c r="C127" s="382"/>
      <c r="D127" s="584"/>
      <c r="E127" s="77">
        <v>71095</v>
      </c>
      <c r="F127" s="78"/>
      <c r="G127" s="78"/>
      <c r="H127" s="78"/>
      <c r="I127" s="81"/>
      <c r="J127" s="78"/>
      <c r="K127" s="171"/>
      <c r="L127" s="80"/>
      <c r="M127" s="81"/>
      <c r="N127" s="583"/>
    </row>
    <row r="128" spans="1:14" ht="11.25">
      <c r="A128" s="571" t="s">
        <v>56</v>
      </c>
      <c r="B128" s="67"/>
      <c r="C128" s="378"/>
      <c r="D128" s="66"/>
      <c r="E128" s="587" t="s">
        <v>101</v>
      </c>
      <c r="F128" s="67"/>
      <c r="G128" s="67"/>
      <c r="H128" s="67"/>
      <c r="I128" s="70"/>
      <c r="J128" s="67"/>
      <c r="K128" s="166"/>
      <c r="L128" s="69"/>
      <c r="M128" s="70"/>
      <c r="N128" s="417"/>
    </row>
    <row r="129" spans="1:14" ht="22.5">
      <c r="A129" s="572"/>
      <c r="B129" s="71" t="s">
        <v>29</v>
      </c>
      <c r="C129" s="381" t="s">
        <v>102</v>
      </c>
      <c r="D129" s="569" t="s">
        <v>103</v>
      </c>
      <c r="E129" s="569"/>
      <c r="F129" s="72" t="s">
        <v>30</v>
      </c>
      <c r="G129" s="168">
        <f>SUM(G130:G131)</f>
        <v>519450</v>
      </c>
      <c r="H129" s="35">
        <f>SUM(H130:H131)</f>
        <v>245776.14</v>
      </c>
      <c r="I129" s="36">
        <v>40</v>
      </c>
      <c r="J129" s="35">
        <f>SUM(J130:J131)</f>
        <v>90000</v>
      </c>
      <c r="K129" s="168">
        <f>SUM(K130:K131)</f>
        <v>90000</v>
      </c>
      <c r="L129" s="35">
        <f>SUM(L130:L131)</f>
        <v>86327.41</v>
      </c>
      <c r="M129" s="36">
        <f>IF(K129&gt;0,L129/K129*100,"-")</f>
        <v>95.91934444444445</v>
      </c>
      <c r="N129" s="577" t="s">
        <v>104</v>
      </c>
    </row>
    <row r="130" spans="1:14" ht="22.5">
      <c r="A130" s="572"/>
      <c r="B130" s="71" t="s">
        <v>24</v>
      </c>
      <c r="C130" s="381" t="s">
        <v>105</v>
      </c>
      <c r="D130" s="569"/>
      <c r="E130" s="569"/>
      <c r="F130" s="73" t="s">
        <v>18</v>
      </c>
      <c r="G130" s="169">
        <v>519450</v>
      </c>
      <c r="H130" s="74">
        <v>245776.14</v>
      </c>
      <c r="I130" s="75">
        <v>40</v>
      </c>
      <c r="J130" s="74">
        <v>90000</v>
      </c>
      <c r="K130" s="169">
        <v>90000</v>
      </c>
      <c r="L130" s="181">
        <v>86327.41</v>
      </c>
      <c r="M130" s="75">
        <v>95.9</v>
      </c>
      <c r="N130" s="577"/>
    </row>
    <row r="131" spans="1:14" ht="11.25">
      <c r="A131" s="572"/>
      <c r="B131" s="71"/>
      <c r="C131" s="381"/>
      <c r="D131" s="569"/>
      <c r="E131" s="569"/>
      <c r="F131" s="73" t="s">
        <v>23</v>
      </c>
      <c r="G131" s="169"/>
      <c r="H131" s="74"/>
      <c r="I131" s="75" t="str">
        <f>IF(G131&gt;0,H131/G131*100,"-")</f>
        <v>-</v>
      </c>
      <c r="J131" s="74"/>
      <c r="K131" s="169"/>
      <c r="L131" s="76"/>
      <c r="M131" s="75" t="str">
        <f>IF(K131&gt;0,L131/K131*100,"-")</f>
        <v>-</v>
      </c>
      <c r="N131" s="577"/>
    </row>
    <row r="132" spans="1:14" ht="11.25">
      <c r="A132" s="573"/>
      <c r="B132" s="78"/>
      <c r="C132" s="382"/>
      <c r="D132" s="77"/>
      <c r="E132" s="588"/>
      <c r="F132" s="73"/>
      <c r="G132" s="172"/>
      <c r="H132" s="71"/>
      <c r="I132" s="75"/>
      <c r="J132" s="71"/>
      <c r="K132" s="169"/>
      <c r="L132" s="112"/>
      <c r="M132" s="75"/>
      <c r="N132" s="432"/>
    </row>
    <row r="133" spans="1:14" ht="11.25" customHeight="1">
      <c r="A133" s="571">
        <v>3</v>
      </c>
      <c r="B133" s="67"/>
      <c r="C133" s="393"/>
      <c r="D133" s="591" t="s">
        <v>107</v>
      </c>
      <c r="E133" s="594" t="s">
        <v>101</v>
      </c>
      <c r="F133" s="182" t="s">
        <v>30</v>
      </c>
      <c r="G133" s="448">
        <f aca="true" t="shared" si="5" ref="G133:L133">G134</f>
        <v>908800</v>
      </c>
      <c r="H133" s="187">
        <f t="shared" si="5"/>
        <v>209681</v>
      </c>
      <c r="I133" s="281">
        <f t="shared" si="5"/>
        <v>23</v>
      </c>
      <c r="J133" s="68">
        <f t="shared" si="5"/>
        <v>130000</v>
      </c>
      <c r="K133" s="341">
        <f t="shared" si="5"/>
        <v>130000</v>
      </c>
      <c r="L133" s="188">
        <f t="shared" si="5"/>
        <v>80881.7</v>
      </c>
      <c r="M133" s="183">
        <v>62</v>
      </c>
      <c r="N133" s="597" t="s">
        <v>108</v>
      </c>
    </row>
    <row r="134" spans="1:14" ht="11.25" customHeight="1">
      <c r="A134" s="572"/>
      <c r="B134" s="366" t="s">
        <v>106</v>
      </c>
      <c r="C134" s="394" t="s">
        <v>220</v>
      </c>
      <c r="D134" s="592"/>
      <c r="E134" s="595"/>
      <c r="F134" s="111" t="s">
        <v>18</v>
      </c>
      <c r="G134" s="172">
        <v>908800</v>
      </c>
      <c r="H134" s="112">
        <v>209681</v>
      </c>
      <c r="I134" s="191">
        <v>23</v>
      </c>
      <c r="J134" s="74">
        <v>130000</v>
      </c>
      <c r="K134" s="342">
        <v>130000</v>
      </c>
      <c r="L134" s="189">
        <v>80881.7</v>
      </c>
      <c r="M134" s="184">
        <v>62</v>
      </c>
      <c r="N134" s="598"/>
    </row>
    <row r="135" spans="1:14" ht="21" customHeight="1">
      <c r="A135" s="572"/>
      <c r="B135" s="365" t="s">
        <v>24</v>
      </c>
      <c r="C135" s="395" t="s">
        <v>221</v>
      </c>
      <c r="D135" s="592"/>
      <c r="E135" s="595"/>
      <c r="F135" s="111" t="s">
        <v>23</v>
      </c>
      <c r="G135" s="172"/>
      <c r="H135" s="71"/>
      <c r="I135" s="191"/>
      <c r="J135" s="138"/>
      <c r="K135" s="342"/>
      <c r="L135" s="189"/>
      <c r="M135" s="184"/>
      <c r="N135" s="598"/>
    </row>
    <row r="136" spans="1:14" ht="75.75" customHeight="1">
      <c r="A136" s="573"/>
      <c r="B136" s="364"/>
      <c r="C136" s="396"/>
      <c r="D136" s="593"/>
      <c r="E136" s="596"/>
      <c r="F136" s="185"/>
      <c r="G136" s="259"/>
      <c r="H136" s="78"/>
      <c r="I136" s="192"/>
      <c r="J136" s="141"/>
      <c r="K136" s="343"/>
      <c r="L136" s="190"/>
      <c r="M136" s="186"/>
      <c r="N136" s="599"/>
    </row>
    <row r="137" spans="1:14" ht="12">
      <c r="A137" s="196" t="s">
        <v>144</v>
      </c>
      <c r="B137" s="585" t="s">
        <v>109</v>
      </c>
      <c r="C137" s="586"/>
      <c r="D137" s="197"/>
      <c r="E137" s="197"/>
      <c r="F137" s="198"/>
      <c r="G137" s="344"/>
      <c r="H137" s="199"/>
      <c r="I137" s="200"/>
      <c r="J137" s="199"/>
      <c r="K137" s="344"/>
      <c r="L137" s="199"/>
      <c r="M137" s="200"/>
      <c r="N137" s="420"/>
    </row>
    <row r="138" spans="1:14" ht="11.25">
      <c r="A138" s="198"/>
      <c r="B138" s="201"/>
      <c r="C138" s="397"/>
      <c r="D138" s="197"/>
      <c r="E138" s="197"/>
      <c r="F138" s="202" t="s">
        <v>18</v>
      </c>
      <c r="G138" s="344">
        <v>8149422</v>
      </c>
      <c r="H138" s="199">
        <v>1934208</v>
      </c>
      <c r="I138" s="203">
        <f>IF(G138&gt;0,H138/G138*100,"-")</f>
        <v>23.734296739081618</v>
      </c>
      <c r="J138" s="199">
        <v>1137400</v>
      </c>
      <c r="K138" s="344">
        <v>1137400</v>
      </c>
      <c r="L138" s="199">
        <f>SUM(L143)</f>
        <v>609185.51</v>
      </c>
      <c r="M138" s="203">
        <f>IF(K138&gt;0,L138/K138*100,"-")</f>
        <v>53.55947863548444</v>
      </c>
      <c r="N138" s="420"/>
    </row>
    <row r="139" spans="1:14" ht="11.25">
      <c r="A139" s="198"/>
      <c r="B139" s="201"/>
      <c r="C139" s="397"/>
      <c r="D139" s="197"/>
      <c r="E139" s="197"/>
      <c r="F139" s="202" t="s">
        <v>23</v>
      </c>
      <c r="G139" s="344"/>
      <c r="H139" s="199"/>
      <c r="I139" s="203" t="str">
        <f>IF(G139&gt;0,H139/G139*100,"-")</f>
        <v>-</v>
      </c>
      <c r="J139" s="199"/>
      <c r="K139" s="344"/>
      <c r="L139" s="199"/>
      <c r="M139" s="203" t="str">
        <f>IF(K139&gt;0,L139/K139*100,"-")</f>
        <v>-</v>
      </c>
      <c r="N139" s="420"/>
    </row>
    <row r="140" spans="1:14" ht="11.25">
      <c r="A140" s="204"/>
      <c r="B140" s="205"/>
      <c r="C140" s="398"/>
      <c r="D140" s="206"/>
      <c r="E140" s="206"/>
      <c r="F140" s="204"/>
      <c r="G140" s="345"/>
      <c r="H140" s="204"/>
      <c r="I140" s="207"/>
      <c r="J140" s="204"/>
      <c r="K140" s="345"/>
      <c r="L140" s="145"/>
      <c r="M140" s="207"/>
      <c r="N140" s="421"/>
    </row>
    <row r="141" spans="1:14" ht="11.25">
      <c r="A141" s="571" t="s">
        <v>4</v>
      </c>
      <c r="B141" s="67"/>
      <c r="C141" s="378"/>
      <c r="D141" s="66"/>
      <c r="E141" s="66"/>
      <c r="F141" s="67"/>
      <c r="G141" s="167"/>
      <c r="H141" s="67"/>
      <c r="I141" s="70"/>
      <c r="J141" s="131"/>
      <c r="K141" s="176"/>
      <c r="L141" s="134"/>
      <c r="M141" s="70"/>
      <c r="N141" s="417"/>
    </row>
    <row r="142" spans="1:14" ht="22.5">
      <c r="A142" s="572"/>
      <c r="B142" s="71" t="s">
        <v>29</v>
      </c>
      <c r="C142" s="193" t="s">
        <v>110</v>
      </c>
      <c r="D142" s="569" t="s">
        <v>111</v>
      </c>
      <c r="E142" s="569" t="s">
        <v>112</v>
      </c>
      <c r="F142" s="72" t="s">
        <v>30</v>
      </c>
      <c r="G142" s="449">
        <v>8149422</v>
      </c>
      <c r="H142" s="195">
        <v>1934208</v>
      </c>
      <c r="I142" s="36">
        <f>IF(G142&gt;0,H142/G142*100,"-")</f>
        <v>23.734296739081618</v>
      </c>
      <c r="J142" s="130">
        <v>1137400</v>
      </c>
      <c r="K142" s="175">
        <v>1137400</v>
      </c>
      <c r="L142" s="130">
        <f>SUM(L143)</f>
        <v>609185.51</v>
      </c>
      <c r="M142" s="36">
        <f>IF(K142&gt;0,L142/K142*100,"-")</f>
        <v>53.55947863548444</v>
      </c>
      <c r="N142" s="570" t="s">
        <v>113</v>
      </c>
    </row>
    <row r="143" spans="1:14" ht="22.5">
      <c r="A143" s="572"/>
      <c r="B143" s="71" t="s">
        <v>24</v>
      </c>
      <c r="C143" s="194" t="s">
        <v>114</v>
      </c>
      <c r="D143" s="569"/>
      <c r="E143" s="569"/>
      <c r="F143" s="73" t="s">
        <v>18</v>
      </c>
      <c r="G143" s="450">
        <v>8149422</v>
      </c>
      <c r="H143" s="356">
        <v>1934208</v>
      </c>
      <c r="I143" s="75">
        <f>IF(G143&gt;0,H143/G143*100,"-")</f>
        <v>23.734296739081618</v>
      </c>
      <c r="J143" s="76">
        <v>1137400</v>
      </c>
      <c r="K143" s="170">
        <v>1137400</v>
      </c>
      <c r="L143" s="76">
        <v>609185.51</v>
      </c>
      <c r="M143" s="75">
        <f>IF(K143&gt;0,L143/K143*100,"-")</f>
        <v>53.55947863548444</v>
      </c>
      <c r="N143" s="570"/>
    </row>
    <row r="144" spans="1:14" ht="11.25">
      <c r="A144" s="572"/>
      <c r="B144" s="71"/>
      <c r="C144" s="381"/>
      <c r="D144" s="569"/>
      <c r="E144" s="569"/>
      <c r="F144" s="73" t="s">
        <v>23</v>
      </c>
      <c r="G144" s="450"/>
      <c r="H144" s="356"/>
      <c r="I144" s="75" t="str">
        <f>IF(G144&gt;0,H144/G144*100,"-")</f>
        <v>-</v>
      </c>
      <c r="J144" s="76"/>
      <c r="K144" s="170"/>
      <c r="L144" s="76"/>
      <c r="M144" s="75" t="str">
        <f>IF(K144&gt;0,L144/K144*100,"-")</f>
        <v>-</v>
      </c>
      <c r="N144" s="570"/>
    </row>
    <row r="145" spans="1:14" ht="11.25">
      <c r="A145" s="573"/>
      <c r="B145" s="78"/>
      <c r="C145" s="382"/>
      <c r="D145" s="77"/>
      <c r="E145" s="77"/>
      <c r="F145" s="78"/>
      <c r="G145" s="259"/>
      <c r="H145" s="78"/>
      <c r="I145" s="81"/>
      <c r="J145" s="127"/>
      <c r="K145" s="174"/>
      <c r="L145" s="109"/>
      <c r="M145" s="81"/>
      <c r="N145" s="419"/>
    </row>
    <row r="146" spans="1:14" ht="11.25">
      <c r="A146" s="56"/>
      <c r="B146" s="57"/>
      <c r="C146" s="375"/>
      <c r="D146" s="58"/>
      <c r="E146" s="58"/>
      <c r="F146" s="56"/>
      <c r="G146" s="346"/>
      <c r="H146" s="211"/>
      <c r="I146" s="60"/>
      <c r="J146" s="211"/>
      <c r="K146" s="346"/>
      <c r="L146" s="212"/>
      <c r="M146" s="213"/>
      <c r="N146" s="433"/>
    </row>
    <row r="147" spans="1:14" ht="11.25">
      <c r="A147" s="26" t="s">
        <v>215</v>
      </c>
      <c r="B147" s="579" t="s">
        <v>209</v>
      </c>
      <c r="C147" s="580"/>
      <c r="D147" s="27"/>
      <c r="E147" s="27"/>
      <c r="F147" s="28"/>
      <c r="G147" s="347">
        <f>G152+G157+G162</f>
        <v>16621605</v>
      </c>
      <c r="H147" s="214">
        <f>H152+H157+H162</f>
        <v>2206409.2199999997</v>
      </c>
      <c r="I147" s="30">
        <f>IF(G147&gt;0,H147/G147*100,"-")</f>
        <v>13.274345167028093</v>
      </c>
      <c r="J147" s="214">
        <f aca="true" t="shared" si="6" ref="J147:L148">J152+J157+J162</f>
        <v>2896448</v>
      </c>
      <c r="K147" s="347">
        <f t="shared" si="6"/>
        <v>2977053</v>
      </c>
      <c r="L147" s="214">
        <f t="shared" si="6"/>
        <v>1408664.22</v>
      </c>
      <c r="M147" s="30">
        <f>IF(K147&gt;0,L147/K147*100,"-")</f>
        <v>47.31740482954116</v>
      </c>
      <c r="N147" s="434"/>
    </row>
    <row r="148" spans="1:14" ht="11.25">
      <c r="A148" s="28"/>
      <c r="B148" s="31"/>
      <c r="C148" s="376"/>
      <c r="D148" s="27"/>
      <c r="E148" s="27"/>
      <c r="F148" s="32" t="s">
        <v>18</v>
      </c>
      <c r="G148" s="348">
        <f>G153+G158+G163</f>
        <v>15827261</v>
      </c>
      <c r="H148" s="143">
        <f>H153+H158+H163</f>
        <v>1703796.32</v>
      </c>
      <c r="I148" s="34">
        <f>IF(G148&gt;0,H148/G148*100,"-")</f>
        <v>10.764947390454987</v>
      </c>
      <c r="J148" s="143">
        <f t="shared" si="6"/>
        <v>2347635</v>
      </c>
      <c r="K148" s="348">
        <f t="shared" si="6"/>
        <v>2349285</v>
      </c>
      <c r="L148" s="143">
        <f t="shared" si="6"/>
        <v>1059027.32</v>
      </c>
      <c r="M148" s="34">
        <f>IF(K148&gt;0,L148/K148*100,"-")</f>
        <v>45.078707777047065</v>
      </c>
      <c r="N148" s="434"/>
    </row>
    <row r="149" spans="1:14" ht="11.25">
      <c r="A149" s="28"/>
      <c r="B149" s="31"/>
      <c r="C149" s="376"/>
      <c r="D149" s="27"/>
      <c r="E149" s="27"/>
      <c r="F149" s="32" t="s">
        <v>23</v>
      </c>
      <c r="G149" s="348">
        <f>G154+G159</f>
        <v>794344</v>
      </c>
      <c r="H149" s="143">
        <f>H154+H159</f>
        <v>502612.9</v>
      </c>
      <c r="I149" s="34">
        <f>IF(G149&gt;0,H149/G149*100,"-")</f>
        <v>63.27395939290786</v>
      </c>
      <c r="J149" s="143">
        <f>J154+J159</f>
        <v>548813</v>
      </c>
      <c r="K149" s="348">
        <f>K154+K159</f>
        <v>627768</v>
      </c>
      <c r="L149" s="143">
        <f>L154+L159</f>
        <v>349636.9</v>
      </c>
      <c r="M149" s="34">
        <f>IF(K149&gt;0,L149/K149*100,"-")</f>
        <v>55.69524091702668</v>
      </c>
      <c r="N149" s="434"/>
    </row>
    <row r="150" spans="1:14" ht="11.25">
      <c r="A150" s="61"/>
      <c r="B150" s="62"/>
      <c r="C150" s="377"/>
      <c r="D150" s="63"/>
      <c r="E150" s="63"/>
      <c r="F150" s="61"/>
      <c r="G150" s="215"/>
      <c r="H150" s="215"/>
      <c r="I150" s="65"/>
      <c r="J150" s="215"/>
      <c r="K150" s="349"/>
      <c r="L150" s="216"/>
      <c r="M150" s="65"/>
      <c r="N150" s="435"/>
    </row>
    <row r="151" spans="1:14" ht="11.25">
      <c r="A151" s="571" t="s">
        <v>4</v>
      </c>
      <c r="B151" s="67"/>
      <c r="C151" s="378"/>
      <c r="D151" s="66"/>
      <c r="E151" s="66"/>
      <c r="F151" s="67"/>
      <c r="G151" s="217"/>
      <c r="H151" s="217"/>
      <c r="I151" s="70"/>
      <c r="J151" s="217"/>
      <c r="K151" s="350"/>
      <c r="L151" s="218"/>
      <c r="M151" s="70"/>
      <c r="N151" s="436"/>
    </row>
    <row r="152" spans="1:14" ht="11.25">
      <c r="A152" s="572"/>
      <c r="B152" s="219" t="s">
        <v>115</v>
      </c>
      <c r="C152" s="399"/>
      <c r="D152" s="569" t="s">
        <v>116</v>
      </c>
      <c r="E152" s="569" t="s">
        <v>117</v>
      </c>
      <c r="F152" s="72" t="s">
        <v>30</v>
      </c>
      <c r="G152" s="331">
        <v>382300</v>
      </c>
      <c r="H152" s="220">
        <f>H153+H154</f>
        <v>158310.09</v>
      </c>
      <c r="I152" s="280">
        <f>IF(G152&gt;0,H152/G152*100,"-")</f>
        <v>41.40991106460895</v>
      </c>
      <c r="J152" s="331">
        <f>SUM(J153:J154)</f>
        <v>264900</v>
      </c>
      <c r="K152" s="331">
        <f>SUM(K153:K154)</f>
        <v>272085</v>
      </c>
      <c r="L152" s="220">
        <f>SUM(L153:L154)</f>
        <v>61695.090000000004</v>
      </c>
      <c r="M152" s="36">
        <f>IF(K152&gt;0,L152/K152*100,"-")</f>
        <v>22.674932465957333</v>
      </c>
      <c r="N152" s="570" t="s">
        <v>118</v>
      </c>
    </row>
    <row r="153" spans="1:14" ht="11.25">
      <c r="A153" s="572"/>
      <c r="B153" s="657" t="s">
        <v>119</v>
      </c>
      <c r="C153" s="658"/>
      <c r="D153" s="569"/>
      <c r="E153" s="569"/>
      <c r="F153" s="73" t="s">
        <v>18</v>
      </c>
      <c r="G153" s="330">
        <v>11037</v>
      </c>
      <c r="H153" s="330">
        <v>864.94</v>
      </c>
      <c r="I153" s="332">
        <f>IF(G153&gt;0,H153/G153*100,"-")</f>
        <v>7.836730995741598</v>
      </c>
      <c r="J153" s="330">
        <v>9387</v>
      </c>
      <c r="K153" s="330">
        <v>11037</v>
      </c>
      <c r="L153" s="147">
        <v>864.94</v>
      </c>
      <c r="M153" s="75">
        <f>IF(K153&gt;0,L153/K153*100,"-")</f>
        <v>7.836730995741598</v>
      </c>
      <c r="N153" s="570"/>
    </row>
    <row r="154" spans="1:14" ht="11.25">
      <c r="A154" s="572"/>
      <c r="B154" s="657"/>
      <c r="C154" s="658"/>
      <c r="D154" s="569"/>
      <c r="E154" s="569"/>
      <c r="F154" s="73" t="s">
        <v>23</v>
      </c>
      <c r="G154" s="330">
        <v>371263</v>
      </c>
      <c r="H154" s="330">
        <v>157445.15</v>
      </c>
      <c r="I154" s="332">
        <f>IF(G154&gt;0,H154/G154*100,"-")</f>
        <v>42.407983020123204</v>
      </c>
      <c r="J154" s="330">
        <v>255513</v>
      </c>
      <c r="K154" s="330">
        <v>261048</v>
      </c>
      <c r="L154" s="222">
        <v>60830.15</v>
      </c>
      <c r="M154" s="75">
        <f>IF(K154&gt;0,L154/K154*100,"-")</f>
        <v>23.302285403450707</v>
      </c>
      <c r="N154" s="570"/>
    </row>
    <row r="155" spans="1:14" ht="11.25">
      <c r="A155" s="573"/>
      <c r="B155" s="78"/>
      <c r="C155" s="382"/>
      <c r="D155" s="77"/>
      <c r="E155" s="77"/>
      <c r="F155" s="78"/>
      <c r="G155" s="333"/>
      <c r="H155" s="333"/>
      <c r="I155" s="334"/>
      <c r="J155" s="333"/>
      <c r="K155" s="351"/>
      <c r="L155" s="225"/>
      <c r="M155" s="81"/>
      <c r="N155" s="437"/>
    </row>
    <row r="156" spans="1:14" ht="11.25">
      <c r="A156" s="571" t="s">
        <v>56</v>
      </c>
      <c r="B156" s="67"/>
      <c r="C156" s="378"/>
      <c r="D156" s="66"/>
      <c r="E156" s="66"/>
      <c r="F156" s="67"/>
      <c r="G156" s="335"/>
      <c r="H156" s="335"/>
      <c r="I156" s="336"/>
      <c r="J156" s="335"/>
      <c r="K156" s="350"/>
      <c r="L156" s="218"/>
      <c r="M156" s="70"/>
      <c r="N156" s="436"/>
    </row>
    <row r="157" spans="1:14" ht="11.25">
      <c r="A157" s="572"/>
      <c r="B157" s="219" t="s">
        <v>120</v>
      </c>
      <c r="C157" s="399" t="s">
        <v>121</v>
      </c>
      <c r="D157" s="569" t="s">
        <v>122</v>
      </c>
      <c r="E157" s="569" t="s">
        <v>117</v>
      </c>
      <c r="F157" s="72" t="s">
        <v>30</v>
      </c>
      <c r="G157" s="331">
        <v>470181</v>
      </c>
      <c r="H157" s="331">
        <f>H158+H159</f>
        <v>374625.13</v>
      </c>
      <c r="I157" s="280">
        <f>IF(G157&gt;0,H157/G157*100,"-")</f>
        <v>79.67679042751621</v>
      </c>
      <c r="J157" s="331">
        <f>SUM(J158:J159)</f>
        <v>340400</v>
      </c>
      <c r="K157" s="331">
        <f>SUM(K158:K159)</f>
        <v>413820</v>
      </c>
      <c r="L157" s="220">
        <f>SUM(L158:L159)</f>
        <v>318264.13</v>
      </c>
      <c r="M157" s="36">
        <f>IF(K157&gt;0,L157/K157*100,"-")</f>
        <v>76.90883234256441</v>
      </c>
      <c r="N157" s="570" t="s">
        <v>123</v>
      </c>
    </row>
    <row r="158" spans="1:14" ht="11.25">
      <c r="A158" s="572"/>
      <c r="B158" s="657" t="s">
        <v>124</v>
      </c>
      <c r="C158" s="658"/>
      <c r="D158" s="569"/>
      <c r="E158" s="569"/>
      <c r="F158" s="73" t="s">
        <v>18</v>
      </c>
      <c r="G158" s="330">
        <v>47100</v>
      </c>
      <c r="H158" s="330">
        <v>29457.38</v>
      </c>
      <c r="I158" s="332">
        <f>IF(G158&gt;0,H158/G158*100,"-")</f>
        <v>62.54220806794055</v>
      </c>
      <c r="J158" s="330">
        <v>47100</v>
      </c>
      <c r="K158" s="330">
        <v>47100</v>
      </c>
      <c r="L158" s="147">
        <v>29457.38</v>
      </c>
      <c r="M158" s="75">
        <f>IF(K158&gt;0,L158/K158*100,"-")</f>
        <v>62.54220806794055</v>
      </c>
      <c r="N158" s="570"/>
    </row>
    <row r="159" spans="1:14" ht="26.25" customHeight="1">
      <c r="A159" s="572"/>
      <c r="B159" s="657"/>
      <c r="C159" s="658"/>
      <c r="D159" s="569"/>
      <c r="E159" s="569"/>
      <c r="F159" s="73" t="s">
        <v>23</v>
      </c>
      <c r="G159" s="330">
        <v>423081</v>
      </c>
      <c r="H159" s="330">
        <v>345167.75</v>
      </c>
      <c r="I159" s="332">
        <f>IF(G159&gt;0,H159/G159*100,"-")</f>
        <v>81.58431836929572</v>
      </c>
      <c r="J159" s="330">
        <v>293300</v>
      </c>
      <c r="K159" s="330">
        <v>366720</v>
      </c>
      <c r="L159" s="222">
        <v>288806.75</v>
      </c>
      <c r="M159" s="75">
        <f>IF(K159&gt;0,L159/K159*100,"-")</f>
        <v>78.75402214223386</v>
      </c>
      <c r="N159" s="570"/>
    </row>
    <row r="160" spans="1:14" ht="11.25">
      <c r="A160" s="573"/>
      <c r="B160" s="78"/>
      <c r="C160" s="382"/>
      <c r="D160" s="77"/>
      <c r="E160" s="77"/>
      <c r="F160" s="78"/>
      <c r="G160" s="333"/>
      <c r="H160" s="333"/>
      <c r="I160" s="334"/>
      <c r="J160" s="333"/>
      <c r="K160" s="351"/>
      <c r="L160" s="225"/>
      <c r="M160" s="81"/>
      <c r="N160" s="437"/>
    </row>
    <row r="161" spans="1:14" ht="11.25">
      <c r="A161" s="571" t="s">
        <v>61</v>
      </c>
      <c r="B161" s="67"/>
      <c r="C161" s="378"/>
      <c r="D161" s="66"/>
      <c r="E161" s="66"/>
      <c r="F161" s="67"/>
      <c r="G161" s="335"/>
      <c r="H161" s="335"/>
      <c r="I161" s="336"/>
      <c r="J161" s="335"/>
      <c r="K161" s="350"/>
      <c r="L161" s="218"/>
      <c r="M161" s="70"/>
      <c r="N161" s="436"/>
    </row>
    <row r="162" spans="1:14" ht="11.25">
      <c r="A162" s="572"/>
      <c r="B162" s="219" t="s">
        <v>125</v>
      </c>
      <c r="C162" s="399"/>
      <c r="D162" s="569" t="s">
        <v>107</v>
      </c>
      <c r="E162" s="569" t="s">
        <v>126</v>
      </c>
      <c r="F162" s="72" t="s">
        <v>30</v>
      </c>
      <c r="G162" s="331">
        <v>15769124</v>
      </c>
      <c r="H162" s="331">
        <v>1673474</v>
      </c>
      <c r="I162" s="280">
        <f>IF(G162&gt;0,H162/G162*100,"-")</f>
        <v>10.612345999689014</v>
      </c>
      <c r="J162" s="331">
        <v>2291148</v>
      </c>
      <c r="K162" s="331">
        <v>2291148</v>
      </c>
      <c r="L162" s="220">
        <f>SUM(L163:L164)</f>
        <v>1028705</v>
      </c>
      <c r="M162" s="36">
        <f>IF(K162&gt;0,L162/K162*100,"-")</f>
        <v>44.8991073470592</v>
      </c>
      <c r="N162" s="570" t="s">
        <v>127</v>
      </c>
    </row>
    <row r="163" spans="1:14" ht="11.25">
      <c r="A163" s="572"/>
      <c r="B163" s="657" t="s">
        <v>128</v>
      </c>
      <c r="C163" s="658"/>
      <c r="D163" s="569"/>
      <c r="E163" s="569"/>
      <c r="F163" s="73" t="s">
        <v>18</v>
      </c>
      <c r="G163" s="330">
        <v>15769124</v>
      </c>
      <c r="H163" s="330">
        <v>1673474</v>
      </c>
      <c r="I163" s="332">
        <f>IF(G163&gt;0,H163/G163*100,"-")</f>
        <v>10.612345999689014</v>
      </c>
      <c r="J163" s="330">
        <v>2291148</v>
      </c>
      <c r="K163" s="330">
        <v>2291148</v>
      </c>
      <c r="L163" s="147">
        <v>1028705</v>
      </c>
      <c r="M163" s="75">
        <f>IF(K163&gt;0,L163/K163*100,"-")</f>
        <v>44.8991073470592</v>
      </c>
      <c r="N163" s="570"/>
    </row>
    <row r="164" spans="1:14" ht="11.25">
      <c r="A164" s="572"/>
      <c r="B164" s="657"/>
      <c r="C164" s="658"/>
      <c r="D164" s="569"/>
      <c r="E164" s="569"/>
      <c r="F164" s="73" t="s">
        <v>23</v>
      </c>
      <c r="G164" s="330"/>
      <c r="H164" s="148"/>
      <c r="I164" s="332" t="str">
        <f>IF(G164&gt;0,H164/G164*100,"-")</f>
        <v>-</v>
      </c>
      <c r="J164" s="330"/>
      <c r="K164" s="330"/>
      <c r="L164" s="222"/>
      <c r="M164" s="221" t="str">
        <f>IF(K164&gt;0,L164/K164*100,"-")</f>
        <v>-</v>
      </c>
      <c r="N164" s="570"/>
    </row>
    <row r="165" spans="1:14" ht="11.25">
      <c r="A165" s="573"/>
      <c r="B165" s="78"/>
      <c r="C165" s="382"/>
      <c r="D165" s="77"/>
      <c r="E165" s="77"/>
      <c r="F165" s="78"/>
      <c r="G165" s="333"/>
      <c r="H165" s="223"/>
      <c r="I165" s="81"/>
      <c r="J165" s="223"/>
      <c r="K165" s="351"/>
      <c r="L165" s="225"/>
      <c r="M165" s="224"/>
      <c r="N165" s="437"/>
    </row>
    <row r="166" spans="1:14" ht="11.25">
      <c r="A166" s="56"/>
      <c r="B166" s="57"/>
      <c r="C166" s="375"/>
      <c r="D166" s="58"/>
      <c r="E166" s="58"/>
      <c r="F166" s="56"/>
      <c r="G166" s="162"/>
      <c r="H166" s="56"/>
      <c r="I166" s="60"/>
      <c r="J166" s="56"/>
      <c r="K166" s="162"/>
      <c r="L166" s="59"/>
      <c r="M166" s="60"/>
      <c r="N166" s="431"/>
    </row>
    <row r="167" spans="1:14" ht="11.25">
      <c r="A167" s="26" t="s">
        <v>216</v>
      </c>
      <c r="B167" s="579" t="s">
        <v>129</v>
      </c>
      <c r="C167" s="580"/>
      <c r="D167" s="27"/>
      <c r="E167" s="27"/>
      <c r="F167" s="28"/>
      <c r="G167" s="163">
        <f>SUM(G168:G169)</f>
        <v>184211127</v>
      </c>
      <c r="H167" s="29">
        <f>SUM(H168:H169)</f>
        <v>59551772.379999995</v>
      </c>
      <c r="I167" s="30">
        <f>IF(G167&gt;0,H167/G167*100,"-")</f>
        <v>32.327999589297335</v>
      </c>
      <c r="J167" s="29">
        <f>SUM(J168:J169)</f>
        <v>23271080</v>
      </c>
      <c r="K167" s="163">
        <f>SUM(K168:K169)</f>
        <v>26086180</v>
      </c>
      <c r="L167" s="29">
        <f>SUM(L168:L169)</f>
        <v>14056225.379999999</v>
      </c>
      <c r="M167" s="30">
        <f>IF(K167&gt;0,L167/K167*100,"-")</f>
        <v>53.883801231149974</v>
      </c>
      <c r="N167" s="420"/>
    </row>
    <row r="168" spans="1:14" ht="11.25">
      <c r="A168" s="28"/>
      <c r="B168" s="31"/>
      <c r="C168" s="376"/>
      <c r="D168" s="27"/>
      <c r="E168" s="27"/>
      <c r="F168" s="32" t="s">
        <v>18</v>
      </c>
      <c r="G168" s="164">
        <f>G172+G181+G190+G195+G202+G207+G212</f>
        <v>184211127</v>
      </c>
      <c r="H168" s="33">
        <f>H172+H181+H190+H195+H202+H207+H212</f>
        <v>59551772.379999995</v>
      </c>
      <c r="I168" s="34">
        <f>IF(G168&gt;0,H168/G168*100,"-")</f>
        <v>32.327999589297335</v>
      </c>
      <c r="J168" s="33">
        <f>J172+J181+J190+J195+J202+J207+J212</f>
        <v>23271080</v>
      </c>
      <c r="K168" s="164">
        <f>K172+K181+K190+K195+K202+K207+K212</f>
        <v>26086180</v>
      </c>
      <c r="L168" s="33">
        <f>L172+L181+L190+L195+L202+L207+L212</f>
        <v>14056225.379999999</v>
      </c>
      <c r="M168" s="34">
        <f>IF(K168&gt;0,L168/K168*100,"-")</f>
        <v>53.883801231149974</v>
      </c>
      <c r="N168" s="420"/>
    </row>
    <row r="169" spans="1:14" ht="11.25">
      <c r="A169" s="28"/>
      <c r="B169" s="31"/>
      <c r="C169" s="376"/>
      <c r="D169" s="27"/>
      <c r="E169" s="27"/>
      <c r="F169" s="32" t="s">
        <v>23</v>
      </c>
      <c r="G169" s="164">
        <f>G174</f>
        <v>0</v>
      </c>
      <c r="H169" s="33">
        <f>H174</f>
        <v>0</v>
      </c>
      <c r="I169" s="34" t="str">
        <f>IF(G169&gt;0,H169/G169*100,"-")</f>
        <v>-</v>
      </c>
      <c r="J169" s="33">
        <f>J174</f>
        <v>0</v>
      </c>
      <c r="K169" s="164">
        <f>K174</f>
        <v>0</v>
      </c>
      <c r="L169" s="33">
        <f>L174</f>
        <v>0</v>
      </c>
      <c r="M169" s="34" t="str">
        <f>IF(K169&gt;0,L169/K169*100,"-")</f>
        <v>-</v>
      </c>
      <c r="N169" s="420"/>
    </row>
    <row r="170" spans="1:14" ht="11.25">
      <c r="A170" s="61"/>
      <c r="B170" s="62"/>
      <c r="C170" s="377"/>
      <c r="D170" s="63"/>
      <c r="E170" s="63"/>
      <c r="F170" s="61"/>
      <c r="G170" s="61"/>
      <c r="H170" s="61"/>
      <c r="I170" s="65"/>
      <c r="J170" s="61"/>
      <c r="K170" s="165"/>
      <c r="L170" s="64"/>
      <c r="M170" s="65"/>
      <c r="N170" s="421"/>
    </row>
    <row r="171" spans="1:14" ht="11.25">
      <c r="A171" s="571" t="s">
        <v>4</v>
      </c>
      <c r="B171" s="67"/>
      <c r="C171" s="378"/>
      <c r="D171" s="66"/>
      <c r="E171" s="66"/>
      <c r="F171" s="67"/>
      <c r="G171" s="67"/>
      <c r="H171" s="67"/>
      <c r="I171" s="70"/>
      <c r="J171" s="67"/>
      <c r="K171" s="166"/>
      <c r="L171" s="69"/>
      <c r="M171" s="70"/>
      <c r="N171" s="575" t="s">
        <v>230</v>
      </c>
    </row>
    <row r="172" spans="1:14" ht="22.5">
      <c r="A172" s="572"/>
      <c r="B172" s="71" t="s">
        <v>29</v>
      </c>
      <c r="C172" s="400" t="s">
        <v>130</v>
      </c>
      <c r="D172" s="569" t="s">
        <v>48</v>
      </c>
      <c r="E172" s="568">
        <v>600</v>
      </c>
      <c r="F172" s="72" t="s">
        <v>30</v>
      </c>
      <c r="G172" s="168">
        <f>SUM(G176:G178)</f>
        <v>12817000</v>
      </c>
      <c r="H172" s="35">
        <f>H176+H178</f>
        <v>6721972.390000001</v>
      </c>
      <c r="I172" s="36">
        <f>IF(G172&gt;0,H172/G172*100,"-")</f>
        <v>52.445754778809395</v>
      </c>
      <c r="J172" s="35">
        <f>SUM(J176:J178)</f>
        <v>2500000</v>
      </c>
      <c r="K172" s="168">
        <f>SUM(K176:K178)</f>
        <v>2500000</v>
      </c>
      <c r="L172" s="35">
        <f>SUM(L176:L178)</f>
        <v>1214972.3900000001</v>
      </c>
      <c r="M172" s="36">
        <f aca="true" t="shared" si="7" ref="M172:M179">IF(K172&gt;0,L172/K172*100,"-")</f>
        <v>48.598895600000006</v>
      </c>
      <c r="N172" s="570"/>
    </row>
    <row r="173" spans="1:14" ht="11.25">
      <c r="A173" s="572"/>
      <c r="B173" s="660" t="s">
        <v>24</v>
      </c>
      <c r="C173" s="661" t="s">
        <v>131</v>
      </c>
      <c r="D173" s="569"/>
      <c r="E173" s="569"/>
      <c r="F173" s="73" t="s">
        <v>18</v>
      </c>
      <c r="G173" s="169"/>
      <c r="H173" s="73"/>
      <c r="I173" s="36"/>
      <c r="J173" s="73"/>
      <c r="K173" s="169"/>
      <c r="L173" s="74"/>
      <c r="M173" s="75" t="str">
        <f t="shared" si="7"/>
        <v>-</v>
      </c>
      <c r="N173" s="570"/>
    </row>
    <row r="174" spans="1:14" ht="11.25">
      <c r="A174" s="572"/>
      <c r="B174" s="660"/>
      <c r="C174" s="661"/>
      <c r="D174" s="569"/>
      <c r="E174" s="569"/>
      <c r="F174" s="73"/>
      <c r="G174" s="169"/>
      <c r="H174" s="73"/>
      <c r="I174" s="36"/>
      <c r="J174" s="73"/>
      <c r="K174" s="169"/>
      <c r="L174" s="76"/>
      <c r="M174" s="75" t="str">
        <f t="shared" si="7"/>
        <v>-</v>
      </c>
      <c r="N174" s="570"/>
    </row>
    <row r="175" spans="1:14" ht="11.25">
      <c r="A175" s="572"/>
      <c r="B175" s="219"/>
      <c r="C175" s="399"/>
      <c r="D175" s="95"/>
      <c r="E175" s="95"/>
      <c r="F175" s="111"/>
      <c r="G175" s="172"/>
      <c r="H175" s="111"/>
      <c r="I175" s="36"/>
      <c r="J175" s="111"/>
      <c r="K175" s="169"/>
      <c r="L175" s="82"/>
      <c r="M175" s="75" t="str">
        <f t="shared" si="7"/>
        <v>-</v>
      </c>
      <c r="N175" s="570"/>
    </row>
    <row r="176" spans="1:14" ht="11.25">
      <c r="A176" s="572"/>
      <c r="B176" s="219"/>
      <c r="C176" s="399"/>
      <c r="D176" s="95"/>
      <c r="E176" s="95">
        <v>60015</v>
      </c>
      <c r="F176" s="73" t="s">
        <v>18</v>
      </c>
      <c r="G176" s="172">
        <v>2150000</v>
      </c>
      <c r="H176" s="112">
        <f>1400000+L176</f>
        <v>1501634.08</v>
      </c>
      <c r="I176" s="36">
        <f>IF(G176&gt;0,H176/G176*100,"-")</f>
        <v>69.84344558139534</v>
      </c>
      <c r="J176" s="112">
        <v>750000</v>
      </c>
      <c r="K176" s="169">
        <v>750000</v>
      </c>
      <c r="L176" s="82">
        <v>101634.08</v>
      </c>
      <c r="M176" s="75">
        <f t="shared" si="7"/>
        <v>13.551210666666666</v>
      </c>
      <c r="N176" s="570"/>
    </row>
    <row r="177" spans="1:14" ht="11.25">
      <c r="A177" s="572"/>
      <c r="B177" s="219"/>
      <c r="C177" s="399"/>
      <c r="D177" s="95"/>
      <c r="E177" s="95"/>
      <c r="F177" s="111"/>
      <c r="G177" s="172"/>
      <c r="H177" s="112"/>
      <c r="I177" s="36"/>
      <c r="J177" s="112"/>
      <c r="K177" s="169"/>
      <c r="L177" s="82"/>
      <c r="M177" s="75" t="str">
        <f t="shared" si="7"/>
        <v>-</v>
      </c>
      <c r="N177" s="570"/>
    </row>
    <row r="178" spans="1:14" ht="11.25">
      <c r="A178" s="572"/>
      <c r="B178" s="219"/>
      <c r="C178" s="399"/>
      <c r="D178" s="95"/>
      <c r="E178" s="95">
        <v>60016</v>
      </c>
      <c r="F178" s="73" t="s">
        <v>18</v>
      </c>
      <c r="G178" s="172">
        <v>10667000</v>
      </c>
      <c r="H178" s="112">
        <f>4107000+L178</f>
        <v>5220338.3100000005</v>
      </c>
      <c r="I178" s="36">
        <f>IF(G178&gt;0,H178/G178*100,"-")</f>
        <v>48.93914230805288</v>
      </c>
      <c r="J178" s="112">
        <v>1750000</v>
      </c>
      <c r="K178" s="169">
        <v>1750000</v>
      </c>
      <c r="L178" s="82">
        <v>1113338.31</v>
      </c>
      <c r="M178" s="75">
        <f t="shared" si="7"/>
        <v>63.61933200000001</v>
      </c>
      <c r="N178" s="570"/>
    </row>
    <row r="179" spans="1:14" ht="11.25">
      <c r="A179" s="573"/>
      <c r="B179" s="78"/>
      <c r="C179" s="382"/>
      <c r="D179" s="77"/>
      <c r="E179" s="77"/>
      <c r="F179" s="73"/>
      <c r="G179" s="259"/>
      <c r="H179" s="78"/>
      <c r="I179" s="36"/>
      <c r="J179" s="78"/>
      <c r="K179" s="171"/>
      <c r="L179" s="80"/>
      <c r="M179" s="75" t="str">
        <f t="shared" si="7"/>
        <v>-</v>
      </c>
      <c r="N179" s="576"/>
    </row>
    <row r="180" spans="1:14" ht="11.25">
      <c r="A180" s="571" t="s">
        <v>56</v>
      </c>
      <c r="B180" s="67"/>
      <c r="C180" s="378"/>
      <c r="D180" s="66"/>
      <c r="E180" s="66"/>
      <c r="F180" s="67"/>
      <c r="G180" s="167"/>
      <c r="H180" s="67"/>
      <c r="I180" s="70"/>
      <c r="J180" s="67"/>
      <c r="K180" s="166"/>
      <c r="L180" s="69"/>
      <c r="M180" s="70"/>
      <c r="N180" s="575" t="s">
        <v>229</v>
      </c>
    </row>
    <row r="181" spans="1:14" ht="11.25">
      <c r="A181" s="572"/>
      <c r="B181" s="71" t="s">
        <v>29</v>
      </c>
      <c r="C181" s="401" t="s">
        <v>132</v>
      </c>
      <c r="D181" s="569" t="s">
        <v>48</v>
      </c>
      <c r="E181" s="569">
        <v>600</v>
      </c>
      <c r="F181" s="72" t="s">
        <v>30</v>
      </c>
      <c r="G181" s="168">
        <f>G185+G187</f>
        <v>44958100</v>
      </c>
      <c r="H181" s="35">
        <f>H185+H187</f>
        <v>17563794.05</v>
      </c>
      <c r="I181" s="36">
        <f>IF(G181&gt;0,H181/G181*100,"-")</f>
        <v>39.0670291894008</v>
      </c>
      <c r="J181" s="35">
        <f>J185+J187</f>
        <v>3950000</v>
      </c>
      <c r="K181" s="168">
        <f>K185+K187</f>
        <v>4115100</v>
      </c>
      <c r="L181" s="35">
        <f>L185+L187</f>
        <v>1720794.05</v>
      </c>
      <c r="M181" s="36">
        <f>IF(K181&gt;0,L181/K181*100,"-")</f>
        <v>41.81657918398095</v>
      </c>
      <c r="N181" s="570"/>
    </row>
    <row r="182" spans="1:14" ht="11.25">
      <c r="A182" s="572"/>
      <c r="B182" s="664" t="s">
        <v>24</v>
      </c>
      <c r="C182" s="659" t="s">
        <v>133</v>
      </c>
      <c r="D182" s="569"/>
      <c r="E182" s="569"/>
      <c r="F182" s="73" t="s">
        <v>18</v>
      </c>
      <c r="G182" s="169"/>
      <c r="H182" s="73"/>
      <c r="I182" s="36" t="str">
        <f>IF(G182&gt;0,H182/G182*100,"-")</f>
        <v>-</v>
      </c>
      <c r="J182" s="73"/>
      <c r="K182" s="169"/>
      <c r="L182" s="74"/>
      <c r="M182" s="36"/>
      <c r="N182" s="570"/>
    </row>
    <row r="183" spans="1:14" ht="11.25">
      <c r="A183" s="572"/>
      <c r="B183" s="664"/>
      <c r="C183" s="659"/>
      <c r="D183" s="569"/>
      <c r="E183" s="569"/>
      <c r="F183" s="73"/>
      <c r="G183" s="169"/>
      <c r="H183" s="73"/>
      <c r="I183" s="36"/>
      <c r="J183" s="73"/>
      <c r="K183" s="169"/>
      <c r="L183" s="76"/>
      <c r="M183" s="36"/>
      <c r="N183" s="570"/>
    </row>
    <row r="184" spans="1:14" ht="11.25">
      <c r="A184" s="572"/>
      <c r="B184" s="664"/>
      <c r="C184" s="659"/>
      <c r="D184" s="95"/>
      <c r="E184" s="95"/>
      <c r="F184" s="111"/>
      <c r="G184" s="172"/>
      <c r="H184" s="111"/>
      <c r="I184" s="36"/>
      <c r="J184" s="111"/>
      <c r="K184" s="169"/>
      <c r="L184" s="82"/>
      <c r="M184" s="36"/>
      <c r="N184" s="570"/>
    </row>
    <row r="185" spans="1:14" ht="11.25">
      <c r="A185" s="572"/>
      <c r="B185" s="664"/>
      <c r="C185" s="659"/>
      <c r="D185" s="95"/>
      <c r="E185" s="95">
        <v>60015</v>
      </c>
      <c r="F185" s="73" t="s">
        <v>18</v>
      </c>
      <c r="G185" s="172">
        <v>36760000</v>
      </c>
      <c r="H185" s="112">
        <f>9000000+L185</f>
        <v>10360819.25</v>
      </c>
      <c r="I185" s="36">
        <f>IF(G185&gt;0,H185/G185*100,"-")</f>
        <v>28.18503604461371</v>
      </c>
      <c r="J185" s="112">
        <v>2760000</v>
      </c>
      <c r="K185" s="169">
        <v>2760000</v>
      </c>
      <c r="L185" s="82">
        <f>421177.86+939641.39</f>
        <v>1360819.25</v>
      </c>
      <c r="M185" s="36">
        <f>IF(K185&gt;0,L185/K185*100,"-")</f>
        <v>49.30504528985507</v>
      </c>
      <c r="N185" s="570"/>
    </row>
    <row r="186" spans="1:14" ht="11.25">
      <c r="A186" s="572"/>
      <c r="B186" s="664"/>
      <c r="C186" s="381"/>
      <c r="D186" s="95"/>
      <c r="E186" s="95"/>
      <c r="F186" s="111"/>
      <c r="G186" s="172"/>
      <c r="H186" s="112"/>
      <c r="I186" s="36"/>
      <c r="J186" s="172"/>
      <c r="K186" s="169"/>
      <c r="L186" s="82"/>
      <c r="M186" s="36"/>
      <c r="N186" s="570"/>
    </row>
    <row r="187" spans="1:14" ht="11.25">
      <c r="A187" s="572"/>
      <c r="B187" s="664"/>
      <c r="C187" s="381"/>
      <c r="D187" s="95"/>
      <c r="E187" s="95">
        <v>60016</v>
      </c>
      <c r="F187" s="73" t="s">
        <v>18</v>
      </c>
      <c r="G187" s="172">
        <v>8198100</v>
      </c>
      <c r="H187" s="112">
        <f>6843000+L187</f>
        <v>7202974.8</v>
      </c>
      <c r="I187" s="36">
        <f>IF(G187&gt;0,H187/G187*100,"-")</f>
        <v>87.8615142533026</v>
      </c>
      <c r="J187" s="112">
        <v>1190000</v>
      </c>
      <c r="K187" s="169">
        <v>1355100</v>
      </c>
      <c r="L187" s="82">
        <v>359974.8</v>
      </c>
      <c r="M187" s="36">
        <f>IF(K187&gt;0,L187/K187*100,"-")</f>
        <v>26.564445428381667</v>
      </c>
      <c r="N187" s="570"/>
    </row>
    <row r="188" spans="1:14" ht="21" customHeight="1">
      <c r="A188" s="572"/>
      <c r="B188" s="664"/>
      <c r="C188" s="381"/>
      <c r="D188" s="95"/>
      <c r="E188" s="95"/>
      <c r="F188" s="111"/>
      <c r="G188" s="172"/>
      <c r="H188" s="111"/>
      <c r="I188" s="36"/>
      <c r="J188" s="111"/>
      <c r="K188" s="169"/>
      <c r="L188" s="82"/>
      <c r="M188" s="36"/>
      <c r="N188" s="576"/>
    </row>
    <row r="189" spans="1:14" ht="11.25">
      <c r="A189" s="571" t="s">
        <v>61</v>
      </c>
      <c r="B189" s="67"/>
      <c r="C189" s="378"/>
      <c r="D189" s="66"/>
      <c r="E189" s="66">
        <v>900</v>
      </c>
      <c r="F189" s="67"/>
      <c r="G189" s="167"/>
      <c r="H189" s="67"/>
      <c r="I189" s="70"/>
      <c r="J189" s="67"/>
      <c r="K189" s="166"/>
      <c r="L189" s="69"/>
      <c r="M189" s="70"/>
      <c r="N189" s="575" t="s">
        <v>228</v>
      </c>
    </row>
    <row r="190" spans="1:14" ht="11.25">
      <c r="A190" s="572"/>
      <c r="B190" s="71" t="s">
        <v>29</v>
      </c>
      <c r="C190" s="401" t="s">
        <v>134</v>
      </c>
      <c r="D190" s="569" t="s">
        <v>48</v>
      </c>
      <c r="E190" s="569">
        <v>90003</v>
      </c>
      <c r="F190" s="72" t="s">
        <v>30</v>
      </c>
      <c r="G190" s="168">
        <f>SUM(G191:G192)</f>
        <v>56150000</v>
      </c>
      <c r="H190" s="35">
        <f>SUM(H191:H192)</f>
        <v>18532966.83</v>
      </c>
      <c r="I190" s="36">
        <f>IF(G190&gt;0,H190/G190*100,"-")</f>
        <v>33.00617422974176</v>
      </c>
      <c r="J190" s="35">
        <f>SUM(J191:J192)</f>
        <v>7000000</v>
      </c>
      <c r="K190" s="168">
        <f>SUM(K191:K192)</f>
        <v>9350000</v>
      </c>
      <c r="L190" s="35">
        <f>SUM(L191:L192)</f>
        <v>6732966.83</v>
      </c>
      <c r="M190" s="36">
        <f>IF(K190&gt;0,L190/K190*100,"-")</f>
        <v>72.01034042780748</v>
      </c>
      <c r="N190" s="570"/>
    </row>
    <row r="191" spans="1:14" ht="11.25">
      <c r="A191" s="572"/>
      <c r="B191" s="71" t="s">
        <v>24</v>
      </c>
      <c r="C191" s="659" t="s">
        <v>135</v>
      </c>
      <c r="D191" s="569"/>
      <c r="E191" s="569"/>
      <c r="F191" s="73"/>
      <c r="G191" s="169"/>
      <c r="H191" s="73"/>
      <c r="I191" s="75" t="str">
        <f>IF(G191&gt;0,H191/G191*100,"-")</f>
        <v>-</v>
      </c>
      <c r="J191" s="73"/>
      <c r="K191" s="169"/>
      <c r="L191" s="74"/>
      <c r="M191" s="75" t="str">
        <f>IF(K191&gt;0,L191/K191*100,"-")</f>
        <v>-</v>
      </c>
      <c r="N191" s="570"/>
    </row>
    <row r="192" spans="1:14" ht="11.25">
      <c r="A192" s="572"/>
      <c r="B192" s="71"/>
      <c r="C192" s="659"/>
      <c r="D192" s="569"/>
      <c r="E192" s="569"/>
      <c r="F192" s="73" t="s">
        <v>18</v>
      </c>
      <c r="G192" s="169">
        <v>56150000</v>
      </c>
      <c r="H192" s="74">
        <f>11800000+L192</f>
        <v>18532966.83</v>
      </c>
      <c r="I192" s="75">
        <f>IF(G192&gt;0,H192/G192*100,"-")</f>
        <v>33.00617422974176</v>
      </c>
      <c r="J192" s="74">
        <v>7000000</v>
      </c>
      <c r="K192" s="169">
        <v>9350000</v>
      </c>
      <c r="L192" s="76">
        <v>6732966.83</v>
      </c>
      <c r="M192" s="75">
        <f>IF(K192&gt;0,L192/K192*100,"-")</f>
        <v>72.01034042780748</v>
      </c>
      <c r="N192" s="570"/>
    </row>
    <row r="193" spans="1:14" ht="11.25">
      <c r="A193" s="573"/>
      <c r="B193" s="78"/>
      <c r="C193" s="665"/>
      <c r="D193" s="77"/>
      <c r="E193" s="77"/>
      <c r="F193" s="78"/>
      <c r="G193" s="259"/>
      <c r="H193" s="78"/>
      <c r="I193" s="81"/>
      <c r="J193" s="78"/>
      <c r="K193" s="171"/>
      <c r="L193" s="80"/>
      <c r="M193" s="81"/>
      <c r="N193" s="576"/>
    </row>
    <row r="194" spans="1:14" ht="11.25">
      <c r="A194" s="571" t="s">
        <v>79</v>
      </c>
      <c r="B194" s="67"/>
      <c r="C194" s="378"/>
      <c r="D194" s="66"/>
      <c r="E194" s="66">
        <v>900</v>
      </c>
      <c r="F194" s="67"/>
      <c r="G194" s="167"/>
      <c r="H194" s="67"/>
      <c r="I194" s="70"/>
      <c r="J194" s="67"/>
      <c r="K194" s="166"/>
      <c r="L194" s="69"/>
      <c r="M194" s="70"/>
      <c r="N194" s="575" t="s">
        <v>227</v>
      </c>
    </row>
    <row r="195" spans="1:14" ht="11.25">
      <c r="A195" s="572"/>
      <c r="B195" s="71" t="s">
        <v>29</v>
      </c>
      <c r="C195" s="401" t="s">
        <v>136</v>
      </c>
      <c r="D195" s="569" t="s">
        <v>48</v>
      </c>
      <c r="E195" s="569">
        <v>90001</v>
      </c>
      <c r="F195" s="72" t="s">
        <v>30</v>
      </c>
      <c r="G195" s="168">
        <f>G197+G199</f>
        <v>18116480</v>
      </c>
      <c r="H195" s="35">
        <f>H197+H199</f>
        <v>5294275.02</v>
      </c>
      <c r="I195" s="36">
        <f>IF(G195&gt;0,H195/G195*100,"-")</f>
        <v>29.22353028844455</v>
      </c>
      <c r="J195" s="35">
        <f>J197+J199</f>
        <v>2211080</v>
      </c>
      <c r="K195" s="168">
        <f>K197+K199</f>
        <v>2511080</v>
      </c>
      <c r="L195" s="35">
        <f>L197+L199</f>
        <v>744275.02</v>
      </c>
      <c r="M195" s="36">
        <f>IF(K195&gt;0,L195/K195*100,"-")</f>
        <v>29.639637924717654</v>
      </c>
      <c r="N195" s="570"/>
    </row>
    <row r="196" spans="1:14" ht="11.25">
      <c r="A196" s="572"/>
      <c r="B196" s="71" t="s">
        <v>24</v>
      </c>
      <c r="C196" s="662" t="s">
        <v>137</v>
      </c>
      <c r="D196" s="569"/>
      <c r="E196" s="569"/>
      <c r="F196" s="73"/>
      <c r="G196" s="169"/>
      <c r="H196" s="73"/>
      <c r="I196" s="75" t="str">
        <f>IF(G196&gt;0,H196/G196*100,"-")</f>
        <v>-</v>
      </c>
      <c r="J196" s="73"/>
      <c r="K196" s="169"/>
      <c r="L196" s="74"/>
      <c r="M196" s="75" t="str">
        <f>IF(K196&gt;0,L196/K196*100,"-")</f>
        <v>-</v>
      </c>
      <c r="N196" s="570"/>
    </row>
    <row r="197" spans="1:14" ht="11.25">
      <c r="A197" s="572"/>
      <c r="B197" s="71"/>
      <c r="C197" s="662"/>
      <c r="D197" s="569"/>
      <c r="E197" s="569"/>
      <c r="F197" s="73" t="s">
        <v>18</v>
      </c>
      <c r="G197" s="169">
        <v>17816480</v>
      </c>
      <c r="H197" s="74">
        <f>4550000+L197</f>
        <v>5270351.52</v>
      </c>
      <c r="I197" s="75">
        <f>IF(G197&gt;0,H197/G197*100,"-")</f>
        <v>29.581328747317087</v>
      </c>
      <c r="J197" s="74">
        <v>2211080</v>
      </c>
      <c r="K197" s="169">
        <v>2211080</v>
      </c>
      <c r="L197" s="76">
        <f>744275.02-23923.5</f>
        <v>720351.52</v>
      </c>
      <c r="M197" s="75">
        <f>IF(K197&gt;0,L197/K197*100,"-")</f>
        <v>32.57917036018597</v>
      </c>
      <c r="N197" s="570"/>
    </row>
    <row r="198" spans="1:14" ht="11.25">
      <c r="A198" s="572"/>
      <c r="B198" s="71"/>
      <c r="C198" s="662"/>
      <c r="D198" s="95"/>
      <c r="E198" s="95"/>
      <c r="F198" s="111"/>
      <c r="G198" s="172"/>
      <c r="H198" s="112"/>
      <c r="I198" s="75"/>
      <c r="J198" s="112"/>
      <c r="K198" s="169"/>
      <c r="L198" s="82"/>
      <c r="M198" s="75"/>
      <c r="N198" s="570"/>
    </row>
    <row r="199" spans="1:14" ht="11.25">
      <c r="A199" s="572"/>
      <c r="B199" s="71"/>
      <c r="C199" s="662"/>
      <c r="D199" s="95"/>
      <c r="E199" s="95">
        <v>90019</v>
      </c>
      <c r="F199" s="73" t="s">
        <v>18</v>
      </c>
      <c r="G199" s="172">
        <v>300000</v>
      </c>
      <c r="H199" s="112">
        <f>L199</f>
        <v>23923.5</v>
      </c>
      <c r="I199" s="75"/>
      <c r="J199" s="112">
        <v>0</v>
      </c>
      <c r="K199" s="169">
        <v>300000</v>
      </c>
      <c r="L199" s="82">
        <v>23923.5</v>
      </c>
      <c r="M199" s="75"/>
      <c r="N199" s="570"/>
    </row>
    <row r="200" spans="1:14" ht="11.25">
      <c r="A200" s="573"/>
      <c r="B200" s="78"/>
      <c r="C200" s="663"/>
      <c r="D200" s="77"/>
      <c r="E200" s="77"/>
      <c r="F200" s="78"/>
      <c r="G200" s="78"/>
      <c r="H200" s="78"/>
      <c r="I200" s="81"/>
      <c r="J200" s="78"/>
      <c r="K200" s="171"/>
      <c r="L200" s="80"/>
      <c r="M200" s="81"/>
      <c r="N200" s="576"/>
    </row>
    <row r="201" spans="1:14" ht="11.25">
      <c r="A201" s="571" t="s">
        <v>138</v>
      </c>
      <c r="B201" s="67"/>
      <c r="C201" s="378"/>
      <c r="D201" s="66"/>
      <c r="E201" s="66">
        <v>900</v>
      </c>
      <c r="F201" s="67"/>
      <c r="G201" s="67"/>
      <c r="H201" s="67"/>
      <c r="I201" s="70"/>
      <c r="J201" s="67"/>
      <c r="K201" s="166"/>
      <c r="L201" s="69"/>
      <c r="M201" s="70"/>
      <c r="N201" s="575" t="s">
        <v>226</v>
      </c>
    </row>
    <row r="202" spans="1:14" ht="11.25">
      <c r="A202" s="572"/>
      <c r="B202" s="71" t="s">
        <v>29</v>
      </c>
      <c r="C202" s="401" t="s">
        <v>139</v>
      </c>
      <c r="D202" s="569" t="s">
        <v>48</v>
      </c>
      <c r="E202" s="569">
        <v>90015</v>
      </c>
      <c r="F202" s="72" t="s">
        <v>30</v>
      </c>
      <c r="G202" s="168">
        <f>SUM(G203:G204)</f>
        <v>44259547</v>
      </c>
      <c r="H202" s="35">
        <f>SUM(H203:H204)</f>
        <v>9444242.98</v>
      </c>
      <c r="I202" s="36">
        <f>IF(G202&gt;0,H202/G202*100,"-")</f>
        <v>21.33831821640651</v>
      </c>
      <c r="J202" s="35">
        <f>SUM(J203:J204)</f>
        <v>6600000</v>
      </c>
      <c r="K202" s="168">
        <f>SUM(K203:K204)</f>
        <v>6600000</v>
      </c>
      <c r="L202" s="35">
        <f>SUM(L203:L204)</f>
        <v>3448695.98</v>
      </c>
      <c r="M202" s="36">
        <f>IF(K202&gt;0,L202/K202*100,"-")</f>
        <v>52.252969393939395</v>
      </c>
      <c r="N202" s="570"/>
    </row>
    <row r="203" spans="1:14" ht="11.25">
      <c r="A203" s="572"/>
      <c r="B203" s="71" t="s">
        <v>24</v>
      </c>
      <c r="C203" s="659" t="s">
        <v>140</v>
      </c>
      <c r="D203" s="569"/>
      <c r="E203" s="569"/>
      <c r="F203" s="73"/>
      <c r="G203" s="169"/>
      <c r="H203" s="73"/>
      <c r="I203" s="75" t="str">
        <f>IF(G203&gt;0,H203/G203*100,"-")</f>
        <v>-</v>
      </c>
      <c r="J203" s="73"/>
      <c r="K203" s="169"/>
      <c r="L203" s="74"/>
      <c r="M203" s="75" t="str">
        <f>IF(K203&gt;0,L203/K203*100,"-")</f>
        <v>-</v>
      </c>
      <c r="N203" s="570"/>
    </row>
    <row r="204" spans="1:14" ht="11.25">
      <c r="A204" s="572"/>
      <c r="B204" s="71"/>
      <c r="C204" s="659"/>
      <c r="D204" s="569"/>
      <c r="E204" s="569"/>
      <c r="F204" s="73" t="s">
        <v>18</v>
      </c>
      <c r="G204" s="169">
        <v>44259547</v>
      </c>
      <c r="H204" s="74">
        <f>5995547+L204</f>
        <v>9444242.98</v>
      </c>
      <c r="I204" s="75">
        <f>IF(G204&gt;0,H204/G204*100,"-")</f>
        <v>21.33831821640651</v>
      </c>
      <c r="J204" s="74">
        <v>6600000</v>
      </c>
      <c r="K204" s="169">
        <v>6600000</v>
      </c>
      <c r="L204" s="76">
        <f>1617924.42+1830771.56</f>
        <v>3448695.98</v>
      </c>
      <c r="M204" s="75">
        <f>IF(K204&gt;0,L204/K204*100,"-")</f>
        <v>52.252969393939395</v>
      </c>
      <c r="N204" s="570"/>
    </row>
    <row r="205" spans="1:14" ht="11.25">
      <c r="A205" s="573"/>
      <c r="B205" s="78"/>
      <c r="C205" s="665"/>
      <c r="D205" s="77"/>
      <c r="E205" s="77"/>
      <c r="F205" s="78"/>
      <c r="G205" s="259"/>
      <c r="H205" s="78"/>
      <c r="I205" s="81"/>
      <c r="J205" s="78"/>
      <c r="K205" s="171"/>
      <c r="L205" s="80"/>
      <c r="M205" s="81"/>
      <c r="N205" s="576"/>
    </row>
    <row r="206" spans="1:14" ht="11.25">
      <c r="A206" s="571" t="s">
        <v>141</v>
      </c>
      <c r="B206" s="67"/>
      <c r="C206" s="378"/>
      <c r="D206" s="66"/>
      <c r="E206" s="66">
        <v>600</v>
      </c>
      <c r="F206" s="67"/>
      <c r="G206" s="167"/>
      <c r="H206" s="67"/>
      <c r="I206" s="70"/>
      <c r="J206" s="67"/>
      <c r="K206" s="166"/>
      <c r="L206" s="69"/>
      <c r="M206" s="70"/>
      <c r="N206" s="575" t="s">
        <v>214</v>
      </c>
    </row>
    <row r="207" spans="1:14" ht="33.75">
      <c r="A207" s="572"/>
      <c r="B207" s="71" t="s">
        <v>29</v>
      </c>
      <c r="C207" s="402" t="s">
        <v>142</v>
      </c>
      <c r="D207" s="569" t="s">
        <v>103</v>
      </c>
      <c r="E207" s="569">
        <v>60016</v>
      </c>
      <c r="F207" s="72" t="s">
        <v>30</v>
      </c>
      <c r="G207" s="168">
        <f>SUM(G208:G209)</f>
        <v>210000</v>
      </c>
      <c r="H207" s="35">
        <f>SUM(H208:H209)</f>
        <v>100000</v>
      </c>
      <c r="I207" s="36">
        <f>IF(G207&gt;0,H207/G207*100,"-")</f>
        <v>47.61904761904761</v>
      </c>
      <c r="J207" s="35">
        <f>SUM(J208:J209)</f>
        <v>10000</v>
      </c>
      <c r="K207" s="168">
        <f>SUM(K208:K209)</f>
        <v>10000</v>
      </c>
      <c r="L207" s="35">
        <f>SUM(L208:L209)</f>
        <v>0</v>
      </c>
      <c r="M207" s="36">
        <f>IF(K207&gt;0,L207/K207*100,"-")</f>
        <v>0</v>
      </c>
      <c r="N207" s="570"/>
    </row>
    <row r="208" spans="1:14" ht="11.25">
      <c r="A208" s="572"/>
      <c r="B208" s="71" t="s">
        <v>24</v>
      </c>
      <c r="C208" s="659" t="s">
        <v>143</v>
      </c>
      <c r="D208" s="569"/>
      <c r="E208" s="569"/>
      <c r="F208" s="73"/>
      <c r="G208" s="169"/>
      <c r="H208" s="73"/>
      <c r="I208" s="75" t="str">
        <f>IF(G208&gt;0,H208/G208*100,"-")</f>
        <v>-</v>
      </c>
      <c r="J208" s="73"/>
      <c r="K208" s="169"/>
      <c r="L208" s="74"/>
      <c r="M208" s="75" t="str">
        <f>IF(K208&gt;0,L208/K208*100,"-")</f>
        <v>-</v>
      </c>
      <c r="N208" s="570"/>
    </row>
    <row r="209" spans="1:14" ht="11.25">
      <c r="A209" s="572"/>
      <c r="B209" s="71"/>
      <c r="C209" s="659"/>
      <c r="D209" s="569"/>
      <c r="E209" s="569"/>
      <c r="F209" s="73" t="s">
        <v>18</v>
      </c>
      <c r="G209" s="169">
        <v>210000</v>
      </c>
      <c r="H209" s="74">
        <f>100000+L209</f>
        <v>100000</v>
      </c>
      <c r="I209" s="75">
        <f>IF(G209&gt;0,H209/G209*100,"-")</f>
        <v>47.61904761904761</v>
      </c>
      <c r="J209" s="74">
        <v>10000</v>
      </c>
      <c r="K209" s="169">
        <v>10000</v>
      </c>
      <c r="L209" s="76">
        <v>0</v>
      </c>
      <c r="M209" s="75">
        <f>IF(K209&gt;0,L209/K209*100,"-")</f>
        <v>0</v>
      </c>
      <c r="N209" s="570"/>
    </row>
    <row r="210" spans="1:14" ht="11.25">
      <c r="A210" s="573"/>
      <c r="B210" s="78"/>
      <c r="C210" s="665"/>
      <c r="D210" s="77"/>
      <c r="E210" s="77"/>
      <c r="F210" s="78"/>
      <c r="G210" s="259"/>
      <c r="H210" s="78"/>
      <c r="I210" s="81"/>
      <c r="J210" s="78"/>
      <c r="K210" s="171"/>
      <c r="L210" s="80"/>
      <c r="M210" s="81"/>
      <c r="N210" s="576"/>
    </row>
    <row r="211" spans="1:14" ht="11.25">
      <c r="A211" s="571" t="s">
        <v>144</v>
      </c>
      <c r="B211" s="67"/>
      <c r="C211" s="378"/>
      <c r="D211" s="66"/>
      <c r="E211" s="66">
        <v>600</v>
      </c>
      <c r="F211" s="67"/>
      <c r="G211" s="167"/>
      <c r="H211" s="67"/>
      <c r="I211" s="70"/>
      <c r="J211" s="67"/>
      <c r="K211" s="166"/>
      <c r="L211" s="69"/>
      <c r="M211" s="70"/>
      <c r="N211" s="575" t="s">
        <v>225</v>
      </c>
    </row>
    <row r="212" spans="1:14" ht="11.25">
      <c r="A212" s="572"/>
      <c r="B212" s="71" t="s">
        <v>29</v>
      </c>
      <c r="C212" s="401" t="s">
        <v>145</v>
      </c>
      <c r="D212" s="569" t="s">
        <v>48</v>
      </c>
      <c r="E212" s="91"/>
      <c r="F212" s="72" t="s">
        <v>30</v>
      </c>
      <c r="G212" s="168">
        <f>SUM(G214:G216)</f>
        <v>7700000</v>
      </c>
      <c r="H212" s="35">
        <f>SUM(H214:H216)</f>
        <v>1894521.1099999999</v>
      </c>
      <c r="I212" s="36">
        <f>IF(G212&gt;0,H212/G212*100,"-")</f>
        <v>24.604170259740258</v>
      </c>
      <c r="J212" s="35">
        <f>SUM(J214:J216)</f>
        <v>1000000</v>
      </c>
      <c r="K212" s="168">
        <f>SUM(K214:K216)</f>
        <v>1000000</v>
      </c>
      <c r="L212" s="35">
        <f>SUM(L214:L216)</f>
        <v>194521.11000000002</v>
      </c>
      <c r="M212" s="36">
        <f>IF(K212&gt;0,L212/K212*100,"-")</f>
        <v>19.452111000000002</v>
      </c>
      <c r="N212" s="570"/>
    </row>
    <row r="213" spans="1:14" ht="11.25">
      <c r="A213" s="572"/>
      <c r="B213" s="71"/>
      <c r="C213" s="401"/>
      <c r="D213" s="569"/>
      <c r="E213" s="91"/>
      <c r="F213" s="72"/>
      <c r="G213" s="168"/>
      <c r="H213" s="35"/>
      <c r="I213" s="36"/>
      <c r="J213" s="35"/>
      <c r="K213" s="168"/>
      <c r="L213" s="35"/>
      <c r="M213" s="36"/>
      <c r="N213" s="570"/>
    </row>
    <row r="214" spans="1:14" ht="11.25">
      <c r="A214" s="572"/>
      <c r="B214" s="71" t="s">
        <v>24</v>
      </c>
      <c r="C214" s="380" t="s">
        <v>146</v>
      </c>
      <c r="D214" s="569"/>
      <c r="E214" s="95">
        <v>60015</v>
      </c>
      <c r="F214" s="73" t="s">
        <v>18</v>
      </c>
      <c r="G214" s="172">
        <v>800000</v>
      </c>
      <c r="H214" s="112">
        <f>300000+L214</f>
        <v>493705.69</v>
      </c>
      <c r="I214" s="36">
        <f>IF(G214&gt;0,H214/G214*100,"-")</f>
        <v>61.71321125</v>
      </c>
      <c r="J214" s="112">
        <v>500000</v>
      </c>
      <c r="K214" s="169">
        <v>500000</v>
      </c>
      <c r="L214" s="82">
        <v>193705.69</v>
      </c>
      <c r="M214" s="36">
        <f>IF(K214&gt;0,L214/K214*100,"-")</f>
        <v>38.741138</v>
      </c>
      <c r="N214" s="570"/>
    </row>
    <row r="215" spans="1:14" ht="11.25">
      <c r="A215" s="572"/>
      <c r="B215" s="71"/>
      <c r="C215" s="380"/>
      <c r="D215" s="569"/>
      <c r="E215" s="95"/>
      <c r="F215" s="73"/>
      <c r="G215" s="169"/>
      <c r="H215" s="73"/>
      <c r="I215" s="75"/>
      <c r="J215" s="73"/>
      <c r="K215" s="169"/>
      <c r="L215" s="74"/>
      <c r="M215" s="75"/>
      <c r="N215" s="570"/>
    </row>
    <row r="216" spans="1:14" ht="11.25">
      <c r="A216" s="572"/>
      <c r="B216" s="71"/>
      <c r="C216" s="381"/>
      <c r="D216" s="569"/>
      <c r="E216" s="95">
        <v>60016</v>
      </c>
      <c r="F216" s="73" t="s">
        <v>18</v>
      </c>
      <c r="G216" s="169">
        <v>6900000</v>
      </c>
      <c r="H216" s="74">
        <f>1400000+L216</f>
        <v>1400815.42</v>
      </c>
      <c r="I216" s="75">
        <f>IF(G216&gt;0,H216/G216*100,"-")</f>
        <v>20.301672753623187</v>
      </c>
      <c r="J216" s="74">
        <v>500000</v>
      </c>
      <c r="K216" s="169">
        <v>500000</v>
      </c>
      <c r="L216" s="76">
        <v>815.42</v>
      </c>
      <c r="M216" s="75">
        <f>IF(K216&gt;0,L216/K216*100,"-")</f>
        <v>0.163084</v>
      </c>
      <c r="N216" s="570"/>
    </row>
    <row r="217" spans="1:14" ht="11.25">
      <c r="A217" s="573"/>
      <c r="B217" s="78"/>
      <c r="C217" s="382"/>
      <c r="D217" s="77"/>
      <c r="E217" s="77"/>
      <c r="F217" s="78"/>
      <c r="G217" s="259"/>
      <c r="H217" s="78"/>
      <c r="I217" s="81"/>
      <c r="J217" s="78"/>
      <c r="K217" s="171"/>
      <c r="L217" s="80"/>
      <c r="M217" s="81"/>
      <c r="N217" s="576"/>
    </row>
    <row r="218" spans="1:14" ht="11.25">
      <c r="A218" s="56"/>
      <c r="B218" s="57"/>
      <c r="C218" s="375"/>
      <c r="D218" s="58"/>
      <c r="E218" s="58"/>
      <c r="F218" s="56"/>
      <c r="G218" s="162"/>
      <c r="H218" s="56"/>
      <c r="I218" s="60"/>
      <c r="J218" s="162"/>
      <c r="K218" s="162"/>
      <c r="L218" s="59"/>
      <c r="M218" s="269"/>
      <c r="N218" s="438"/>
    </row>
    <row r="219" spans="1:14" ht="11.25">
      <c r="A219" s="26" t="s">
        <v>217</v>
      </c>
      <c r="B219" s="579" t="s">
        <v>147</v>
      </c>
      <c r="C219" s="580"/>
      <c r="D219" s="27"/>
      <c r="E219" s="227"/>
      <c r="F219" s="28"/>
      <c r="G219" s="163">
        <f>SUM(G220:G221)</f>
        <v>665817539</v>
      </c>
      <c r="H219" s="163">
        <f>SUM(H220:H221)</f>
        <v>167454884.59</v>
      </c>
      <c r="I219" s="30"/>
      <c r="J219" s="163">
        <f>SUM(J220:J221)</f>
        <v>73837210</v>
      </c>
      <c r="K219" s="163">
        <f>SUM(K220:K221)</f>
        <v>76811053</v>
      </c>
      <c r="L219" s="29">
        <f>SUM(L220:L221)</f>
        <v>39723869.33</v>
      </c>
      <c r="M219" s="270"/>
      <c r="N219" s="439"/>
    </row>
    <row r="220" spans="1:14" ht="11.25">
      <c r="A220" s="28"/>
      <c r="B220" s="228"/>
      <c r="C220" s="403"/>
      <c r="D220" s="27"/>
      <c r="E220" s="227"/>
      <c r="F220" s="32" t="s">
        <v>18</v>
      </c>
      <c r="G220" s="164">
        <f aca="true" t="shared" si="8" ref="G220:L220">G225+G230+G242+G252+G267+G272+G277</f>
        <v>665814567</v>
      </c>
      <c r="H220" s="164">
        <f t="shared" si="8"/>
        <v>167451947.59</v>
      </c>
      <c r="I220" s="34">
        <f t="shared" si="8"/>
        <v>158.89472687753272</v>
      </c>
      <c r="J220" s="164">
        <f>J225+J230+J242+J252+J267+J272+J277</f>
        <v>73836850</v>
      </c>
      <c r="K220" s="164">
        <f>K225+K230+K242+K252+K267+K272+K277</f>
        <v>76809842</v>
      </c>
      <c r="L220" s="33">
        <f t="shared" si="8"/>
        <v>39722693.33</v>
      </c>
      <c r="M220" s="270">
        <f>L220/K220</f>
        <v>0.5171562952830966</v>
      </c>
      <c r="N220" s="439"/>
    </row>
    <row r="221" spans="1:14" ht="11.25">
      <c r="A221" s="28"/>
      <c r="B221" s="31"/>
      <c r="C221" s="376"/>
      <c r="D221" s="27"/>
      <c r="E221" s="227"/>
      <c r="F221" s="32" t="s">
        <v>23</v>
      </c>
      <c r="G221" s="33">
        <f>G226+G238+G248+G263+G268+G273+G278+G282</f>
        <v>2972</v>
      </c>
      <c r="H221" s="164">
        <f>H226+H238+H248+H263+H268+H273+H278+H282</f>
        <v>2937</v>
      </c>
      <c r="I221" s="34"/>
      <c r="J221" s="164">
        <f>J226+J238+J248+J263+J268+J273+J278+J282</f>
        <v>360</v>
      </c>
      <c r="K221" s="164">
        <f>K226+K238+K248+K263+K268+K273+K278+K282</f>
        <v>1211</v>
      </c>
      <c r="L221" s="33">
        <f>L226+L238+L248+L263+L268+L273+L278+L282</f>
        <v>1176</v>
      </c>
      <c r="M221" s="270"/>
      <c r="N221" s="439"/>
    </row>
    <row r="222" spans="1:14" ht="11.25">
      <c r="A222" s="98"/>
      <c r="B222" s="229"/>
      <c r="C222" s="404"/>
      <c r="D222" s="230"/>
      <c r="E222" s="231"/>
      <c r="F222" s="98"/>
      <c r="G222" s="232"/>
      <c r="H222" s="229"/>
      <c r="I222" s="233"/>
      <c r="J222" s="234"/>
      <c r="K222" s="232"/>
      <c r="L222" s="235"/>
      <c r="M222" s="271"/>
      <c r="N222" s="236"/>
    </row>
    <row r="223" spans="1:14" ht="11.25">
      <c r="A223" s="571" t="s">
        <v>4</v>
      </c>
      <c r="B223" s="99"/>
      <c r="C223" s="405"/>
      <c r="D223" s="237"/>
      <c r="E223" s="238"/>
      <c r="F223" s="99"/>
      <c r="G223" s="239"/>
      <c r="H223" s="99"/>
      <c r="I223" s="240"/>
      <c r="J223" s="239"/>
      <c r="K223" s="241"/>
      <c r="L223" s="242"/>
      <c r="M223" s="268"/>
      <c r="N223" s="243"/>
    </row>
    <row r="224" spans="1:14" ht="11.25">
      <c r="A224" s="572"/>
      <c r="B224" s="71" t="s">
        <v>29</v>
      </c>
      <c r="C224" s="380" t="s">
        <v>148</v>
      </c>
      <c r="D224" s="569" t="s">
        <v>48</v>
      </c>
      <c r="E224" s="569" t="s">
        <v>149</v>
      </c>
      <c r="F224" s="72" t="s">
        <v>30</v>
      </c>
      <c r="G224" s="168">
        <f>G225+G226</f>
        <v>66189600</v>
      </c>
      <c r="H224" s="168">
        <v>6250000</v>
      </c>
      <c r="I224" s="36">
        <v>12.47</v>
      </c>
      <c r="J224" s="168">
        <v>8437000</v>
      </c>
      <c r="K224" s="168">
        <v>8437000</v>
      </c>
      <c r="L224" s="35">
        <v>6250000</v>
      </c>
      <c r="M224" s="36">
        <v>100</v>
      </c>
      <c r="N224" s="570" t="s">
        <v>150</v>
      </c>
    </row>
    <row r="225" spans="1:14" ht="45">
      <c r="A225" s="572"/>
      <c r="B225" s="71" t="s">
        <v>24</v>
      </c>
      <c r="C225" s="381" t="s">
        <v>151</v>
      </c>
      <c r="D225" s="569"/>
      <c r="E225" s="569"/>
      <c r="F225" s="73" t="s">
        <v>18</v>
      </c>
      <c r="G225" s="170">
        <v>66189600</v>
      </c>
      <c r="H225" s="74">
        <v>6250000</v>
      </c>
      <c r="I225" s="75">
        <v>12.47</v>
      </c>
      <c r="J225" s="169">
        <v>8437000</v>
      </c>
      <c r="K225" s="169">
        <v>8437000</v>
      </c>
      <c r="L225" s="74">
        <v>6250000</v>
      </c>
      <c r="M225" s="75">
        <f>L225/K225*100</f>
        <v>74.07846390897238</v>
      </c>
      <c r="N225" s="570"/>
    </row>
    <row r="226" spans="1:14" ht="11.25">
      <c r="A226" s="572"/>
      <c r="B226" s="71"/>
      <c r="C226" s="381"/>
      <c r="D226" s="569"/>
      <c r="E226" s="569"/>
      <c r="F226" s="73" t="s">
        <v>23</v>
      </c>
      <c r="G226" s="169">
        <v>0</v>
      </c>
      <c r="H226" s="74">
        <v>0</v>
      </c>
      <c r="I226" s="75">
        <v>0</v>
      </c>
      <c r="J226" s="169">
        <v>0</v>
      </c>
      <c r="K226" s="169">
        <v>0</v>
      </c>
      <c r="L226" s="74">
        <v>0</v>
      </c>
      <c r="M226" s="75">
        <v>0</v>
      </c>
      <c r="N226" s="570"/>
    </row>
    <row r="227" spans="1:14" ht="11.25">
      <c r="A227" s="573"/>
      <c r="B227" s="244"/>
      <c r="C227" s="406"/>
      <c r="D227" s="245"/>
      <c r="E227" s="245"/>
      <c r="F227" s="246"/>
      <c r="G227" s="247"/>
      <c r="H227" s="100"/>
      <c r="I227" s="248"/>
      <c r="J227" s="247"/>
      <c r="K227" s="249"/>
      <c r="L227" s="250"/>
      <c r="M227" s="248"/>
      <c r="N227" s="440"/>
    </row>
    <row r="228" spans="1:14" ht="11.25">
      <c r="A228" s="571" t="s">
        <v>56</v>
      </c>
      <c r="B228" s="99"/>
      <c r="C228" s="405"/>
      <c r="D228" s="237"/>
      <c r="E228" s="238"/>
      <c r="F228" s="99"/>
      <c r="G228" s="239"/>
      <c r="H228" s="99"/>
      <c r="I228" s="240"/>
      <c r="J228" s="239"/>
      <c r="K228" s="241"/>
      <c r="L228" s="242"/>
      <c r="M228" s="251"/>
      <c r="N228" s="243"/>
    </row>
    <row r="229" spans="1:14" ht="11.25">
      <c r="A229" s="572"/>
      <c r="B229" s="71" t="s">
        <v>29</v>
      </c>
      <c r="C229" s="381" t="s">
        <v>152</v>
      </c>
      <c r="D229" s="569" t="s">
        <v>39</v>
      </c>
      <c r="E229" s="226"/>
      <c r="F229" s="72" t="s">
        <v>30</v>
      </c>
      <c r="G229" s="168">
        <f>G230+G238</f>
        <v>147973098</v>
      </c>
      <c r="H229" s="168">
        <f>H230+H238</f>
        <v>50600868</v>
      </c>
      <c r="I229" s="36">
        <f>H229/G229*100</f>
        <v>34.19599149029103</v>
      </c>
      <c r="J229" s="168">
        <f>J230+J238</f>
        <v>18421314</v>
      </c>
      <c r="K229" s="168">
        <f>K230+K238</f>
        <v>18914614</v>
      </c>
      <c r="L229" s="35">
        <f>L230+L238</f>
        <v>9748954</v>
      </c>
      <c r="M229" s="36">
        <f>L229/K229*100</f>
        <v>51.54191357011039</v>
      </c>
      <c r="N229" s="570" t="s">
        <v>153</v>
      </c>
    </row>
    <row r="230" spans="1:14" ht="22.5">
      <c r="A230" s="572"/>
      <c r="B230" s="71" t="s">
        <v>24</v>
      </c>
      <c r="C230" s="381" t="s">
        <v>154</v>
      </c>
      <c r="D230" s="569"/>
      <c r="E230" s="83"/>
      <c r="F230" s="73" t="s">
        <v>18</v>
      </c>
      <c r="G230" s="169">
        <f>SUM(G231:G237)</f>
        <v>147973098</v>
      </c>
      <c r="H230" s="169">
        <f>SUM(H231:H237)</f>
        <v>50600868</v>
      </c>
      <c r="I230" s="36">
        <f aca="true" t="shared" si="9" ref="I230:I237">H230/G230*100</f>
        <v>34.19599149029103</v>
      </c>
      <c r="J230" s="169">
        <f>SUM(J231:J237)</f>
        <v>18421314</v>
      </c>
      <c r="K230" s="169">
        <f>SUM(K231:K237)</f>
        <v>18914614</v>
      </c>
      <c r="L230" s="74">
        <f>SUM(L231:L237)</f>
        <v>9748954</v>
      </c>
      <c r="M230" s="36">
        <f aca="true" t="shared" si="10" ref="M230:M237">L230/K230*100</f>
        <v>51.54191357011039</v>
      </c>
      <c r="N230" s="570"/>
    </row>
    <row r="231" spans="1:14" ht="22.5">
      <c r="A231" s="572"/>
      <c r="B231" s="71"/>
      <c r="C231" s="381"/>
      <c r="D231" s="569"/>
      <c r="E231" s="226" t="s">
        <v>155</v>
      </c>
      <c r="F231" s="73" t="s">
        <v>18</v>
      </c>
      <c r="G231" s="169">
        <f>J231*5+K231+4540600</f>
        <v>18464400</v>
      </c>
      <c r="H231" s="74">
        <f>4540600+L231</f>
        <v>5702748</v>
      </c>
      <c r="I231" s="36">
        <f>H231/G231*100</f>
        <v>30.885097809839472</v>
      </c>
      <c r="J231" s="169">
        <v>2320300</v>
      </c>
      <c r="K231" s="252">
        <f>J231+2000</f>
        <v>2322300</v>
      </c>
      <c r="L231" s="76">
        <f>2000+1160148</f>
        <v>1162148</v>
      </c>
      <c r="M231" s="36">
        <f t="shared" si="10"/>
        <v>50.04297463721311</v>
      </c>
      <c r="N231" s="570"/>
    </row>
    <row r="232" spans="1:14" ht="22.5">
      <c r="A232" s="572"/>
      <c r="B232" s="71"/>
      <c r="C232" s="381"/>
      <c r="D232" s="569"/>
      <c r="E232" s="95" t="s">
        <v>156</v>
      </c>
      <c r="F232" s="73" t="s">
        <v>18</v>
      </c>
      <c r="G232" s="169">
        <f>2708000*5+K232+8222466</f>
        <v>24650466</v>
      </c>
      <c r="H232" s="74">
        <f>8222466+L232</f>
        <v>9706466</v>
      </c>
      <c r="I232" s="36">
        <f t="shared" si="9"/>
        <v>39.37639961857111</v>
      </c>
      <c r="J232" s="169">
        <f>1378000+1490000</f>
        <v>2868000</v>
      </c>
      <c r="K232" s="252">
        <f>J232-50000+70000</f>
        <v>2888000</v>
      </c>
      <c r="L232" s="74">
        <f>725002+758998</f>
        <v>1484000</v>
      </c>
      <c r="M232" s="36">
        <f t="shared" si="10"/>
        <v>51.38504155124654</v>
      </c>
      <c r="N232" s="570"/>
    </row>
    <row r="233" spans="1:14" ht="22.5">
      <c r="A233" s="572"/>
      <c r="B233" s="253"/>
      <c r="C233" s="407"/>
      <c r="D233" s="569"/>
      <c r="E233" s="95" t="s">
        <v>157</v>
      </c>
      <c r="F233" s="73" t="s">
        <v>18</v>
      </c>
      <c r="G233" s="169">
        <f>J233*5+K233+2028600</f>
        <v>6391600</v>
      </c>
      <c r="H233" s="74">
        <f>2028600+L233</f>
        <v>2486602</v>
      </c>
      <c r="I233" s="36">
        <f t="shared" si="9"/>
        <v>38.90421803617248</v>
      </c>
      <c r="J233" s="169">
        <v>710000</v>
      </c>
      <c r="K233" s="252">
        <v>813000</v>
      </c>
      <c r="L233" s="76">
        <f>100000+358002</f>
        <v>458002</v>
      </c>
      <c r="M233" s="36">
        <f t="shared" si="10"/>
        <v>56.334809348093486</v>
      </c>
      <c r="N233" s="570"/>
    </row>
    <row r="234" spans="1:14" ht="22.5">
      <c r="A234" s="572"/>
      <c r="B234" s="253"/>
      <c r="C234" s="407"/>
      <c r="D234" s="569"/>
      <c r="E234" s="95" t="s">
        <v>158</v>
      </c>
      <c r="F234" s="73" t="s">
        <v>18</v>
      </c>
      <c r="G234" s="169">
        <f>J234*5+K234+8177712</f>
        <v>32245712</v>
      </c>
      <c r="H234" s="74">
        <f>8177712+L234</f>
        <v>10366712</v>
      </c>
      <c r="I234" s="36">
        <f t="shared" si="9"/>
        <v>32.14911799745653</v>
      </c>
      <c r="J234" s="169">
        <v>3978000</v>
      </c>
      <c r="K234" s="252">
        <v>4178000</v>
      </c>
      <c r="L234" s="76">
        <v>2189000</v>
      </c>
      <c r="M234" s="36">
        <f t="shared" si="10"/>
        <v>52.393489707994256</v>
      </c>
      <c r="N234" s="570"/>
    </row>
    <row r="235" spans="1:14" ht="22.5">
      <c r="A235" s="572"/>
      <c r="B235" s="253"/>
      <c r="C235" s="407"/>
      <c r="D235" s="569"/>
      <c r="E235" s="95" t="s">
        <v>159</v>
      </c>
      <c r="F235" s="73" t="s">
        <v>18</v>
      </c>
      <c r="G235" s="169">
        <f>J235*5+K235+3647876</f>
        <v>14734176</v>
      </c>
      <c r="H235" s="74">
        <f>3647876+L235</f>
        <v>4684176</v>
      </c>
      <c r="I235" s="36">
        <f t="shared" si="9"/>
        <v>31.791231487936617</v>
      </c>
      <c r="J235" s="169">
        <v>1830000</v>
      </c>
      <c r="K235" s="252">
        <v>1936300</v>
      </c>
      <c r="L235" s="76">
        <v>1036300</v>
      </c>
      <c r="M235" s="36">
        <f t="shared" si="10"/>
        <v>53.51959923565563</v>
      </c>
      <c r="N235" s="570"/>
    </row>
    <row r="236" spans="1:14" ht="22.5">
      <c r="A236" s="572"/>
      <c r="B236" s="253"/>
      <c r="C236" s="407"/>
      <c r="D236" s="569"/>
      <c r="E236" s="95" t="s">
        <v>160</v>
      </c>
      <c r="F236" s="73" t="s">
        <v>18</v>
      </c>
      <c r="G236" s="169">
        <f>4168744*5+1068744+8594294</f>
        <v>30506758</v>
      </c>
      <c r="H236" s="74">
        <f>8594294+L236</f>
        <v>10678664</v>
      </c>
      <c r="I236" s="36">
        <f t="shared" si="9"/>
        <v>35.004257089527506</v>
      </c>
      <c r="J236" s="169">
        <v>4168744</v>
      </c>
      <c r="K236" s="252">
        <f>J236</f>
        <v>4168744</v>
      </c>
      <c r="L236" s="76">
        <v>2084370</v>
      </c>
      <c r="M236" s="36">
        <f t="shared" si="10"/>
        <v>49.99995202391895</v>
      </c>
      <c r="N236" s="570"/>
    </row>
    <row r="237" spans="1:14" ht="22.5">
      <c r="A237" s="572"/>
      <c r="B237" s="253"/>
      <c r="C237" s="407"/>
      <c r="D237" s="569"/>
      <c r="E237" s="95" t="s">
        <v>161</v>
      </c>
      <c r="F237" s="73" t="s">
        <v>18</v>
      </c>
      <c r="G237" s="169">
        <f>5*2546270+2608270+5640366</f>
        <v>20979986</v>
      </c>
      <c r="H237" s="74">
        <f>5640366+L237</f>
        <v>6975500</v>
      </c>
      <c r="I237" s="36">
        <f t="shared" si="9"/>
        <v>33.24835393121807</v>
      </c>
      <c r="J237" s="169">
        <f>1150000+1396270</f>
        <v>2546270</v>
      </c>
      <c r="K237" s="252">
        <f>1200000+1408270</f>
        <v>2608270</v>
      </c>
      <c r="L237" s="76">
        <f>624998+710136</f>
        <v>1335134</v>
      </c>
      <c r="M237" s="36">
        <f t="shared" si="10"/>
        <v>51.18848892177573</v>
      </c>
      <c r="N237" s="570"/>
    </row>
    <row r="238" spans="1:14" ht="11.25">
      <c r="A238" s="572"/>
      <c r="B238" s="253"/>
      <c r="C238" s="407"/>
      <c r="D238" s="569"/>
      <c r="E238" s="91"/>
      <c r="F238" s="73" t="s">
        <v>23</v>
      </c>
      <c r="G238" s="169">
        <v>0</v>
      </c>
      <c r="H238" s="74">
        <v>0</v>
      </c>
      <c r="I238" s="75">
        <v>0</v>
      </c>
      <c r="J238" s="169">
        <v>0</v>
      </c>
      <c r="K238" s="169">
        <v>0</v>
      </c>
      <c r="L238" s="74">
        <v>0</v>
      </c>
      <c r="M238" s="75">
        <v>0</v>
      </c>
      <c r="N238" s="570"/>
    </row>
    <row r="239" spans="1:14" ht="11.25">
      <c r="A239" s="573"/>
      <c r="B239" s="244"/>
      <c r="C239" s="406"/>
      <c r="D239" s="245"/>
      <c r="E239" s="245"/>
      <c r="F239" s="246"/>
      <c r="G239" s="247"/>
      <c r="H239" s="100"/>
      <c r="I239" s="248"/>
      <c r="J239" s="247"/>
      <c r="K239" s="249"/>
      <c r="L239" s="250"/>
      <c r="M239" s="248"/>
      <c r="N239" s="440"/>
    </row>
    <row r="240" spans="1:14" ht="11.25">
      <c r="A240" s="571" t="s">
        <v>61</v>
      </c>
      <c r="B240" s="67"/>
      <c r="C240" s="378"/>
      <c r="D240" s="237"/>
      <c r="E240" s="238"/>
      <c r="F240" s="99"/>
      <c r="G240" s="239"/>
      <c r="H240" s="254"/>
      <c r="I240" s="240"/>
      <c r="J240" s="167"/>
      <c r="K240" s="166"/>
      <c r="L240" s="69"/>
      <c r="M240" s="70"/>
      <c r="N240" s="575" t="s">
        <v>162</v>
      </c>
    </row>
    <row r="241" spans="1:14" ht="45">
      <c r="A241" s="572"/>
      <c r="B241" s="71" t="s">
        <v>29</v>
      </c>
      <c r="C241" s="379" t="s">
        <v>163</v>
      </c>
      <c r="D241" s="578" t="s">
        <v>39</v>
      </c>
      <c r="E241" s="226"/>
      <c r="F241" s="72" t="s">
        <v>30</v>
      </c>
      <c r="G241" s="175">
        <f>G242+G248</f>
        <v>324007318</v>
      </c>
      <c r="H241" s="175">
        <f>H242+H248</f>
        <v>74518541.89</v>
      </c>
      <c r="I241" s="36">
        <f>H241/G241*100</f>
        <v>22.999030500292587</v>
      </c>
      <c r="J241" s="168">
        <f>J242+J248</f>
        <v>30476988</v>
      </c>
      <c r="K241" s="168">
        <f>K242+K248</f>
        <v>32640680</v>
      </c>
      <c r="L241" s="35">
        <f>L242+L248</f>
        <v>14800723.309999999</v>
      </c>
      <c r="M241" s="280">
        <f>L241/K241*100</f>
        <v>45.34440860300704</v>
      </c>
      <c r="N241" s="570"/>
    </row>
    <row r="242" spans="1:14" ht="33.75">
      <c r="A242" s="572"/>
      <c r="B242" s="71" t="s">
        <v>24</v>
      </c>
      <c r="C242" s="379" t="s">
        <v>164</v>
      </c>
      <c r="D242" s="569"/>
      <c r="E242" s="83"/>
      <c r="F242" s="73" t="s">
        <v>18</v>
      </c>
      <c r="G242" s="170">
        <f>SUM(G243:G247)</f>
        <v>324007318</v>
      </c>
      <c r="H242" s="170">
        <f>SUM(H243:H247)</f>
        <v>74518541.89</v>
      </c>
      <c r="I242" s="75">
        <f aca="true" t="shared" si="11" ref="I242:I247">H242/G242*100</f>
        <v>22.999030500292587</v>
      </c>
      <c r="J242" s="255">
        <f>SUM(J243:J248)</f>
        <v>30476988</v>
      </c>
      <c r="K242" s="255">
        <f>SUM(K243:K248)</f>
        <v>32640680</v>
      </c>
      <c r="L242" s="357">
        <f>SUM(L243:L248)</f>
        <v>14800723.309999999</v>
      </c>
      <c r="M242" s="282">
        <f aca="true" t="shared" si="12" ref="M242:M247">L242/K242*100</f>
        <v>45.34440860300704</v>
      </c>
      <c r="N242" s="570"/>
    </row>
    <row r="243" spans="1:14" ht="22.5">
      <c r="A243" s="572"/>
      <c r="B243" s="71"/>
      <c r="C243" s="379"/>
      <c r="D243" s="569"/>
      <c r="E243" s="210" t="s">
        <v>165</v>
      </c>
      <c r="F243" s="73" t="s">
        <v>18</v>
      </c>
      <c r="G243" s="170">
        <v>31398902</v>
      </c>
      <c r="H243" s="256">
        <v>10198538.88</v>
      </c>
      <c r="I243" s="75">
        <f t="shared" si="11"/>
        <v>32.48055896986462</v>
      </c>
      <c r="J243" s="255">
        <f>1832170+2116270</f>
        <v>3948440</v>
      </c>
      <c r="K243" s="255">
        <f>1832170+2116270</f>
        <v>3948440</v>
      </c>
      <c r="L243" s="257">
        <f>989613.48+1302275.04</f>
        <v>2291888.52</v>
      </c>
      <c r="M243" s="282">
        <f t="shared" si="12"/>
        <v>58.045418443739806</v>
      </c>
      <c r="N243" s="570"/>
    </row>
    <row r="244" spans="1:14" ht="22.5">
      <c r="A244" s="572"/>
      <c r="B244" s="71"/>
      <c r="C244" s="379"/>
      <c r="D244" s="569"/>
      <c r="E244" s="209" t="s">
        <v>166</v>
      </c>
      <c r="F244" s="73" t="s">
        <v>18</v>
      </c>
      <c r="G244" s="170">
        <v>7155589</v>
      </c>
      <c r="H244" s="256">
        <v>2061458.11</v>
      </c>
      <c r="I244" s="75">
        <f t="shared" si="11"/>
        <v>28.809062538387824</v>
      </c>
      <c r="J244" s="258">
        <v>905680</v>
      </c>
      <c r="K244" s="255">
        <v>905680</v>
      </c>
      <c r="L244" s="257">
        <v>273692.08</v>
      </c>
      <c r="M244" s="282">
        <f t="shared" si="12"/>
        <v>30.21951241056444</v>
      </c>
      <c r="N244" s="570"/>
    </row>
    <row r="245" spans="1:14" ht="22.5">
      <c r="A245" s="572"/>
      <c r="B245" s="71"/>
      <c r="C245" s="379"/>
      <c r="D245" s="569"/>
      <c r="E245" s="209" t="s">
        <v>167</v>
      </c>
      <c r="F245" s="73" t="s">
        <v>18</v>
      </c>
      <c r="G245" s="170">
        <v>227797514</v>
      </c>
      <c r="H245" s="256">
        <v>47542850.41</v>
      </c>
      <c r="I245" s="75">
        <f t="shared" si="11"/>
        <v>20.87066253497393</v>
      </c>
      <c r="J245" s="258">
        <v>18412630</v>
      </c>
      <c r="K245" s="255">
        <v>20576322</v>
      </c>
      <c r="L245" s="257">
        <v>8912823.37</v>
      </c>
      <c r="M245" s="282">
        <f t="shared" si="12"/>
        <v>43.315920940584036</v>
      </c>
      <c r="N245" s="570"/>
    </row>
    <row r="246" spans="1:14" ht="22.5">
      <c r="A246" s="572"/>
      <c r="B246" s="71"/>
      <c r="C246" s="381"/>
      <c r="D246" s="569"/>
      <c r="E246" s="209" t="s">
        <v>168</v>
      </c>
      <c r="F246" s="73" t="s">
        <v>18</v>
      </c>
      <c r="G246" s="170">
        <v>14597509</v>
      </c>
      <c r="H246" s="256">
        <v>4023971.54</v>
      </c>
      <c r="I246" s="75">
        <f t="shared" si="11"/>
        <v>27.566152142807383</v>
      </c>
      <c r="J246" s="258">
        <v>1871576</v>
      </c>
      <c r="K246" s="255">
        <v>1871576</v>
      </c>
      <c r="L246" s="257">
        <v>809860.7800000001</v>
      </c>
      <c r="M246" s="282">
        <f t="shared" si="12"/>
        <v>43.27159463468222</v>
      </c>
      <c r="N246" s="570"/>
    </row>
    <row r="247" spans="1:14" ht="22.5">
      <c r="A247" s="572"/>
      <c r="B247" s="71"/>
      <c r="C247" s="381"/>
      <c r="D247" s="569"/>
      <c r="E247" s="209" t="s">
        <v>169</v>
      </c>
      <c r="F247" s="73" t="s">
        <v>18</v>
      </c>
      <c r="G247" s="170">
        <v>43057804</v>
      </c>
      <c r="H247" s="256">
        <v>10691722.95</v>
      </c>
      <c r="I247" s="75">
        <f t="shared" si="11"/>
        <v>24.83109205940925</v>
      </c>
      <c r="J247" s="258">
        <v>5338662</v>
      </c>
      <c r="K247" s="255">
        <v>5338662</v>
      </c>
      <c r="L247" s="257">
        <v>2512458.56</v>
      </c>
      <c r="M247" s="282">
        <f t="shared" si="12"/>
        <v>47.061577601279126</v>
      </c>
      <c r="N247" s="570"/>
    </row>
    <row r="248" spans="1:14" ht="11.25">
      <c r="A248" s="572"/>
      <c r="B248" s="71"/>
      <c r="C248" s="381"/>
      <c r="D248" s="569"/>
      <c r="E248" s="91"/>
      <c r="F248" s="73" t="s">
        <v>23</v>
      </c>
      <c r="G248" s="169">
        <v>0</v>
      </c>
      <c r="H248" s="170">
        <v>0</v>
      </c>
      <c r="I248" s="240"/>
      <c r="J248" s="169">
        <v>0</v>
      </c>
      <c r="K248" s="169"/>
      <c r="L248" s="74">
        <v>0</v>
      </c>
      <c r="M248" s="75"/>
      <c r="N248" s="570"/>
    </row>
    <row r="249" spans="1:14" ht="11.25">
      <c r="A249" s="573"/>
      <c r="B249" s="78"/>
      <c r="C249" s="382"/>
      <c r="D249" s="245"/>
      <c r="E249" s="245"/>
      <c r="F249" s="246"/>
      <c r="G249" s="247"/>
      <c r="H249" s="250"/>
      <c r="I249" s="248"/>
      <c r="J249" s="259"/>
      <c r="K249" s="171"/>
      <c r="L249" s="109"/>
      <c r="M249" s="81"/>
      <c r="N249" s="576"/>
    </row>
    <row r="250" spans="1:14" ht="11.25">
      <c r="A250" s="571" t="s">
        <v>79</v>
      </c>
      <c r="B250" s="67"/>
      <c r="C250" s="378"/>
      <c r="D250" s="237"/>
      <c r="E250" s="238"/>
      <c r="F250" s="99"/>
      <c r="G250" s="239"/>
      <c r="H250" s="99"/>
      <c r="I250" s="240"/>
      <c r="J250" s="167"/>
      <c r="K250" s="166"/>
      <c r="L250" s="69"/>
      <c r="M250" s="70"/>
      <c r="N250" s="575" t="s">
        <v>170</v>
      </c>
    </row>
    <row r="251" spans="1:14" ht="45">
      <c r="A251" s="572"/>
      <c r="B251" s="71" t="s">
        <v>29</v>
      </c>
      <c r="C251" s="379" t="s">
        <v>171</v>
      </c>
      <c r="D251" s="578" t="s">
        <v>39</v>
      </c>
      <c r="E251" s="226"/>
      <c r="F251" s="72" t="s">
        <v>30</v>
      </c>
      <c r="G251" s="175">
        <f>G252+G259</f>
        <v>91201646</v>
      </c>
      <c r="H251" s="175">
        <f>H252+H259</f>
        <v>28810210.570000004</v>
      </c>
      <c r="I251" s="36">
        <f>H251/G251*100</f>
        <v>31.589573032486722</v>
      </c>
      <c r="J251" s="168">
        <f>J252+J259</f>
        <v>11461548</v>
      </c>
      <c r="K251" s="168">
        <f>K252+K259</f>
        <v>11427548</v>
      </c>
      <c r="L251" s="35">
        <f>L252+L259</f>
        <v>6477043.02</v>
      </c>
      <c r="M251" s="36">
        <f>L251/K251*100</f>
        <v>56.679202047543356</v>
      </c>
      <c r="N251" s="570"/>
    </row>
    <row r="252" spans="1:14" ht="33.75">
      <c r="A252" s="572"/>
      <c r="B252" s="71" t="s">
        <v>24</v>
      </c>
      <c r="C252" s="379" t="s">
        <v>164</v>
      </c>
      <c r="D252" s="569"/>
      <c r="E252" s="83"/>
      <c r="F252" s="73" t="s">
        <v>18</v>
      </c>
      <c r="G252" s="170">
        <f>SUM(G253:G258)</f>
        <v>91201646</v>
      </c>
      <c r="H252" s="170">
        <f>SUM(H253:H258)</f>
        <v>28810210.570000004</v>
      </c>
      <c r="I252" s="75">
        <f aca="true" t="shared" si="13" ref="I252:I258">H252/G252*100</f>
        <v>31.589573032486722</v>
      </c>
      <c r="J252" s="169">
        <f>SUM(J253:J259)</f>
        <v>11461548</v>
      </c>
      <c r="K252" s="169">
        <f>SUM(K253:K259)</f>
        <v>11427548</v>
      </c>
      <c r="L252" s="74">
        <f>SUM(L253:L259)</f>
        <v>6477043.02</v>
      </c>
      <c r="M252" s="284">
        <f aca="true" t="shared" si="14" ref="M252:M258">L252/K252*100</f>
        <v>56.679202047543356</v>
      </c>
      <c r="N252" s="570"/>
    </row>
    <row r="253" spans="1:14" ht="22.5">
      <c r="A253" s="572"/>
      <c r="B253" s="71"/>
      <c r="C253" s="379"/>
      <c r="D253" s="569"/>
      <c r="E253" s="226" t="s">
        <v>172</v>
      </c>
      <c r="F253" s="73" t="s">
        <v>18</v>
      </c>
      <c r="G253" s="170">
        <v>20316782</v>
      </c>
      <c r="H253" s="256">
        <v>6606992.94</v>
      </c>
      <c r="I253" s="282">
        <f t="shared" si="13"/>
        <v>32.519879083213084</v>
      </c>
      <c r="J253" s="258">
        <v>2528516</v>
      </c>
      <c r="K253" s="255">
        <v>2528516</v>
      </c>
      <c r="L253" s="257">
        <v>1473175.99</v>
      </c>
      <c r="M253" s="284">
        <f t="shared" si="14"/>
        <v>58.26247451074069</v>
      </c>
      <c r="N253" s="570"/>
    </row>
    <row r="254" spans="1:14" ht="22.5">
      <c r="A254" s="572"/>
      <c r="B254" s="71"/>
      <c r="C254" s="379"/>
      <c r="D254" s="569"/>
      <c r="E254" s="95" t="s">
        <v>173</v>
      </c>
      <c r="F254" s="73" t="s">
        <v>18</v>
      </c>
      <c r="G254" s="170">
        <v>1817663</v>
      </c>
      <c r="H254" s="256">
        <v>452581.9</v>
      </c>
      <c r="I254" s="282">
        <f t="shared" si="13"/>
        <v>24.899109460884663</v>
      </c>
      <c r="J254" s="258">
        <v>241894</v>
      </c>
      <c r="K254" s="255">
        <v>241894</v>
      </c>
      <c r="L254" s="257">
        <v>85786.72</v>
      </c>
      <c r="M254" s="284">
        <f t="shared" si="14"/>
        <v>35.464591928696045</v>
      </c>
      <c r="N254" s="570"/>
    </row>
    <row r="255" spans="1:14" ht="22.5">
      <c r="A255" s="572"/>
      <c r="B255" s="71"/>
      <c r="C255" s="379"/>
      <c r="D255" s="569"/>
      <c r="E255" s="95" t="s">
        <v>174</v>
      </c>
      <c r="F255" s="73" t="s">
        <v>18</v>
      </c>
      <c r="G255" s="170">
        <v>25847943</v>
      </c>
      <c r="H255" s="256">
        <v>8755420.92</v>
      </c>
      <c r="I255" s="282">
        <f t="shared" si="13"/>
        <v>33.87279568049187</v>
      </c>
      <c r="J255" s="258">
        <f>2728356+434030</f>
        <v>3162386</v>
      </c>
      <c r="K255" s="255">
        <f>2695756+434030</f>
        <v>3129786</v>
      </c>
      <c r="L255" s="257">
        <f>1851620.2+205378.15</f>
        <v>2056998.3499999999</v>
      </c>
      <c r="M255" s="284">
        <f t="shared" si="14"/>
        <v>65.72329066587939</v>
      </c>
      <c r="N255" s="570"/>
    </row>
    <row r="256" spans="1:14" ht="22.5">
      <c r="A256" s="572"/>
      <c r="B256" s="71"/>
      <c r="C256" s="381"/>
      <c r="D256" s="569"/>
      <c r="E256" s="95" t="s">
        <v>175</v>
      </c>
      <c r="F256" s="73" t="s">
        <v>18</v>
      </c>
      <c r="G256" s="170">
        <v>5830096</v>
      </c>
      <c r="H256" s="256">
        <v>1651894.53</v>
      </c>
      <c r="I256" s="282">
        <f t="shared" si="13"/>
        <v>28.33391645695028</v>
      </c>
      <c r="J256" s="258">
        <v>784255</v>
      </c>
      <c r="K256" s="255">
        <v>784255</v>
      </c>
      <c r="L256" s="257">
        <v>471478.74</v>
      </c>
      <c r="M256" s="284">
        <f t="shared" si="14"/>
        <v>60.11804068829654</v>
      </c>
      <c r="N256" s="570"/>
    </row>
    <row r="257" spans="1:14" ht="22.5">
      <c r="A257" s="572"/>
      <c r="B257" s="71"/>
      <c r="C257" s="408"/>
      <c r="D257" s="569"/>
      <c r="E257" s="95" t="s">
        <v>176</v>
      </c>
      <c r="F257" s="73" t="s">
        <v>18</v>
      </c>
      <c r="G257" s="170">
        <v>1520701</v>
      </c>
      <c r="H257" s="256">
        <v>218397.45</v>
      </c>
      <c r="I257" s="282">
        <f t="shared" si="13"/>
        <v>14.361629932511388</v>
      </c>
      <c r="J257" s="258">
        <v>230370</v>
      </c>
      <c r="K257" s="255">
        <v>228970</v>
      </c>
      <c r="L257" s="257">
        <v>71677.44</v>
      </c>
      <c r="M257" s="284">
        <f t="shared" si="14"/>
        <v>31.30429313883915</v>
      </c>
      <c r="N257" s="570"/>
    </row>
    <row r="258" spans="1:14" ht="22.5">
      <c r="A258" s="572"/>
      <c r="B258" s="71"/>
      <c r="C258" s="381"/>
      <c r="D258" s="569"/>
      <c r="E258" s="95" t="s">
        <v>177</v>
      </c>
      <c r="F258" s="73" t="s">
        <v>18</v>
      </c>
      <c r="G258" s="170">
        <v>35868461</v>
      </c>
      <c r="H258" s="256">
        <v>11124922.830000002</v>
      </c>
      <c r="I258" s="282">
        <f t="shared" si="13"/>
        <v>31.015891175258403</v>
      </c>
      <c r="J258" s="258">
        <f>1535552+2978575</f>
        <v>4514127</v>
      </c>
      <c r="K258" s="255">
        <f>1535552+2978575</f>
        <v>4514127</v>
      </c>
      <c r="L258" s="257">
        <f>709387.03+1608538.75</f>
        <v>2317925.7800000003</v>
      </c>
      <c r="M258" s="284">
        <f t="shared" si="14"/>
        <v>51.348262465810116</v>
      </c>
      <c r="N258" s="570"/>
    </row>
    <row r="259" spans="1:14" ht="11.25">
      <c r="A259" s="572"/>
      <c r="B259" s="71"/>
      <c r="C259" s="381"/>
      <c r="D259" s="569"/>
      <c r="E259" s="226"/>
      <c r="F259" s="73" t="s">
        <v>23</v>
      </c>
      <c r="G259" s="169">
        <v>0</v>
      </c>
      <c r="H259" s="170">
        <v>0</v>
      </c>
      <c r="I259" s="240"/>
      <c r="J259" s="169">
        <v>0</v>
      </c>
      <c r="K259" s="169"/>
      <c r="L259" s="74">
        <v>0</v>
      </c>
      <c r="M259" s="75"/>
      <c r="N259" s="570"/>
    </row>
    <row r="260" spans="1:14" ht="11.25">
      <c r="A260" s="572"/>
      <c r="B260" s="71"/>
      <c r="C260" s="381"/>
      <c r="D260" s="569"/>
      <c r="E260" s="95"/>
      <c r="F260" s="73"/>
      <c r="G260" s="261"/>
      <c r="H260" s="262"/>
      <c r="I260" s="283"/>
      <c r="J260" s="263"/>
      <c r="K260" s="255"/>
      <c r="L260" s="257"/>
      <c r="M260" s="264"/>
      <c r="N260" s="570"/>
    </row>
    <row r="261" spans="1:14" ht="11.25">
      <c r="A261" s="572"/>
      <c r="B261" s="71"/>
      <c r="C261" s="381"/>
      <c r="D261" s="569"/>
      <c r="E261" s="95"/>
      <c r="F261" s="73"/>
      <c r="G261" s="261"/>
      <c r="H261" s="262"/>
      <c r="I261" s="283"/>
      <c r="J261" s="263"/>
      <c r="K261" s="255"/>
      <c r="L261" s="257"/>
      <c r="M261" s="260"/>
      <c r="N261" s="570"/>
    </row>
    <row r="262" spans="1:14" ht="11.25">
      <c r="A262" s="572"/>
      <c r="B262" s="71"/>
      <c r="C262" s="381"/>
      <c r="D262" s="569"/>
      <c r="E262" s="95"/>
      <c r="F262" s="73"/>
      <c r="G262" s="261"/>
      <c r="H262" s="262"/>
      <c r="I262" s="283"/>
      <c r="J262" s="263"/>
      <c r="K262" s="255"/>
      <c r="L262" s="257"/>
      <c r="M262" s="260"/>
      <c r="N262" s="570"/>
    </row>
    <row r="263" spans="1:14" ht="11.25">
      <c r="A263" s="572"/>
      <c r="B263" s="71"/>
      <c r="C263" s="381"/>
      <c r="D263" s="569"/>
      <c r="E263" s="91"/>
      <c r="F263" s="73"/>
      <c r="G263" s="261"/>
      <c r="H263" s="265"/>
      <c r="I263" s="240"/>
      <c r="J263" s="266"/>
      <c r="K263" s="255"/>
      <c r="L263" s="357"/>
      <c r="M263" s="75"/>
      <c r="N263" s="570"/>
    </row>
    <row r="264" spans="1:14" ht="11.25">
      <c r="A264" s="573"/>
      <c r="B264" s="78"/>
      <c r="C264" s="382"/>
      <c r="D264" s="245"/>
      <c r="E264" s="245"/>
      <c r="F264" s="246"/>
      <c r="G264" s="247"/>
      <c r="H264" s="100"/>
      <c r="I264" s="248"/>
      <c r="J264" s="259"/>
      <c r="K264" s="171"/>
      <c r="L264" s="109"/>
      <c r="M264" s="81"/>
      <c r="N264" s="576"/>
    </row>
    <row r="265" spans="1:14" ht="11.25">
      <c r="A265" s="571" t="s">
        <v>138</v>
      </c>
      <c r="B265" s="67"/>
      <c r="C265" s="378"/>
      <c r="D265" s="66"/>
      <c r="E265" s="208"/>
      <c r="F265" s="67"/>
      <c r="G265" s="167"/>
      <c r="H265" s="67"/>
      <c r="I265" s="75"/>
      <c r="J265" s="167"/>
      <c r="K265" s="166"/>
      <c r="L265" s="69"/>
      <c r="M265" s="70"/>
      <c r="N265" s="425"/>
    </row>
    <row r="266" spans="1:14" ht="22.5">
      <c r="A266" s="572"/>
      <c r="B266" s="71" t="s">
        <v>29</v>
      </c>
      <c r="C266" s="381" t="s">
        <v>178</v>
      </c>
      <c r="D266" s="569" t="s">
        <v>39</v>
      </c>
      <c r="E266" s="569" t="s">
        <v>179</v>
      </c>
      <c r="F266" s="72" t="s">
        <v>30</v>
      </c>
      <c r="G266" s="168">
        <f>G267+G268</f>
        <v>955000</v>
      </c>
      <c r="H266" s="35">
        <f>H267+H268</f>
        <v>166374.91</v>
      </c>
      <c r="I266" s="36">
        <f>H266/G266*100</f>
        <v>17.421456544502618</v>
      </c>
      <c r="J266" s="168">
        <f>J267+J268</f>
        <v>140000</v>
      </c>
      <c r="K266" s="168">
        <f>K267+K268</f>
        <v>130000</v>
      </c>
      <c r="L266" s="35">
        <f>L267+L268</f>
        <v>44488.78</v>
      </c>
      <c r="M266" s="36">
        <f>L266/K266*100</f>
        <v>34.22213846153846</v>
      </c>
      <c r="N266" s="570" t="s">
        <v>180</v>
      </c>
    </row>
    <row r="267" spans="1:14" ht="22.5">
      <c r="A267" s="572"/>
      <c r="B267" s="71" t="s">
        <v>24</v>
      </c>
      <c r="C267" s="381" t="s">
        <v>181</v>
      </c>
      <c r="D267" s="569"/>
      <c r="E267" s="569"/>
      <c r="F267" s="73" t="s">
        <v>18</v>
      </c>
      <c r="G267" s="169">
        <v>955000</v>
      </c>
      <c r="H267" s="74">
        <f>121886.13+L267</f>
        <v>166374.91</v>
      </c>
      <c r="I267" s="36">
        <f>H267/G267*100</f>
        <v>17.421456544502618</v>
      </c>
      <c r="J267" s="169">
        <v>140000</v>
      </c>
      <c r="K267" s="169">
        <v>130000</v>
      </c>
      <c r="L267" s="74">
        <v>44488.78</v>
      </c>
      <c r="M267" s="75">
        <f>L267/K267*100</f>
        <v>34.22213846153846</v>
      </c>
      <c r="N267" s="570"/>
    </row>
    <row r="268" spans="1:14" ht="11.25">
      <c r="A268" s="572"/>
      <c r="B268" s="71"/>
      <c r="C268" s="381"/>
      <c r="D268" s="569"/>
      <c r="E268" s="569"/>
      <c r="F268" s="73" t="s">
        <v>23</v>
      </c>
      <c r="G268" s="169">
        <v>0</v>
      </c>
      <c r="H268" s="74">
        <v>0</v>
      </c>
      <c r="I268" s="75"/>
      <c r="J268" s="169"/>
      <c r="K268" s="169"/>
      <c r="L268" s="74"/>
      <c r="M268" s="75"/>
      <c r="N268" s="570"/>
    </row>
    <row r="269" spans="1:14" ht="11.25">
      <c r="A269" s="573"/>
      <c r="B269" s="78"/>
      <c r="C269" s="382"/>
      <c r="D269" s="114"/>
      <c r="E269" s="114"/>
      <c r="F269" s="107"/>
      <c r="G269" s="259"/>
      <c r="H269" s="80"/>
      <c r="I269" s="81"/>
      <c r="J269" s="259"/>
      <c r="K269" s="171"/>
      <c r="L269" s="109"/>
      <c r="M269" s="81"/>
      <c r="N269" s="424"/>
    </row>
    <row r="270" spans="1:14" ht="11.25">
      <c r="A270" s="571" t="s">
        <v>141</v>
      </c>
      <c r="B270" s="67"/>
      <c r="C270" s="378"/>
      <c r="D270" s="66"/>
      <c r="E270" s="208"/>
      <c r="F270" s="67"/>
      <c r="G270" s="167"/>
      <c r="H270" s="67"/>
      <c r="I270" s="75"/>
      <c r="J270" s="167"/>
      <c r="K270" s="166"/>
      <c r="L270" s="69"/>
      <c r="M270" s="70"/>
      <c r="N270" s="426"/>
    </row>
    <row r="271" spans="1:14" ht="11.25">
      <c r="A271" s="572"/>
      <c r="B271" s="71" t="s">
        <v>29</v>
      </c>
      <c r="C271" s="380" t="s">
        <v>182</v>
      </c>
      <c r="D271" s="569" t="s">
        <v>39</v>
      </c>
      <c r="E271" s="569" t="s">
        <v>183</v>
      </c>
      <c r="F271" s="72" t="s">
        <v>30</v>
      </c>
      <c r="G271" s="168">
        <f>G272+G273</f>
        <v>18432507</v>
      </c>
      <c r="H271" s="35">
        <f>H272+H273</f>
        <v>3299346</v>
      </c>
      <c r="I271" s="36">
        <f>H271/G271*100</f>
        <v>17.899605300570347</v>
      </c>
      <c r="J271" s="168">
        <f>J272+J273</f>
        <v>2580000</v>
      </c>
      <c r="K271" s="168">
        <f>K272+K273</f>
        <v>2930000</v>
      </c>
      <c r="L271" s="35">
        <f>L272+L273</f>
        <v>1120684</v>
      </c>
      <c r="M271" s="36">
        <f>L271/K271*100</f>
        <v>38.24860068259386</v>
      </c>
      <c r="N271" s="570" t="s">
        <v>184</v>
      </c>
    </row>
    <row r="272" spans="1:14" ht="11.25">
      <c r="A272" s="572"/>
      <c r="B272" s="71" t="s">
        <v>24</v>
      </c>
      <c r="C272" s="380" t="s">
        <v>185</v>
      </c>
      <c r="D272" s="569"/>
      <c r="E272" s="569"/>
      <c r="F272" s="73" t="s">
        <v>18</v>
      </c>
      <c r="G272" s="169">
        <v>18432507</v>
      </c>
      <c r="H272" s="74">
        <f>2178662+L272</f>
        <v>3299346</v>
      </c>
      <c r="I272" s="36">
        <f>H272/G272*100</f>
        <v>17.899605300570347</v>
      </c>
      <c r="J272" s="169">
        <v>2580000</v>
      </c>
      <c r="K272" s="169">
        <v>2930000</v>
      </c>
      <c r="L272" s="74">
        <v>1120684</v>
      </c>
      <c r="M272" s="75">
        <f>L272/K272*100</f>
        <v>38.24860068259386</v>
      </c>
      <c r="N272" s="570"/>
    </row>
    <row r="273" spans="1:14" ht="11.25">
      <c r="A273" s="572"/>
      <c r="B273" s="71"/>
      <c r="C273" s="381"/>
      <c r="D273" s="569"/>
      <c r="E273" s="569"/>
      <c r="F273" s="73" t="s">
        <v>23</v>
      </c>
      <c r="G273" s="169">
        <v>0</v>
      </c>
      <c r="H273" s="74">
        <v>0</v>
      </c>
      <c r="I273" s="75"/>
      <c r="J273" s="169"/>
      <c r="K273" s="169"/>
      <c r="L273" s="74"/>
      <c r="M273" s="75"/>
      <c r="N273" s="570"/>
    </row>
    <row r="274" spans="1:14" ht="11.25">
      <c r="A274" s="573"/>
      <c r="B274" s="78"/>
      <c r="C274" s="382"/>
      <c r="D274" s="114"/>
      <c r="E274" s="114"/>
      <c r="F274" s="107"/>
      <c r="G274" s="259"/>
      <c r="H274" s="80"/>
      <c r="I274" s="81"/>
      <c r="J274" s="259"/>
      <c r="K274" s="171"/>
      <c r="L274" s="109"/>
      <c r="M274" s="81"/>
      <c r="N274" s="424"/>
    </row>
    <row r="275" spans="1:14" ht="11.25">
      <c r="A275" s="571" t="s">
        <v>144</v>
      </c>
      <c r="B275" s="99"/>
      <c r="C275" s="405"/>
      <c r="D275" s="237"/>
      <c r="E275" s="238"/>
      <c r="F275" s="99"/>
      <c r="G275" s="239"/>
      <c r="H275" s="99"/>
      <c r="I275" s="240"/>
      <c r="J275" s="239"/>
      <c r="K275" s="241"/>
      <c r="L275" s="242"/>
      <c r="M275" s="251"/>
      <c r="N275" s="442"/>
    </row>
    <row r="276" spans="1:14" ht="11.25">
      <c r="A276" s="572"/>
      <c r="B276" s="71" t="s">
        <v>29</v>
      </c>
      <c r="C276" s="381" t="s">
        <v>186</v>
      </c>
      <c r="D276" s="569" t="s">
        <v>187</v>
      </c>
      <c r="E276" s="568" t="s">
        <v>188</v>
      </c>
      <c r="F276" s="72" t="s">
        <v>30</v>
      </c>
      <c r="G276" s="168">
        <f>G277+G278</f>
        <v>17055398</v>
      </c>
      <c r="H276" s="35">
        <f>H277+H278</f>
        <v>3806606.2199999997</v>
      </c>
      <c r="I276" s="36">
        <f>H276/G276*100</f>
        <v>22.319070009389403</v>
      </c>
      <c r="J276" s="168">
        <f>J277+J278</f>
        <v>2320000</v>
      </c>
      <c r="K276" s="168">
        <f>K277+K278</f>
        <v>2330000</v>
      </c>
      <c r="L276" s="35">
        <f>L277+L278</f>
        <v>1280800.22</v>
      </c>
      <c r="M276" s="36">
        <f>L276/K276*100</f>
        <v>54.96996652360515</v>
      </c>
      <c r="N276" s="570" t="s">
        <v>211</v>
      </c>
    </row>
    <row r="277" spans="1:14" ht="33.75">
      <c r="A277" s="572"/>
      <c r="B277" s="71" t="s">
        <v>24</v>
      </c>
      <c r="C277" s="381" t="s">
        <v>189</v>
      </c>
      <c r="D277" s="569"/>
      <c r="E277" s="569"/>
      <c r="F277" s="73" t="s">
        <v>18</v>
      </c>
      <c r="G277" s="169">
        <v>17055398</v>
      </c>
      <c r="H277" s="112">
        <f>2525806+L277</f>
        <v>3806606.2199999997</v>
      </c>
      <c r="I277" s="36">
        <f>H277/G277*100</f>
        <v>22.319070009389403</v>
      </c>
      <c r="J277" s="172">
        <v>2320000</v>
      </c>
      <c r="K277" s="172">
        <v>2330000</v>
      </c>
      <c r="L277" s="82">
        <v>1280800.22</v>
      </c>
      <c r="M277" s="75">
        <f>L277/K277*100</f>
        <v>54.96996652360515</v>
      </c>
      <c r="N277" s="570"/>
    </row>
    <row r="278" spans="1:14" ht="11.25">
      <c r="A278" s="572"/>
      <c r="B278" s="253"/>
      <c r="C278" s="407"/>
      <c r="D278" s="569"/>
      <c r="E278" s="569"/>
      <c r="F278" s="73" t="s">
        <v>23</v>
      </c>
      <c r="G278" s="169">
        <v>0</v>
      </c>
      <c r="H278" s="74">
        <v>0</v>
      </c>
      <c r="I278" s="75">
        <v>0</v>
      </c>
      <c r="J278" s="169">
        <v>0</v>
      </c>
      <c r="K278" s="169">
        <v>0</v>
      </c>
      <c r="L278" s="74">
        <v>0</v>
      </c>
      <c r="M278" s="75">
        <v>0</v>
      </c>
      <c r="N278" s="570"/>
    </row>
    <row r="279" spans="1:14" ht="12.75" customHeight="1">
      <c r="A279" s="573"/>
      <c r="B279" s="244"/>
      <c r="C279" s="406"/>
      <c r="D279" s="245"/>
      <c r="E279" s="245"/>
      <c r="F279" s="246"/>
      <c r="G279" s="247"/>
      <c r="H279" s="100"/>
      <c r="I279" s="248"/>
      <c r="J279" s="247"/>
      <c r="K279" s="249"/>
      <c r="L279" s="250"/>
      <c r="M279" s="248"/>
      <c r="N279" s="440"/>
    </row>
    <row r="280" spans="1:14" ht="12.75" customHeight="1">
      <c r="A280" s="571" t="s">
        <v>215</v>
      </c>
      <c r="B280" s="99"/>
      <c r="C280" s="405"/>
      <c r="D280" s="267"/>
      <c r="E280" s="238"/>
      <c r="F280" s="99"/>
      <c r="G280" s="239"/>
      <c r="H280" s="99"/>
      <c r="I280" s="240"/>
      <c r="J280" s="239"/>
      <c r="K280" s="241"/>
      <c r="L280" s="242"/>
      <c r="M280" s="251"/>
      <c r="N280" s="243"/>
    </row>
    <row r="281" spans="1:14" ht="12.75" customHeight="1">
      <c r="A281" s="572"/>
      <c r="B281" s="71" t="s">
        <v>29</v>
      </c>
      <c r="C281" s="381" t="s">
        <v>194</v>
      </c>
      <c r="D281" s="569" t="s">
        <v>122</v>
      </c>
      <c r="E281" s="574" t="s">
        <v>196</v>
      </c>
      <c r="F281" s="72" t="s">
        <v>30</v>
      </c>
      <c r="G281" s="168">
        <f>G282+G283</f>
        <v>2972</v>
      </c>
      <c r="H281" s="35">
        <f>H282+H283</f>
        <v>2937</v>
      </c>
      <c r="I281" s="36">
        <f>H281/G281*100</f>
        <v>98.82234185733513</v>
      </c>
      <c r="J281" s="168">
        <f>J282+J283</f>
        <v>360</v>
      </c>
      <c r="K281" s="168">
        <f>K282+K283</f>
        <v>1211</v>
      </c>
      <c r="L281" s="35">
        <f>L282+L283</f>
        <v>1176</v>
      </c>
      <c r="M281" s="36">
        <f>L281/K281*100</f>
        <v>97.10982658959537</v>
      </c>
      <c r="N281" s="570" t="s">
        <v>233</v>
      </c>
    </row>
    <row r="282" spans="1:14" ht="12.75" customHeight="1">
      <c r="A282" s="572"/>
      <c r="B282" s="71" t="s">
        <v>24</v>
      </c>
      <c r="C282" s="381" t="s">
        <v>195</v>
      </c>
      <c r="D282" s="569"/>
      <c r="E282" s="574"/>
      <c r="F282" s="73" t="s">
        <v>23</v>
      </c>
      <c r="G282" s="169">
        <v>2972</v>
      </c>
      <c r="H282" s="112">
        <v>2937</v>
      </c>
      <c r="I282" s="36">
        <f>H282/G282*100</f>
        <v>98.82234185733513</v>
      </c>
      <c r="J282" s="172">
        <v>360</v>
      </c>
      <c r="K282" s="172">
        <v>1211</v>
      </c>
      <c r="L282" s="82">
        <v>1176</v>
      </c>
      <c r="M282" s="75">
        <f>L282/K282*100</f>
        <v>97.10982658959537</v>
      </c>
      <c r="N282" s="570"/>
    </row>
    <row r="283" spans="1:14" ht="12.75" customHeight="1">
      <c r="A283" s="572"/>
      <c r="B283" s="253"/>
      <c r="C283" s="407"/>
      <c r="D283" s="569"/>
      <c r="E283" s="574"/>
      <c r="F283" s="73"/>
      <c r="G283" s="169"/>
      <c r="H283" s="74"/>
      <c r="I283" s="75"/>
      <c r="J283" s="169"/>
      <c r="K283" s="169"/>
      <c r="L283" s="74"/>
      <c r="M283" s="75"/>
      <c r="N283" s="570"/>
    </row>
    <row r="284" spans="1:14" ht="12.75" customHeight="1">
      <c r="A284" s="573"/>
      <c r="B284" s="244"/>
      <c r="C284" s="406"/>
      <c r="D284" s="245"/>
      <c r="E284" s="245"/>
      <c r="F284" s="246"/>
      <c r="G284" s="247"/>
      <c r="H284" s="100"/>
      <c r="I284" s="248"/>
      <c r="J284" s="247"/>
      <c r="K284" s="249"/>
      <c r="L284" s="250"/>
      <c r="M284" s="248"/>
      <c r="N284" s="440"/>
    </row>
    <row r="285" spans="1:14" ht="11.25">
      <c r="A285" s="56"/>
      <c r="B285" s="57"/>
      <c r="C285" s="375"/>
      <c r="D285" s="58"/>
      <c r="E285" s="58"/>
      <c r="F285" s="278"/>
      <c r="G285" s="162"/>
      <c r="H285" s="56"/>
      <c r="I285" s="60"/>
      <c r="J285" s="162"/>
      <c r="K285" s="162"/>
      <c r="L285" s="59"/>
      <c r="M285" s="269"/>
      <c r="N285" s="438"/>
    </row>
    <row r="286" spans="1:14" ht="18" customHeight="1">
      <c r="A286" s="26" t="s">
        <v>218</v>
      </c>
      <c r="B286" s="579" t="s">
        <v>210</v>
      </c>
      <c r="C286" s="580"/>
      <c r="D286" s="26"/>
      <c r="E286" s="358"/>
      <c r="F286" s="359" t="s">
        <v>18</v>
      </c>
      <c r="G286" s="163">
        <f>G290+G302+G312+G327+G332+G337+G342</f>
        <v>4762984</v>
      </c>
      <c r="H286" s="163">
        <f>H290</f>
        <v>0</v>
      </c>
      <c r="I286" s="200">
        <f>H286/G286*100</f>
        <v>0</v>
      </c>
      <c r="J286" s="163">
        <f>J290</f>
        <v>1000800</v>
      </c>
      <c r="K286" s="163">
        <f>K290</f>
        <v>1000800</v>
      </c>
      <c r="L286" s="29">
        <f>L290</f>
        <v>889309.16</v>
      </c>
      <c r="M286" s="360"/>
      <c r="N286" s="361"/>
    </row>
    <row r="287" spans="1:14" ht="18.75" customHeight="1">
      <c r="A287" s="98"/>
      <c r="B287" s="229"/>
      <c r="C287" s="404"/>
      <c r="D287" s="230"/>
      <c r="E287" s="231"/>
      <c r="F287" s="279"/>
      <c r="G287" s="232"/>
      <c r="H287" s="229"/>
      <c r="I287" s="233"/>
      <c r="J287" s="234"/>
      <c r="K287" s="232"/>
      <c r="L287" s="235"/>
      <c r="M287" s="271"/>
      <c r="N287" s="236"/>
    </row>
    <row r="288" spans="1:14" ht="11.25">
      <c r="A288" s="571" t="s">
        <v>4</v>
      </c>
      <c r="B288" s="99"/>
      <c r="C288" s="405"/>
      <c r="D288" s="237"/>
      <c r="E288" s="238"/>
      <c r="F288" s="99"/>
      <c r="G288" s="239"/>
      <c r="H288" s="273"/>
      <c r="I288" s="240"/>
      <c r="J288" s="239"/>
      <c r="K288" s="241"/>
      <c r="L288" s="275"/>
      <c r="M288" s="285"/>
      <c r="N288" s="243"/>
    </row>
    <row r="289" spans="1:14" ht="48" customHeight="1">
      <c r="A289" s="572"/>
      <c r="B289" s="71" t="s">
        <v>29</v>
      </c>
      <c r="C289" s="381" t="s">
        <v>192</v>
      </c>
      <c r="D289" s="569" t="s">
        <v>191</v>
      </c>
      <c r="E289" s="569" t="s">
        <v>190</v>
      </c>
      <c r="F289" s="72" t="s">
        <v>30</v>
      </c>
      <c r="G289" s="272">
        <f>SUM(G290)</f>
        <v>4327600</v>
      </c>
      <c r="H289" s="272">
        <f>SUM(H290)</f>
        <v>0</v>
      </c>
      <c r="I289" s="36">
        <v>12.47</v>
      </c>
      <c r="J289" s="272">
        <f>SUM(J290)</f>
        <v>1000800</v>
      </c>
      <c r="K289" s="272">
        <f>SUM(K290)</f>
        <v>1000800</v>
      </c>
      <c r="L289" s="277">
        <f>SUM(L290)</f>
        <v>889309.16</v>
      </c>
      <c r="M289" s="36">
        <v>100</v>
      </c>
      <c r="N289" s="570" t="s">
        <v>224</v>
      </c>
    </row>
    <row r="290" spans="1:14" ht="33.75">
      <c r="A290" s="572"/>
      <c r="B290" s="71" t="s">
        <v>24</v>
      </c>
      <c r="C290" s="381" t="s">
        <v>193</v>
      </c>
      <c r="D290" s="569"/>
      <c r="E290" s="569"/>
      <c r="F290" s="73" t="s">
        <v>18</v>
      </c>
      <c r="G290" s="172">
        <v>4327600</v>
      </c>
      <c r="H290" s="74">
        <v>0</v>
      </c>
      <c r="I290" s="75">
        <v>12.47</v>
      </c>
      <c r="J290" s="172">
        <v>1000800</v>
      </c>
      <c r="K290" s="169">
        <v>1000800</v>
      </c>
      <c r="L290" s="189">
        <v>889309.16</v>
      </c>
      <c r="M290" s="36">
        <v>100</v>
      </c>
      <c r="N290" s="570"/>
    </row>
    <row r="291" spans="1:14" ht="11.25">
      <c r="A291" s="573"/>
      <c r="B291" s="244"/>
      <c r="C291" s="406"/>
      <c r="D291" s="245"/>
      <c r="E291" s="245"/>
      <c r="F291" s="246"/>
      <c r="G291" s="247"/>
      <c r="H291" s="274"/>
      <c r="I291" s="248"/>
      <c r="J291" s="247"/>
      <c r="K291" s="249"/>
      <c r="L291" s="276"/>
      <c r="M291" s="248"/>
      <c r="N291" s="440"/>
    </row>
    <row r="292" spans="1:14" ht="11.25">
      <c r="A292" s="26" t="s">
        <v>219</v>
      </c>
      <c r="B292" s="579" t="s">
        <v>197</v>
      </c>
      <c r="C292" s="580"/>
      <c r="D292" s="27"/>
      <c r="E292" s="27"/>
      <c r="F292" s="28"/>
      <c r="G292" s="163">
        <f>SUM(G293:G294)</f>
        <v>496485148</v>
      </c>
      <c r="H292" s="29">
        <f>SUM(H293:H294)</f>
        <v>34718544.31</v>
      </c>
      <c r="I292" s="30">
        <f>IF(G292&gt;0,H292/G292*100,"-")</f>
        <v>6.992866644623175</v>
      </c>
      <c r="J292" s="29">
        <f>SUM(J293:J294)</f>
        <v>71894000</v>
      </c>
      <c r="K292" s="163">
        <f>SUM(K293:K294)</f>
        <v>72040054</v>
      </c>
      <c r="L292" s="29">
        <f>SUM(L293:L294)</f>
        <v>34718544.31</v>
      </c>
      <c r="M292" s="30">
        <f>IF(K292&gt;0,L292/K292*100,"-")</f>
        <v>48.193390179857445</v>
      </c>
      <c r="N292" s="420"/>
    </row>
    <row r="293" spans="1:14" ht="11.25">
      <c r="A293" s="28"/>
      <c r="B293" s="31"/>
      <c r="C293" s="376"/>
      <c r="D293" s="27"/>
      <c r="E293" s="27"/>
      <c r="F293" s="32" t="s">
        <v>18</v>
      </c>
      <c r="G293" s="164">
        <f>G297+G301+G304</f>
        <v>496485148</v>
      </c>
      <c r="H293" s="33">
        <f>H297+H301+H304</f>
        <v>34718544.31</v>
      </c>
      <c r="I293" s="34">
        <f>IF(G293&gt;0,H293/G293*100,"-")</f>
        <v>6.992866644623175</v>
      </c>
      <c r="J293" s="33">
        <f>J297+J301+J304</f>
        <v>71894000</v>
      </c>
      <c r="K293" s="164">
        <f>K297+K301+K304</f>
        <v>72040054</v>
      </c>
      <c r="L293" s="33">
        <f>L297+L301+L304</f>
        <v>34718544.31</v>
      </c>
      <c r="M293" s="34">
        <f>IF(K293&gt;0,L293/K293*100,"-")</f>
        <v>48.193390179857445</v>
      </c>
      <c r="N293" s="420"/>
    </row>
    <row r="294" spans="1:14" ht="11.25">
      <c r="A294" s="28"/>
      <c r="B294" s="31"/>
      <c r="C294" s="376"/>
      <c r="D294" s="27"/>
      <c r="E294" s="27"/>
      <c r="F294" s="32" t="s">
        <v>23</v>
      </c>
      <c r="G294" s="164">
        <f>G298</f>
        <v>0</v>
      </c>
      <c r="H294" s="33">
        <f>H298</f>
        <v>0</v>
      </c>
      <c r="I294" s="34" t="str">
        <f>IF(G294&gt;0,H294/G294*100,"-")</f>
        <v>-</v>
      </c>
      <c r="J294" s="33">
        <f>J298</f>
        <v>0</v>
      </c>
      <c r="K294" s="164">
        <f>K298</f>
        <v>0</v>
      </c>
      <c r="L294" s="33">
        <f>L298</f>
        <v>0</v>
      </c>
      <c r="M294" s="34" t="str">
        <f>IF(K294&gt;0,L294/K294*100,"-")</f>
        <v>-</v>
      </c>
      <c r="N294" s="420"/>
    </row>
    <row r="295" spans="1:14" ht="11.25">
      <c r="A295" s="61"/>
      <c r="B295" s="62"/>
      <c r="C295" s="377"/>
      <c r="D295" s="63"/>
      <c r="E295" s="63"/>
      <c r="F295" s="61"/>
      <c r="G295" s="165"/>
      <c r="H295" s="61"/>
      <c r="I295" s="65"/>
      <c r="J295" s="61"/>
      <c r="K295" s="165"/>
      <c r="L295" s="64"/>
      <c r="M295" s="65"/>
      <c r="N295" s="421"/>
    </row>
    <row r="296" spans="1:14" ht="67.5">
      <c r="A296" s="668" t="s">
        <v>4</v>
      </c>
      <c r="B296" s="71" t="s">
        <v>29</v>
      </c>
      <c r="C296" s="381" t="s">
        <v>198</v>
      </c>
      <c r="D296" s="569" t="s">
        <v>103</v>
      </c>
      <c r="E296" s="568" t="s">
        <v>199</v>
      </c>
      <c r="F296" s="72" t="s">
        <v>30</v>
      </c>
      <c r="G296" s="168">
        <f>SUM(G297:G298)</f>
        <v>192000</v>
      </c>
      <c r="H296" s="35">
        <f>SUM(H297:H298)</f>
        <v>48000</v>
      </c>
      <c r="I296" s="36">
        <f>IF(G296&gt;0,H296/G296*100,"-")</f>
        <v>25</v>
      </c>
      <c r="J296" s="35">
        <f>SUM(J297:J298)</f>
        <v>48000</v>
      </c>
      <c r="K296" s="168">
        <f>SUM(K297:K298)</f>
        <v>48000</v>
      </c>
      <c r="L296" s="35">
        <f>SUM(L297:L298)</f>
        <v>48000</v>
      </c>
      <c r="M296" s="36">
        <f>IF(K296&gt;0,L296/K296*100,"-")</f>
        <v>100</v>
      </c>
      <c r="N296" s="575" t="s">
        <v>212</v>
      </c>
    </row>
    <row r="297" spans="1:14" ht="22.5">
      <c r="A297" s="668"/>
      <c r="B297" s="71" t="s">
        <v>24</v>
      </c>
      <c r="C297" s="381" t="s">
        <v>200</v>
      </c>
      <c r="D297" s="569"/>
      <c r="E297" s="569"/>
      <c r="F297" s="73" t="s">
        <v>18</v>
      </c>
      <c r="G297" s="169">
        <v>192000</v>
      </c>
      <c r="H297" s="74">
        <v>48000</v>
      </c>
      <c r="I297" s="75">
        <f>IF(G297&gt;0,H297/G297*100,"-")</f>
        <v>25</v>
      </c>
      <c r="J297" s="147">
        <v>48000</v>
      </c>
      <c r="K297" s="169">
        <v>48000</v>
      </c>
      <c r="L297" s="74">
        <v>48000</v>
      </c>
      <c r="M297" s="75">
        <f>IF(K297&gt;0,L297/K297*100,"-")</f>
        <v>100</v>
      </c>
      <c r="N297" s="570"/>
    </row>
    <row r="298" spans="1:14" ht="11.25">
      <c r="A298" s="668"/>
      <c r="B298" s="71"/>
      <c r="C298" s="381"/>
      <c r="D298" s="569"/>
      <c r="E298" s="569"/>
      <c r="F298" s="73" t="s">
        <v>23</v>
      </c>
      <c r="G298" s="169"/>
      <c r="H298" s="73"/>
      <c r="I298" s="75" t="str">
        <f>IF(G298&gt;0,H298/G298*100,"-")</f>
        <v>-</v>
      </c>
      <c r="J298" s="73"/>
      <c r="K298" s="169"/>
      <c r="L298" s="76"/>
      <c r="M298" s="75" t="str">
        <f>IF(K298&gt;0,L298/K298*100,"-")</f>
        <v>-</v>
      </c>
      <c r="N298" s="570"/>
    </row>
    <row r="299" spans="1:14" ht="11.25">
      <c r="A299" s="669"/>
      <c r="B299" s="78"/>
      <c r="C299" s="382"/>
      <c r="D299" s="77"/>
      <c r="E299" s="77"/>
      <c r="F299" s="78"/>
      <c r="G299" s="259"/>
      <c r="H299" s="78"/>
      <c r="I299" s="81"/>
      <c r="J299" s="78"/>
      <c r="K299" s="171"/>
      <c r="L299" s="80"/>
      <c r="M299" s="81"/>
      <c r="N299" s="419"/>
    </row>
    <row r="300" spans="1:14" ht="56.25">
      <c r="A300" s="354"/>
      <c r="B300" s="71" t="s">
        <v>29</v>
      </c>
      <c r="C300" s="381" t="s">
        <v>201</v>
      </c>
      <c r="D300" s="569" t="s">
        <v>202</v>
      </c>
      <c r="E300" s="569" t="s">
        <v>203</v>
      </c>
      <c r="F300" s="72" t="s">
        <v>30</v>
      </c>
      <c r="G300" s="168">
        <f>SUM(G301:G302)</f>
        <v>100000</v>
      </c>
      <c r="H300" s="35">
        <f>SUM(H301:H302)</f>
        <v>10000</v>
      </c>
      <c r="I300" s="36">
        <f aca="true" t="shared" si="15" ref="I300:I305">IF(G300&gt;0,H300/G300*100,"-")</f>
        <v>10</v>
      </c>
      <c r="J300" s="35">
        <f>SUM(J301:J302)</f>
        <v>20000</v>
      </c>
      <c r="K300" s="168">
        <f>SUM(K301:K302)</f>
        <v>20000</v>
      </c>
      <c r="L300" s="35">
        <f>SUM(L301:L302)</f>
        <v>10000</v>
      </c>
      <c r="M300" s="36">
        <f aca="true" t="shared" si="16" ref="M300:M305">IF(K300&gt;0,L300/K300*100,"-")</f>
        <v>50</v>
      </c>
      <c r="N300" s="570" t="s">
        <v>213</v>
      </c>
    </row>
    <row r="301" spans="1:14" ht="33.75">
      <c r="A301" s="355" t="s">
        <v>56</v>
      </c>
      <c r="B301" s="71" t="s">
        <v>24</v>
      </c>
      <c r="C301" s="381" t="s">
        <v>204</v>
      </c>
      <c r="D301" s="569"/>
      <c r="E301" s="569"/>
      <c r="F301" s="73" t="s">
        <v>18</v>
      </c>
      <c r="G301" s="169">
        <v>100000</v>
      </c>
      <c r="H301" s="74">
        <v>10000</v>
      </c>
      <c r="I301" s="75">
        <f t="shared" si="15"/>
        <v>10</v>
      </c>
      <c r="J301" s="147">
        <v>20000</v>
      </c>
      <c r="K301" s="169">
        <v>20000</v>
      </c>
      <c r="L301" s="74">
        <v>10000</v>
      </c>
      <c r="M301" s="75">
        <f t="shared" si="16"/>
        <v>50</v>
      </c>
      <c r="N301" s="570"/>
    </row>
    <row r="302" spans="1:14" ht="11.25">
      <c r="A302" s="135"/>
      <c r="B302" s="71"/>
      <c r="C302" s="381"/>
      <c r="D302" s="569"/>
      <c r="E302" s="569"/>
      <c r="F302" s="73"/>
      <c r="G302" s="169"/>
      <c r="H302" s="73"/>
      <c r="I302" s="75" t="str">
        <f t="shared" si="15"/>
        <v>-</v>
      </c>
      <c r="J302" s="73"/>
      <c r="K302" s="169"/>
      <c r="L302" s="76"/>
      <c r="M302" s="75" t="str">
        <f t="shared" si="16"/>
        <v>-</v>
      </c>
      <c r="N302" s="570"/>
    </row>
    <row r="303" spans="1:14" ht="33.75">
      <c r="A303" s="666" t="s">
        <v>61</v>
      </c>
      <c r="B303" s="67" t="s">
        <v>29</v>
      </c>
      <c r="C303" s="378" t="s">
        <v>205</v>
      </c>
      <c r="D303" s="591" t="s">
        <v>39</v>
      </c>
      <c r="E303" s="591"/>
      <c r="F303" s="119" t="s">
        <v>30</v>
      </c>
      <c r="G303" s="352">
        <f>SUM(G304:G305)</f>
        <v>496193148</v>
      </c>
      <c r="H303" s="337">
        <f>SUM(H304:H305)</f>
        <v>34660544.31</v>
      </c>
      <c r="I303" s="105">
        <f t="shared" si="15"/>
        <v>6.985292813837889</v>
      </c>
      <c r="J303" s="337">
        <f>SUM(J304:J305)</f>
        <v>71826000</v>
      </c>
      <c r="K303" s="352">
        <f>SUM(K304:K305)</f>
        <v>71972054</v>
      </c>
      <c r="L303" s="337">
        <f>SUM(L304:L305)</f>
        <v>34660544.31</v>
      </c>
      <c r="M303" s="105">
        <f t="shared" si="16"/>
        <v>48.158336998413304</v>
      </c>
      <c r="N303" s="575" t="s">
        <v>206</v>
      </c>
    </row>
    <row r="304" spans="1:14" ht="11.25">
      <c r="A304" s="667"/>
      <c r="B304" s="71" t="s">
        <v>24</v>
      </c>
      <c r="C304" s="380" t="s">
        <v>207</v>
      </c>
      <c r="D304" s="569"/>
      <c r="E304" s="569"/>
      <c r="F304" s="73" t="s">
        <v>18</v>
      </c>
      <c r="G304" s="169">
        <v>496193148</v>
      </c>
      <c r="H304" s="74">
        <v>34660544.31</v>
      </c>
      <c r="I304" s="75">
        <f t="shared" si="15"/>
        <v>6.985292813837889</v>
      </c>
      <c r="J304" s="147">
        <v>71826000</v>
      </c>
      <c r="K304" s="330">
        <v>71972054</v>
      </c>
      <c r="L304" s="74">
        <v>34660544.31</v>
      </c>
      <c r="M304" s="75">
        <f t="shared" si="16"/>
        <v>48.158336998413304</v>
      </c>
      <c r="N304" s="570"/>
    </row>
    <row r="305" spans="1:14" ht="11.25">
      <c r="A305" s="667"/>
      <c r="B305" s="71"/>
      <c r="C305" s="381" t="s">
        <v>208</v>
      </c>
      <c r="D305" s="569"/>
      <c r="E305" s="569"/>
      <c r="F305" s="73" t="s">
        <v>23</v>
      </c>
      <c r="G305" s="169"/>
      <c r="H305" s="73"/>
      <c r="I305" s="75" t="str">
        <f t="shared" si="15"/>
        <v>-</v>
      </c>
      <c r="J305" s="73"/>
      <c r="K305" s="169"/>
      <c r="L305" s="76"/>
      <c r="M305" s="75" t="str">
        <f t="shared" si="16"/>
        <v>-</v>
      </c>
      <c r="N305" s="570"/>
    </row>
    <row r="306" spans="1:14" ht="11.25">
      <c r="A306" s="77"/>
      <c r="B306" s="78"/>
      <c r="C306" s="382"/>
      <c r="D306" s="77"/>
      <c r="E306" s="77"/>
      <c r="F306" s="78"/>
      <c r="G306" s="80"/>
      <c r="H306" s="80"/>
      <c r="I306" s="78"/>
      <c r="J306" s="78"/>
      <c r="K306" s="171"/>
      <c r="L306" s="80"/>
      <c r="M306" s="81"/>
      <c r="N306" s="419"/>
    </row>
    <row r="307" spans="1:14" s="83" customFormat="1" ht="3.75" customHeight="1">
      <c r="A307" s="19"/>
      <c r="B307" s="454"/>
      <c r="C307" s="455"/>
      <c r="D307" s="670"/>
      <c r="E307" s="19"/>
      <c r="F307" s="454"/>
      <c r="G307" s="456"/>
      <c r="H307" s="456"/>
      <c r="I307" s="25"/>
      <c r="J307" s="456"/>
      <c r="K307" s="160"/>
      <c r="L307" s="457"/>
      <c r="M307" s="25"/>
      <c r="N307" s="458"/>
    </row>
    <row r="308" spans="1:14" ht="11.25" customHeight="1">
      <c r="A308" s="18" t="s">
        <v>234</v>
      </c>
      <c r="B308" s="616" t="s">
        <v>235</v>
      </c>
      <c r="C308" s="617"/>
      <c r="D308" s="671"/>
      <c r="E308" s="19"/>
      <c r="F308" s="20"/>
      <c r="G308" s="159">
        <f>SUM(G309:G311)</f>
        <v>355550838</v>
      </c>
      <c r="H308" s="159">
        <f>SUM(H309:H311)</f>
        <v>86301443</v>
      </c>
      <c r="I308" s="22">
        <f>IF(G308&gt;0,H308/G308*100,"-")</f>
        <v>24.272602895679295</v>
      </c>
      <c r="J308" s="159">
        <f>SUM(J309:J311)</f>
        <v>47454419</v>
      </c>
      <c r="K308" s="159">
        <f>SUM(K309:K311)</f>
        <v>54870126</v>
      </c>
      <c r="L308" s="21">
        <f>SUM(L309:L311)</f>
        <v>7509310.54</v>
      </c>
      <c r="M308" s="22">
        <f>IF(K308&gt;0,L308/K308*100,"-")</f>
        <v>13.685608339955335</v>
      </c>
      <c r="N308" s="459"/>
    </row>
    <row r="309" spans="1:14" ht="11.25" customHeight="1">
      <c r="A309" s="20"/>
      <c r="B309" s="673" t="s">
        <v>18</v>
      </c>
      <c r="C309" s="674"/>
      <c r="D309" s="671"/>
      <c r="E309" s="19"/>
      <c r="F309" s="23"/>
      <c r="G309" s="160">
        <f aca="true" t="shared" si="17" ref="G309:H311">G315+G346+G393+G424+G566+G584+G713+G725</f>
        <v>324651237</v>
      </c>
      <c r="H309" s="160">
        <f t="shared" si="17"/>
        <v>74714500</v>
      </c>
      <c r="I309" s="25">
        <f>IF(G309&gt;0,H309/G309*100,"-")</f>
        <v>23.01377339276856</v>
      </c>
      <c r="J309" s="160">
        <f aca="true" t="shared" si="18" ref="J309:L311">J315+J346+J393+J424+J566+J584+J713+J725</f>
        <v>36558729</v>
      </c>
      <c r="K309" s="160">
        <f t="shared" si="18"/>
        <v>45279870</v>
      </c>
      <c r="L309" s="24">
        <f t="shared" si="18"/>
        <v>5255069.12</v>
      </c>
      <c r="M309" s="25">
        <f>IF(K309&gt;0,L309/K309*100,"-")</f>
        <v>11.605751341600582</v>
      </c>
      <c r="N309" s="459"/>
    </row>
    <row r="310" spans="1:14" ht="11.25" customHeight="1">
      <c r="A310" s="20"/>
      <c r="B310" s="673" t="s">
        <v>236</v>
      </c>
      <c r="C310" s="674"/>
      <c r="D310" s="671"/>
      <c r="E310" s="19"/>
      <c r="F310" s="23"/>
      <c r="G310" s="160">
        <f t="shared" si="17"/>
        <v>9885251</v>
      </c>
      <c r="H310" s="160">
        <f t="shared" si="17"/>
        <v>2686994</v>
      </c>
      <c r="I310" s="25">
        <f>IF(G310&gt;0,H310/G310*100,"-")</f>
        <v>27.181848999079538</v>
      </c>
      <c r="J310" s="160">
        <f t="shared" si="18"/>
        <v>7255407</v>
      </c>
      <c r="K310" s="160">
        <f t="shared" si="18"/>
        <v>4455407</v>
      </c>
      <c r="L310" s="24">
        <f t="shared" si="18"/>
        <v>1257149.03</v>
      </c>
      <c r="M310" s="25">
        <f>IF(K310&gt;0,L310/K310*100,"-")</f>
        <v>28.216255664185113</v>
      </c>
      <c r="N310" s="459"/>
    </row>
    <row r="311" spans="1:14" ht="11.25" customHeight="1">
      <c r="A311" s="20"/>
      <c r="B311" s="673" t="s">
        <v>23</v>
      </c>
      <c r="C311" s="674"/>
      <c r="D311" s="671"/>
      <c r="E311" s="19"/>
      <c r="F311" s="23"/>
      <c r="G311" s="160">
        <f t="shared" si="17"/>
        <v>21014350</v>
      </c>
      <c r="H311" s="160">
        <f t="shared" si="17"/>
        <v>8899949</v>
      </c>
      <c r="I311" s="25">
        <f>IF(G311&gt;0,H311/G311*100,"-")</f>
        <v>42.3517691482249</v>
      </c>
      <c r="J311" s="160">
        <f t="shared" si="18"/>
        <v>3640283</v>
      </c>
      <c r="K311" s="160">
        <f t="shared" si="18"/>
        <v>5134849</v>
      </c>
      <c r="L311" s="24">
        <f t="shared" si="18"/>
        <v>997092.39</v>
      </c>
      <c r="M311" s="25">
        <f>IF(K311&gt;0,L311/K311*100,"-")</f>
        <v>19.418144331021225</v>
      </c>
      <c r="N311" s="459"/>
    </row>
    <row r="312" spans="1:14" ht="3.75" customHeight="1">
      <c r="A312" s="51"/>
      <c r="B312" s="52"/>
      <c r="C312" s="460"/>
      <c r="D312" s="672"/>
      <c r="E312" s="53"/>
      <c r="F312" s="51"/>
      <c r="G312" s="161"/>
      <c r="H312" s="161"/>
      <c r="I312" s="55"/>
      <c r="J312" s="161"/>
      <c r="K312" s="161"/>
      <c r="L312" s="54"/>
      <c r="M312" s="55"/>
      <c r="N312" s="461"/>
    </row>
    <row r="313" spans="1:14" ht="3.75" customHeight="1">
      <c r="A313" s="56"/>
      <c r="B313" s="57"/>
      <c r="C313" s="462"/>
      <c r="D313" s="58"/>
      <c r="E313" s="58"/>
      <c r="F313" s="56"/>
      <c r="G313" s="162"/>
      <c r="H313" s="162"/>
      <c r="I313" s="60"/>
      <c r="J313" s="162"/>
      <c r="K313" s="162"/>
      <c r="L313" s="59"/>
      <c r="M313" s="60"/>
      <c r="N313" s="463"/>
    </row>
    <row r="314" spans="1:14" ht="11.25" customHeight="1">
      <c r="A314" s="26" t="s">
        <v>4</v>
      </c>
      <c r="B314" s="585" t="s">
        <v>237</v>
      </c>
      <c r="C314" s="586"/>
      <c r="D314" s="27"/>
      <c r="E314" s="27"/>
      <c r="F314" s="28"/>
      <c r="G314" s="163">
        <f>SUM(G315:G317)</f>
        <v>10390286</v>
      </c>
      <c r="H314" s="163">
        <f>SUM(H315:H317)</f>
        <v>1422755</v>
      </c>
      <c r="I314" s="30">
        <f>IF(G314&gt;0,H314/G314*100,"-")</f>
        <v>13.693126445220082</v>
      </c>
      <c r="J314" s="163">
        <f>SUM(J315:J317)</f>
        <v>40000</v>
      </c>
      <c r="K314" s="163">
        <f>SUM(K315:K317)</f>
        <v>40000</v>
      </c>
      <c r="L314" s="29">
        <f>SUM(L315:L317)</f>
        <v>0</v>
      </c>
      <c r="M314" s="30">
        <f>IF(K314&gt;0,L314/K314*100,"-")</f>
        <v>0</v>
      </c>
      <c r="N314" s="464"/>
    </row>
    <row r="315" spans="1:14" ht="11.25" customHeight="1">
      <c r="A315" s="28"/>
      <c r="B315" s="31"/>
      <c r="C315" s="465"/>
      <c r="D315" s="27"/>
      <c r="E315" s="27"/>
      <c r="F315" s="32" t="s">
        <v>18</v>
      </c>
      <c r="G315" s="164">
        <f aca="true" t="shared" si="19" ref="G315:H317">G321+G327+G334+G340</f>
        <v>10390286</v>
      </c>
      <c r="H315" s="164">
        <f t="shared" si="19"/>
        <v>1422755</v>
      </c>
      <c r="I315" s="34">
        <f>IF(G315&gt;0,H315/G315*100,"-")</f>
        <v>13.693126445220082</v>
      </c>
      <c r="J315" s="164">
        <f aca="true" t="shared" si="20" ref="J315:L317">J321+J327+J334+J340</f>
        <v>40000</v>
      </c>
      <c r="K315" s="164">
        <f t="shared" si="20"/>
        <v>40000</v>
      </c>
      <c r="L315" s="33">
        <f t="shared" si="20"/>
        <v>0</v>
      </c>
      <c r="M315" s="34">
        <f>IF(K315&gt;0,L315/K315*100,"-")</f>
        <v>0</v>
      </c>
      <c r="N315" s="464"/>
    </row>
    <row r="316" spans="1:14" ht="11.25" customHeight="1">
      <c r="A316" s="28"/>
      <c r="B316" s="31"/>
      <c r="C316" s="465"/>
      <c r="D316" s="27"/>
      <c r="E316" s="27"/>
      <c r="F316" s="32" t="s">
        <v>236</v>
      </c>
      <c r="G316" s="164">
        <f t="shared" si="19"/>
        <v>0</v>
      </c>
      <c r="H316" s="164">
        <f t="shared" si="19"/>
        <v>0</v>
      </c>
      <c r="I316" s="34" t="str">
        <f>IF(G316&gt;0,H316/G316*100,"-")</f>
        <v>-</v>
      </c>
      <c r="J316" s="164">
        <f t="shared" si="20"/>
        <v>0</v>
      </c>
      <c r="K316" s="164">
        <f t="shared" si="20"/>
        <v>0</v>
      </c>
      <c r="L316" s="33">
        <f t="shared" si="20"/>
        <v>0</v>
      </c>
      <c r="M316" s="34" t="str">
        <f>IF(K316&gt;0,L316/K316*100,"-")</f>
        <v>-</v>
      </c>
      <c r="N316" s="464"/>
    </row>
    <row r="317" spans="1:14" ht="11.25" customHeight="1">
      <c r="A317" s="28"/>
      <c r="B317" s="31"/>
      <c r="C317" s="465"/>
      <c r="D317" s="27"/>
      <c r="E317" s="27"/>
      <c r="F317" s="32" t="s">
        <v>23</v>
      </c>
      <c r="G317" s="164">
        <f t="shared" si="19"/>
        <v>0</v>
      </c>
      <c r="H317" s="164">
        <f t="shared" si="19"/>
        <v>0</v>
      </c>
      <c r="I317" s="34" t="str">
        <f>IF(G317&gt;0,H317/G317*100,"-")</f>
        <v>-</v>
      </c>
      <c r="J317" s="164">
        <f t="shared" si="20"/>
        <v>0</v>
      </c>
      <c r="K317" s="164">
        <f t="shared" si="20"/>
        <v>0</v>
      </c>
      <c r="L317" s="33">
        <f t="shared" si="20"/>
        <v>0</v>
      </c>
      <c r="M317" s="34" t="str">
        <f>IF(K317&gt;0,L317/K317*100,"-")</f>
        <v>-</v>
      </c>
      <c r="N317" s="464"/>
    </row>
    <row r="318" spans="1:14" ht="3.75" customHeight="1">
      <c r="A318" s="61"/>
      <c r="B318" s="62"/>
      <c r="C318" s="466"/>
      <c r="D318" s="63"/>
      <c r="E318" s="63"/>
      <c r="F318" s="61"/>
      <c r="G318" s="165"/>
      <c r="H318" s="165"/>
      <c r="I318" s="65"/>
      <c r="J318" s="165"/>
      <c r="K318" s="165"/>
      <c r="L318" s="64"/>
      <c r="M318" s="65"/>
      <c r="N318" s="467"/>
    </row>
    <row r="319" spans="1:14" ht="3.75" customHeight="1" outlineLevel="1">
      <c r="A319" s="468"/>
      <c r="B319" s="67"/>
      <c r="C319" s="469"/>
      <c r="D319" s="66"/>
      <c r="E319" s="66"/>
      <c r="F319" s="67"/>
      <c r="G319" s="167"/>
      <c r="H319" s="167"/>
      <c r="I319" s="70"/>
      <c r="J319" s="167"/>
      <c r="K319" s="166"/>
      <c r="L319" s="69"/>
      <c r="M319" s="133"/>
      <c r="N319" s="470"/>
    </row>
    <row r="320" spans="1:14" ht="10.5" customHeight="1" outlineLevel="1">
      <c r="A320" s="572" t="s">
        <v>4</v>
      </c>
      <c r="B320" s="71" t="s">
        <v>29</v>
      </c>
      <c r="C320" s="471" t="s">
        <v>238</v>
      </c>
      <c r="D320" s="569" t="s">
        <v>239</v>
      </c>
      <c r="E320" s="569" t="s">
        <v>59</v>
      </c>
      <c r="F320" s="72" t="s">
        <v>30</v>
      </c>
      <c r="G320" s="168">
        <f>SUM(G321:G323)</f>
        <v>901500</v>
      </c>
      <c r="H320" s="168">
        <f>SUM(H321:H323)</f>
        <v>332137</v>
      </c>
      <c r="I320" s="36">
        <f>IF(G320&gt;0,H320/G320*100,"-")</f>
        <v>36.84270660011092</v>
      </c>
      <c r="J320" s="168">
        <f>SUM(J321:J323)</f>
        <v>0</v>
      </c>
      <c r="K320" s="168">
        <f>SUM(K321:K323)</f>
        <v>0</v>
      </c>
      <c r="L320" s="35">
        <f>SUM(L321:L323)</f>
        <v>0</v>
      </c>
      <c r="M320" s="123" t="str">
        <f aca="true" t="shared" si="21" ref="M320:M342">IF(K320&gt;0,L320/K320*100,"-")</f>
        <v>-</v>
      </c>
      <c r="N320" s="675" t="s">
        <v>240</v>
      </c>
    </row>
    <row r="321" spans="1:14" ht="10.5" customHeight="1" outlineLevel="1">
      <c r="A321" s="572"/>
      <c r="B321" s="71"/>
      <c r="C321" s="472" t="s">
        <v>241</v>
      </c>
      <c r="D321" s="569"/>
      <c r="E321" s="569"/>
      <c r="F321" s="73" t="s">
        <v>18</v>
      </c>
      <c r="G321" s="169">
        <v>901500</v>
      </c>
      <c r="H321" s="169">
        <f>ROUNDUP(332137+L321,0)</f>
        <v>332137</v>
      </c>
      <c r="I321" s="75">
        <f>IF(G321&gt;0,H321/G321*100,"-")</f>
        <v>36.84270660011092</v>
      </c>
      <c r="J321" s="169">
        <v>0</v>
      </c>
      <c r="K321" s="169">
        <v>0</v>
      </c>
      <c r="L321" s="76">
        <v>0</v>
      </c>
      <c r="M321" s="123" t="str">
        <f t="shared" si="21"/>
        <v>-</v>
      </c>
      <c r="N321" s="675"/>
    </row>
    <row r="322" spans="1:14" ht="10.5" customHeight="1" outlineLevel="1">
      <c r="A322" s="572"/>
      <c r="B322" s="71" t="s">
        <v>24</v>
      </c>
      <c r="C322" s="472" t="s">
        <v>242</v>
      </c>
      <c r="D322" s="569"/>
      <c r="E322" s="569"/>
      <c r="F322" s="73" t="s">
        <v>236</v>
      </c>
      <c r="G322" s="169">
        <v>0</v>
      </c>
      <c r="H322" s="169">
        <f>ROUNDUP(0+L322,0)</f>
        <v>0</v>
      </c>
      <c r="I322" s="75" t="str">
        <f>IF(G322&gt;0,H322/G322*100,"-")</f>
        <v>-</v>
      </c>
      <c r="J322" s="169">
        <v>0</v>
      </c>
      <c r="K322" s="169">
        <v>0</v>
      </c>
      <c r="L322" s="82">
        <v>0</v>
      </c>
      <c r="M322" s="123" t="str">
        <f t="shared" si="21"/>
        <v>-</v>
      </c>
      <c r="N322" s="675"/>
    </row>
    <row r="323" spans="1:14" ht="10.5" customHeight="1" outlineLevel="1">
      <c r="A323" s="572"/>
      <c r="B323" s="71"/>
      <c r="C323" s="472"/>
      <c r="D323" s="569"/>
      <c r="E323" s="569"/>
      <c r="F323" s="73" t="s">
        <v>23</v>
      </c>
      <c r="G323" s="169">
        <v>0</v>
      </c>
      <c r="H323" s="169">
        <f>ROUNDUP(0+L323,0)</f>
        <v>0</v>
      </c>
      <c r="I323" s="75" t="str">
        <f>IF(G323&gt;0,H323/G323*100,"-")</f>
        <v>-</v>
      </c>
      <c r="J323" s="169">
        <v>0</v>
      </c>
      <c r="K323" s="169">
        <v>0</v>
      </c>
      <c r="L323" s="82">
        <v>0</v>
      </c>
      <c r="M323" s="123" t="str">
        <f t="shared" si="21"/>
        <v>-</v>
      </c>
      <c r="N323" s="675"/>
    </row>
    <row r="324" spans="1:14" ht="3.75" customHeight="1" outlineLevel="1">
      <c r="A324" s="141"/>
      <c r="B324" s="78"/>
      <c r="C324" s="473"/>
      <c r="D324" s="77"/>
      <c r="E324" s="77"/>
      <c r="F324" s="78"/>
      <c r="G324" s="259"/>
      <c r="H324" s="259"/>
      <c r="I324" s="78"/>
      <c r="J324" s="259"/>
      <c r="K324" s="171"/>
      <c r="L324" s="80"/>
      <c r="M324" s="123"/>
      <c r="N324" s="474"/>
    </row>
    <row r="325" spans="1:14" ht="3.75" customHeight="1" outlineLevel="1">
      <c r="A325" s="468"/>
      <c r="B325" s="67"/>
      <c r="C325" s="469"/>
      <c r="D325" s="66"/>
      <c r="E325" s="66"/>
      <c r="F325" s="67"/>
      <c r="G325" s="167"/>
      <c r="H325" s="167"/>
      <c r="I325" s="70"/>
      <c r="J325" s="167"/>
      <c r="K325" s="166"/>
      <c r="L325" s="69"/>
      <c r="M325" s="133"/>
      <c r="N325" s="470"/>
    </row>
    <row r="326" spans="1:14" ht="10.5" customHeight="1" outlineLevel="1">
      <c r="A326" s="572" t="s">
        <v>56</v>
      </c>
      <c r="B326" s="71" t="s">
        <v>29</v>
      </c>
      <c r="C326" s="471" t="s">
        <v>243</v>
      </c>
      <c r="D326" s="569" t="s">
        <v>244</v>
      </c>
      <c r="E326" s="569" t="s">
        <v>59</v>
      </c>
      <c r="F326" s="72" t="s">
        <v>30</v>
      </c>
      <c r="G326" s="168">
        <f>SUM(G327:G330)</f>
        <v>435384</v>
      </c>
      <c r="H326" s="168">
        <f>SUM(H327:H330)</f>
        <v>395384</v>
      </c>
      <c r="I326" s="36">
        <f>IF(G326&gt;0,H326/G326*100,"-")</f>
        <v>90.81270786248461</v>
      </c>
      <c r="J326" s="168">
        <f>SUM(J327:J330)</f>
        <v>40000</v>
      </c>
      <c r="K326" s="168">
        <f>SUM(K327:K330)</f>
        <v>40000</v>
      </c>
      <c r="L326" s="35">
        <f>SUM(L327:L330)</f>
        <v>0</v>
      </c>
      <c r="M326" s="123">
        <f t="shared" si="21"/>
        <v>0</v>
      </c>
      <c r="N326" s="675" t="s">
        <v>245</v>
      </c>
    </row>
    <row r="327" spans="1:14" ht="10.5" customHeight="1" outlineLevel="1">
      <c r="A327" s="572"/>
      <c r="B327" s="71"/>
      <c r="C327" s="475" t="s">
        <v>246</v>
      </c>
      <c r="D327" s="569"/>
      <c r="E327" s="569"/>
      <c r="F327" s="73" t="s">
        <v>18</v>
      </c>
      <c r="G327" s="169">
        <v>435384</v>
      </c>
      <c r="H327" s="169">
        <f>ROUNDUP(395383.5+L327,0)</f>
        <v>395384</v>
      </c>
      <c r="I327" s="75">
        <f>IF(G327&gt;0,H327/G327*100,"-")</f>
        <v>90.81270786248461</v>
      </c>
      <c r="J327" s="169">
        <v>40000</v>
      </c>
      <c r="K327" s="169">
        <v>40000</v>
      </c>
      <c r="L327" s="76">
        <v>0</v>
      </c>
      <c r="M327" s="123">
        <f t="shared" si="21"/>
        <v>0</v>
      </c>
      <c r="N327" s="675"/>
    </row>
    <row r="328" spans="1:14" ht="10.5" customHeight="1" outlineLevel="1">
      <c r="A328" s="572"/>
      <c r="B328" s="71" t="s">
        <v>24</v>
      </c>
      <c r="C328" s="475" t="s">
        <v>247</v>
      </c>
      <c r="D328" s="569"/>
      <c r="E328" s="569"/>
      <c r="F328" s="73" t="s">
        <v>236</v>
      </c>
      <c r="G328" s="169">
        <v>0</v>
      </c>
      <c r="H328" s="169">
        <f>ROUNDUP(0+L328,0)</f>
        <v>0</v>
      </c>
      <c r="I328" s="75" t="str">
        <f>IF(G328&gt;0,H328/G328*100,"-")</f>
        <v>-</v>
      </c>
      <c r="J328" s="169">
        <v>0</v>
      </c>
      <c r="K328" s="169">
        <v>0</v>
      </c>
      <c r="L328" s="82">
        <v>0</v>
      </c>
      <c r="M328" s="123" t="str">
        <f t="shared" si="21"/>
        <v>-</v>
      </c>
      <c r="N328" s="675"/>
    </row>
    <row r="329" spans="1:14" ht="10.5" customHeight="1" outlineLevel="1">
      <c r="A329" s="572"/>
      <c r="B329" s="71"/>
      <c r="C329" s="475" t="s">
        <v>248</v>
      </c>
      <c r="D329" s="569"/>
      <c r="E329" s="569"/>
      <c r="F329" s="73" t="s">
        <v>23</v>
      </c>
      <c r="G329" s="169">
        <v>0</v>
      </c>
      <c r="H329" s="169">
        <f>ROUNDUP(0+L329,0)</f>
        <v>0</v>
      </c>
      <c r="I329" s="75" t="str">
        <f>IF(G329&gt;0,H329/G329*100,"-")</f>
        <v>-</v>
      </c>
      <c r="J329" s="169">
        <v>0</v>
      </c>
      <c r="K329" s="169">
        <v>0</v>
      </c>
      <c r="L329" s="82">
        <v>0</v>
      </c>
      <c r="M329" s="123" t="str">
        <f t="shared" si="21"/>
        <v>-</v>
      </c>
      <c r="N329" s="675"/>
    </row>
    <row r="330" spans="1:14" ht="10.5" customHeight="1" outlineLevel="1">
      <c r="A330" s="572"/>
      <c r="B330" s="71"/>
      <c r="C330" s="471" t="s">
        <v>249</v>
      </c>
      <c r="D330" s="569"/>
      <c r="E330" s="569"/>
      <c r="F330" s="73"/>
      <c r="G330" s="169"/>
      <c r="H330" s="169"/>
      <c r="I330" s="75"/>
      <c r="J330" s="169"/>
      <c r="K330" s="170"/>
      <c r="L330" s="82"/>
      <c r="M330" s="123"/>
      <c r="N330" s="675"/>
    </row>
    <row r="331" spans="1:14" ht="3.75" customHeight="1" outlineLevel="1">
      <c r="A331" s="141"/>
      <c r="B331" s="78"/>
      <c r="C331" s="473"/>
      <c r="D331" s="77"/>
      <c r="E331" s="77"/>
      <c r="F331" s="78"/>
      <c r="G331" s="259"/>
      <c r="H331" s="259"/>
      <c r="I331" s="78"/>
      <c r="J331" s="259"/>
      <c r="K331" s="171"/>
      <c r="L331" s="80"/>
      <c r="M331" s="123"/>
      <c r="N331" s="474"/>
    </row>
    <row r="332" spans="1:15" ht="3.75" customHeight="1" outlineLevel="1">
      <c r="A332" s="468"/>
      <c r="B332" s="67"/>
      <c r="C332" s="469"/>
      <c r="D332" s="66"/>
      <c r="E332" s="66"/>
      <c r="F332" s="67"/>
      <c r="G332" s="167"/>
      <c r="H332" s="167"/>
      <c r="I332" s="70"/>
      <c r="J332" s="167"/>
      <c r="K332" s="166"/>
      <c r="L332" s="69"/>
      <c r="M332" s="133"/>
      <c r="N332" s="476"/>
      <c r="O332" s="126"/>
    </row>
    <row r="333" spans="1:14" ht="10.5" customHeight="1" outlineLevel="1">
      <c r="A333" s="572" t="s">
        <v>61</v>
      </c>
      <c r="B333" s="71" t="s">
        <v>29</v>
      </c>
      <c r="C333" s="471" t="s">
        <v>250</v>
      </c>
      <c r="D333" s="569" t="s">
        <v>251</v>
      </c>
      <c r="E333" s="569" t="s">
        <v>59</v>
      </c>
      <c r="F333" s="72" t="s">
        <v>30</v>
      </c>
      <c r="G333" s="168">
        <f>SUM(G334:G336)</f>
        <v>6495236</v>
      </c>
      <c r="H333" s="168">
        <f>SUM(H334:H336)</f>
        <v>695234</v>
      </c>
      <c r="I333" s="36">
        <f>IF(G333&gt;0,H333/G333*100,"-")</f>
        <v>10.703752719685628</v>
      </c>
      <c r="J333" s="168">
        <f>SUM(J334:J336)</f>
        <v>0</v>
      </c>
      <c r="K333" s="168">
        <f>SUM(K334:K336)</f>
        <v>0</v>
      </c>
      <c r="L333" s="35">
        <f>SUM(L334:L336)</f>
        <v>0</v>
      </c>
      <c r="M333" s="123" t="str">
        <f t="shared" si="21"/>
        <v>-</v>
      </c>
      <c r="N333" s="676" t="s">
        <v>252</v>
      </c>
    </row>
    <row r="334" spans="1:14" ht="10.5" customHeight="1" outlineLevel="1">
      <c r="A334" s="572"/>
      <c r="B334" s="71"/>
      <c r="C334" s="475" t="s">
        <v>253</v>
      </c>
      <c r="D334" s="569"/>
      <c r="E334" s="569"/>
      <c r="F334" s="73" t="s">
        <v>18</v>
      </c>
      <c r="G334" s="169">
        <v>6495236</v>
      </c>
      <c r="H334" s="170">
        <f>ROUNDUP(695234+L334,0)</f>
        <v>695234</v>
      </c>
      <c r="I334" s="75">
        <f>IF(G334&gt;0,H334/G334*100,"-")</f>
        <v>10.703752719685628</v>
      </c>
      <c r="J334" s="169">
        <v>0</v>
      </c>
      <c r="K334" s="169">
        <v>0</v>
      </c>
      <c r="L334" s="76">
        <v>0</v>
      </c>
      <c r="M334" s="123" t="str">
        <f t="shared" si="21"/>
        <v>-</v>
      </c>
      <c r="N334" s="676"/>
    </row>
    <row r="335" spans="1:14" ht="10.5" customHeight="1" outlineLevel="1">
      <c r="A335" s="572"/>
      <c r="B335" s="71" t="s">
        <v>24</v>
      </c>
      <c r="C335" s="475" t="s">
        <v>254</v>
      </c>
      <c r="D335" s="569"/>
      <c r="E335" s="569"/>
      <c r="F335" s="73" t="s">
        <v>236</v>
      </c>
      <c r="G335" s="169">
        <v>0</v>
      </c>
      <c r="H335" s="169">
        <f>ROUNDUP(0+L335,0)</f>
        <v>0</v>
      </c>
      <c r="I335" s="75" t="str">
        <f>IF(G335&gt;0,H335/G335*100,"-")</f>
        <v>-</v>
      </c>
      <c r="J335" s="169">
        <v>0</v>
      </c>
      <c r="K335" s="169">
        <v>0</v>
      </c>
      <c r="L335" s="82">
        <v>0</v>
      </c>
      <c r="M335" s="123" t="str">
        <f t="shared" si="21"/>
        <v>-</v>
      </c>
      <c r="N335" s="676"/>
    </row>
    <row r="336" spans="1:14" ht="10.5" customHeight="1" outlineLevel="1">
      <c r="A336" s="572"/>
      <c r="B336" s="71"/>
      <c r="C336" s="471" t="s">
        <v>255</v>
      </c>
      <c r="D336" s="569"/>
      <c r="E336" s="569"/>
      <c r="F336" s="73" t="s">
        <v>23</v>
      </c>
      <c r="G336" s="169">
        <v>0</v>
      </c>
      <c r="H336" s="169">
        <f>ROUNDUP(0+L336,0)</f>
        <v>0</v>
      </c>
      <c r="I336" s="75" t="str">
        <f>IF(G336&gt;0,H336/G336*100,"-")</f>
        <v>-</v>
      </c>
      <c r="J336" s="169">
        <v>0</v>
      </c>
      <c r="K336" s="169">
        <v>0</v>
      </c>
      <c r="L336" s="82">
        <v>0</v>
      </c>
      <c r="M336" s="123" t="str">
        <f t="shared" si="21"/>
        <v>-</v>
      </c>
      <c r="N336" s="676"/>
    </row>
    <row r="337" spans="1:14" ht="3.75" customHeight="1" outlineLevel="1">
      <c r="A337" s="141"/>
      <c r="B337" s="78"/>
      <c r="C337" s="473"/>
      <c r="D337" s="77"/>
      <c r="E337" s="77"/>
      <c r="F337" s="78"/>
      <c r="G337" s="259"/>
      <c r="H337" s="259"/>
      <c r="I337" s="78"/>
      <c r="J337" s="259"/>
      <c r="K337" s="171"/>
      <c r="L337" s="80"/>
      <c r="M337" s="123"/>
      <c r="N337" s="478"/>
    </row>
    <row r="338" spans="1:14" ht="3.75" customHeight="1" outlineLevel="1">
      <c r="A338" s="468"/>
      <c r="B338" s="67"/>
      <c r="C338" s="469"/>
      <c r="D338" s="66"/>
      <c r="E338" s="66"/>
      <c r="F338" s="67"/>
      <c r="G338" s="167"/>
      <c r="H338" s="167"/>
      <c r="I338" s="70"/>
      <c r="J338" s="167"/>
      <c r="K338" s="166"/>
      <c r="L338" s="69"/>
      <c r="M338" s="133"/>
      <c r="N338" s="470"/>
    </row>
    <row r="339" spans="1:14" ht="10.5" customHeight="1" outlineLevel="1">
      <c r="A339" s="572" t="s">
        <v>79</v>
      </c>
      <c r="B339" s="71" t="s">
        <v>29</v>
      </c>
      <c r="C339" s="471" t="s">
        <v>256</v>
      </c>
      <c r="D339" s="569" t="s">
        <v>257</v>
      </c>
      <c r="E339" s="569" t="s">
        <v>59</v>
      </c>
      <c r="F339" s="72" t="s">
        <v>30</v>
      </c>
      <c r="G339" s="168">
        <f>SUM(G340:G342)</f>
        <v>2558166</v>
      </c>
      <c r="H339" s="168">
        <f>SUM(H340:H342)</f>
        <v>0</v>
      </c>
      <c r="I339" s="36">
        <f>IF(G339&gt;0,H339/G339*100,"-")</f>
        <v>0</v>
      </c>
      <c r="J339" s="168">
        <f>SUM(J340:J342)</f>
        <v>0</v>
      </c>
      <c r="K339" s="168">
        <f>SUM(K340:K342)</f>
        <v>0</v>
      </c>
      <c r="L339" s="35">
        <f>SUM(L340:L342)</f>
        <v>0</v>
      </c>
      <c r="M339" s="123" t="str">
        <f t="shared" si="21"/>
        <v>-</v>
      </c>
      <c r="N339" s="677" t="s">
        <v>258</v>
      </c>
    </row>
    <row r="340" spans="1:14" ht="10.5" customHeight="1" outlineLevel="1">
      <c r="A340" s="572"/>
      <c r="B340" s="71"/>
      <c r="C340" s="475" t="s">
        <v>259</v>
      </c>
      <c r="D340" s="569"/>
      <c r="E340" s="569"/>
      <c r="F340" s="73" t="s">
        <v>18</v>
      </c>
      <c r="G340" s="169">
        <v>2558166</v>
      </c>
      <c r="H340" s="169">
        <f>ROUNDUP(0+L340,0)</f>
        <v>0</v>
      </c>
      <c r="I340" s="75">
        <f>IF(G340&gt;0,H340/G340*100,"-")</f>
        <v>0</v>
      </c>
      <c r="J340" s="169">
        <v>0</v>
      </c>
      <c r="K340" s="169">
        <v>0</v>
      </c>
      <c r="L340" s="76">
        <v>0</v>
      </c>
      <c r="M340" s="123" t="str">
        <f t="shared" si="21"/>
        <v>-</v>
      </c>
      <c r="N340" s="677"/>
    </row>
    <row r="341" spans="1:14" ht="10.5" customHeight="1" outlineLevel="1">
      <c r="A341" s="572"/>
      <c r="B341" s="71" t="s">
        <v>24</v>
      </c>
      <c r="C341" s="475" t="s">
        <v>260</v>
      </c>
      <c r="D341" s="569"/>
      <c r="E341" s="569"/>
      <c r="F341" s="73" t="s">
        <v>236</v>
      </c>
      <c r="G341" s="169">
        <v>0</v>
      </c>
      <c r="H341" s="169">
        <f>ROUNDUP(0+L341,0)</f>
        <v>0</v>
      </c>
      <c r="I341" s="75" t="str">
        <f>IF(G341&gt;0,H341/G341*100,"-")</f>
        <v>-</v>
      </c>
      <c r="J341" s="169">
        <v>0</v>
      </c>
      <c r="K341" s="169">
        <v>0</v>
      </c>
      <c r="L341" s="82">
        <v>0</v>
      </c>
      <c r="M341" s="123" t="str">
        <f t="shared" si="21"/>
        <v>-</v>
      </c>
      <c r="N341" s="677"/>
    </row>
    <row r="342" spans="1:14" ht="10.5" customHeight="1" outlineLevel="1">
      <c r="A342" s="572"/>
      <c r="B342" s="71"/>
      <c r="C342" s="475" t="s">
        <v>259</v>
      </c>
      <c r="D342" s="569"/>
      <c r="E342" s="569"/>
      <c r="F342" s="73" t="s">
        <v>23</v>
      </c>
      <c r="G342" s="169">
        <v>0</v>
      </c>
      <c r="H342" s="169">
        <f>ROUNDUP(0+L342,0)</f>
        <v>0</v>
      </c>
      <c r="I342" s="75" t="str">
        <f>IF(G342&gt;0,H342/G342*100,"-")</f>
        <v>-</v>
      </c>
      <c r="J342" s="169">
        <v>0</v>
      </c>
      <c r="K342" s="169">
        <v>0</v>
      </c>
      <c r="L342" s="82">
        <v>0</v>
      </c>
      <c r="M342" s="123" t="str">
        <f t="shared" si="21"/>
        <v>-</v>
      </c>
      <c r="N342" s="677"/>
    </row>
    <row r="343" spans="1:14" ht="3.75" customHeight="1" outlineLevel="1">
      <c r="A343" s="141"/>
      <c r="B343" s="78"/>
      <c r="C343" s="473"/>
      <c r="D343" s="77"/>
      <c r="E343" s="77"/>
      <c r="F343" s="78"/>
      <c r="G343" s="259"/>
      <c r="H343" s="259"/>
      <c r="I343" s="78"/>
      <c r="J343" s="259"/>
      <c r="K343" s="171"/>
      <c r="L343" s="80"/>
      <c r="M343" s="125"/>
      <c r="N343" s="479"/>
    </row>
    <row r="344" spans="1:14" ht="3.75" customHeight="1">
      <c r="A344" s="56"/>
      <c r="B344" s="57"/>
      <c r="C344" s="462"/>
      <c r="D344" s="58"/>
      <c r="E344" s="58"/>
      <c r="F344" s="56"/>
      <c r="G344" s="162"/>
      <c r="H344" s="162"/>
      <c r="I344" s="60"/>
      <c r="J344" s="162"/>
      <c r="K344" s="162"/>
      <c r="L344" s="59"/>
      <c r="M344" s="60"/>
      <c r="N344" s="463"/>
    </row>
    <row r="345" spans="1:14" ht="11.25" customHeight="1">
      <c r="A345" s="26" t="s">
        <v>56</v>
      </c>
      <c r="B345" s="585" t="s">
        <v>97</v>
      </c>
      <c r="C345" s="586"/>
      <c r="D345" s="27"/>
      <c r="E345" s="27"/>
      <c r="F345" s="28"/>
      <c r="G345" s="344">
        <f>SUM(G346:G348)</f>
        <v>15462033</v>
      </c>
      <c r="H345" s="163">
        <f>SUM(H346:H348)</f>
        <v>11471152</v>
      </c>
      <c r="I345" s="30">
        <f>IF(G345&gt;0,H345/G345*100,"-")</f>
        <v>74.18915740252268</v>
      </c>
      <c r="J345" s="163">
        <f>SUM(J346:J348)</f>
        <v>1970100</v>
      </c>
      <c r="K345" s="163">
        <f>SUM(K346:K348)</f>
        <v>1970100</v>
      </c>
      <c r="L345" s="29">
        <f>SUM(L346:L348)</f>
        <v>245322.4</v>
      </c>
      <c r="M345" s="30">
        <f>IF(K345&gt;0,L345/K345*100,"-")</f>
        <v>12.452281610070555</v>
      </c>
      <c r="N345" s="464"/>
    </row>
    <row r="346" spans="1:14" ht="11.25" customHeight="1">
      <c r="A346" s="28"/>
      <c r="B346" s="31"/>
      <c r="C346" s="465"/>
      <c r="D346" s="27"/>
      <c r="E346" s="27"/>
      <c r="F346" s="32" t="s">
        <v>18</v>
      </c>
      <c r="G346" s="480">
        <f aca="true" t="shared" si="22" ref="G346:H348">G352+G359+G373+G387</f>
        <v>15462033</v>
      </c>
      <c r="H346" s="480">
        <f t="shared" si="22"/>
        <v>11471152</v>
      </c>
      <c r="I346" s="34">
        <f>IF(G346&gt;0,H346/G346*100,"-")</f>
        <v>74.18915740252268</v>
      </c>
      <c r="J346" s="480">
        <f>J352+J359+J373+J387</f>
        <v>1970100</v>
      </c>
      <c r="K346" s="480">
        <f>K352+K359+K373+K387</f>
        <v>1970100</v>
      </c>
      <c r="L346" s="481">
        <f>L352+L359+L373+L387</f>
        <v>245322.4</v>
      </c>
      <c r="M346" s="34">
        <f>IF(K346&gt;0,L346/K346*100,"-")</f>
        <v>12.452281610070555</v>
      </c>
      <c r="N346" s="464"/>
    </row>
    <row r="347" spans="1:14" ht="11.25" customHeight="1">
      <c r="A347" s="28"/>
      <c r="B347" s="31"/>
      <c r="C347" s="465"/>
      <c r="D347" s="27"/>
      <c r="E347" s="27"/>
      <c r="F347" s="32" t="s">
        <v>236</v>
      </c>
      <c r="G347" s="480">
        <f t="shared" si="22"/>
        <v>0</v>
      </c>
      <c r="H347" s="480">
        <f t="shared" si="22"/>
        <v>0</v>
      </c>
      <c r="I347" s="34" t="str">
        <f>IF(G347&gt;0,H347/G347*100,"-")</f>
        <v>-</v>
      </c>
      <c r="J347" s="480">
        <f aca="true" t="shared" si="23" ref="J347:L348">J353+J360+J374+J388</f>
        <v>0</v>
      </c>
      <c r="K347" s="480">
        <f t="shared" si="23"/>
        <v>0</v>
      </c>
      <c r="L347" s="481">
        <f t="shared" si="23"/>
        <v>0</v>
      </c>
      <c r="M347" s="34" t="str">
        <f>IF(K347&gt;0,L347/K347*100,"-")</f>
        <v>-</v>
      </c>
      <c r="N347" s="464"/>
    </row>
    <row r="348" spans="1:14" ht="11.25" customHeight="1">
      <c r="A348" s="28"/>
      <c r="B348" s="31"/>
      <c r="C348" s="465"/>
      <c r="D348" s="27"/>
      <c r="E348" s="27"/>
      <c r="F348" s="32" t="s">
        <v>23</v>
      </c>
      <c r="G348" s="480">
        <f t="shared" si="22"/>
        <v>0</v>
      </c>
      <c r="H348" s="480">
        <f t="shared" si="22"/>
        <v>0</v>
      </c>
      <c r="I348" s="34" t="str">
        <f>IF(G348&gt;0,H348/G348*100,"-")</f>
        <v>-</v>
      </c>
      <c r="J348" s="480">
        <f t="shared" si="23"/>
        <v>0</v>
      </c>
      <c r="K348" s="480">
        <f t="shared" si="23"/>
        <v>0</v>
      </c>
      <c r="L348" s="481">
        <f t="shared" si="23"/>
        <v>0</v>
      </c>
      <c r="M348" s="34" t="str">
        <f>IF(K348&gt;0,L348/K348*100,"-")</f>
        <v>-</v>
      </c>
      <c r="N348" s="464"/>
    </row>
    <row r="349" spans="1:14" ht="3.75" customHeight="1">
      <c r="A349" s="61"/>
      <c r="B349" s="62"/>
      <c r="C349" s="466"/>
      <c r="D349" s="63"/>
      <c r="E349" s="63"/>
      <c r="F349" s="61"/>
      <c r="G349" s="165"/>
      <c r="H349" s="165"/>
      <c r="I349" s="65"/>
      <c r="J349" s="165"/>
      <c r="K349" s="165"/>
      <c r="L349" s="64"/>
      <c r="M349" s="65"/>
      <c r="N349" s="467"/>
    </row>
    <row r="350" spans="1:14" ht="3.75" customHeight="1" outlineLevel="1">
      <c r="A350" s="468"/>
      <c r="B350" s="67"/>
      <c r="C350" s="469"/>
      <c r="D350" s="66"/>
      <c r="E350" s="66"/>
      <c r="F350" s="67"/>
      <c r="G350" s="167"/>
      <c r="H350" s="167"/>
      <c r="I350" s="70"/>
      <c r="J350" s="167"/>
      <c r="K350" s="166"/>
      <c r="L350" s="69"/>
      <c r="M350" s="70"/>
      <c r="N350" s="470"/>
    </row>
    <row r="351" spans="1:14" ht="10.5" customHeight="1" outlineLevel="1">
      <c r="A351" s="572" t="s">
        <v>138</v>
      </c>
      <c r="B351" s="71" t="s">
        <v>29</v>
      </c>
      <c r="C351" s="471" t="s">
        <v>261</v>
      </c>
      <c r="D351" s="569" t="s">
        <v>262</v>
      </c>
      <c r="E351" s="569" t="s">
        <v>263</v>
      </c>
      <c r="F351" s="72" t="s">
        <v>30</v>
      </c>
      <c r="G351" s="168">
        <f>SUM(G352:G355)</f>
        <v>2038455</v>
      </c>
      <c r="H351" s="168">
        <f>SUM(H352:H355)</f>
        <v>1966036</v>
      </c>
      <c r="I351" s="36">
        <f>IF(G351&gt;0,H351/G351*100,"-")</f>
        <v>96.4473584160553</v>
      </c>
      <c r="J351" s="168">
        <f>SUM(J352:J355)</f>
        <v>47853</v>
      </c>
      <c r="K351" s="168">
        <f>SUM(K352:K355)</f>
        <v>47853</v>
      </c>
      <c r="L351" s="35">
        <f>SUM(L352:L355)</f>
        <v>1851.15</v>
      </c>
      <c r="M351" s="36">
        <f>IF(K351&gt;0,L351/K351*100,"-")</f>
        <v>3.868409504106326</v>
      </c>
      <c r="N351" s="675" t="s">
        <v>264</v>
      </c>
    </row>
    <row r="352" spans="1:14" ht="10.5" customHeight="1" outlineLevel="1">
      <c r="A352" s="572"/>
      <c r="B352" s="71"/>
      <c r="C352" s="472" t="s">
        <v>265</v>
      </c>
      <c r="D352" s="569"/>
      <c r="E352" s="569"/>
      <c r="F352" s="73" t="s">
        <v>18</v>
      </c>
      <c r="G352" s="169">
        <v>2038455</v>
      </c>
      <c r="H352" s="482">
        <f>ROUNDUP(1964184+L352,0)</f>
        <v>1966036</v>
      </c>
      <c r="I352" s="75">
        <f>IF(G352&gt;0,H352/G352*100,"-")</f>
        <v>96.4473584160553</v>
      </c>
      <c r="J352" s="169">
        <v>47853</v>
      </c>
      <c r="K352" s="169">
        <v>47853</v>
      </c>
      <c r="L352" s="76">
        <v>1851.15</v>
      </c>
      <c r="M352" s="75">
        <f>IF(K352&gt;0,L352/K352*100,"-")</f>
        <v>3.868409504106326</v>
      </c>
      <c r="N352" s="675"/>
    </row>
    <row r="353" spans="1:14" ht="10.5" customHeight="1" outlineLevel="1">
      <c r="A353" s="572"/>
      <c r="B353" s="71"/>
      <c r="C353" s="471" t="s">
        <v>266</v>
      </c>
      <c r="D353" s="569"/>
      <c r="E353" s="569"/>
      <c r="F353" s="73" t="s">
        <v>236</v>
      </c>
      <c r="G353" s="169">
        <v>0</v>
      </c>
      <c r="H353" s="170">
        <f>ROUNDUP(0+L353,0)</f>
        <v>0</v>
      </c>
      <c r="I353" s="75" t="str">
        <f>IF(G353&gt;0,H353/G353*100,"-")</f>
        <v>-</v>
      </c>
      <c r="J353" s="169">
        <v>0</v>
      </c>
      <c r="K353" s="169">
        <v>0</v>
      </c>
      <c r="L353" s="76">
        <v>0</v>
      </c>
      <c r="M353" s="75" t="str">
        <f>IF(K353&gt;0,L353/K353*100,"-")</f>
        <v>-</v>
      </c>
      <c r="N353" s="675"/>
    </row>
    <row r="354" spans="1:14" ht="10.5" customHeight="1" outlineLevel="1">
      <c r="A354" s="572"/>
      <c r="B354" s="71"/>
      <c r="C354" s="471" t="s">
        <v>267</v>
      </c>
      <c r="D354" s="569"/>
      <c r="E354" s="569"/>
      <c r="F354" s="73" t="s">
        <v>23</v>
      </c>
      <c r="G354" s="169">
        <v>0</v>
      </c>
      <c r="H354" s="170">
        <f>ROUNDUP(0+L354,0)</f>
        <v>0</v>
      </c>
      <c r="I354" s="75" t="str">
        <f>IF(G354&gt;0,H354/G354*100,"-")</f>
        <v>-</v>
      </c>
      <c r="J354" s="169">
        <v>0</v>
      </c>
      <c r="K354" s="169">
        <v>0</v>
      </c>
      <c r="L354" s="76">
        <v>0</v>
      </c>
      <c r="M354" s="75" t="str">
        <f>IF(K354&gt;0,L354/K354*100,"-")</f>
        <v>-</v>
      </c>
      <c r="N354" s="675"/>
    </row>
    <row r="355" spans="1:14" ht="10.5" customHeight="1" outlineLevel="1">
      <c r="A355" s="572"/>
      <c r="B355" s="71" t="s">
        <v>24</v>
      </c>
      <c r="C355" s="472" t="s">
        <v>268</v>
      </c>
      <c r="D355" s="569"/>
      <c r="E355" s="569"/>
      <c r="F355" s="73"/>
      <c r="G355" s="169"/>
      <c r="H355" s="170"/>
      <c r="I355" s="75"/>
      <c r="J355" s="169"/>
      <c r="K355" s="169"/>
      <c r="L355" s="76"/>
      <c r="M355" s="75"/>
      <c r="N355" s="675"/>
    </row>
    <row r="356" spans="1:14" ht="6.75" customHeight="1" outlineLevel="1">
      <c r="A356" s="96"/>
      <c r="B356" s="71"/>
      <c r="C356" s="472"/>
      <c r="D356" s="95"/>
      <c r="E356" s="95"/>
      <c r="F356" s="111"/>
      <c r="G356" s="172"/>
      <c r="H356" s="445"/>
      <c r="I356" s="191"/>
      <c r="J356" s="172"/>
      <c r="K356" s="170"/>
      <c r="L356" s="82"/>
      <c r="M356" s="75"/>
      <c r="N356" s="675"/>
    </row>
    <row r="357" spans="1:14" ht="3.75" customHeight="1" outlineLevel="1">
      <c r="A357" s="468"/>
      <c r="B357" s="67"/>
      <c r="C357" s="469"/>
      <c r="D357" s="66"/>
      <c r="E357" s="66"/>
      <c r="F357" s="67"/>
      <c r="G357" s="167"/>
      <c r="H357" s="483"/>
      <c r="I357" s="70"/>
      <c r="J357" s="167"/>
      <c r="K357" s="166"/>
      <c r="L357" s="69"/>
      <c r="M357" s="70"/>
      <c r="N357" s="484"/>
    </row>
    <row r="358" spans="1:14" ht="10.5" customHeight="1" outlineLevel="1">
      <c r="A358" s="572" t="s">
        <v>141</v>
      </c>
      <c r="B358" s="71" t="s">
        <v>29</v>
      </c>
      <c r="C358" s="471" t="s">
        <v>269</v>
      </c>
      <c r="D358" s="569" t="s">
        <v>270</v>
      </c>
      <c r="E358" s="569"/>
      <c r="F358" s="72" t="s">
        <v>30</v>
      </c>
      <c r="G358" s="168">
        <f>SUM(G359:G361)</f>
        <v>9718566</v>
      </c>
      <c r="H358" s="175">
        <f>SUM(H359:H361)</f>
        <v>6313482</v>
      </c>
      <c r="I358" s="36">
        <f>IF(G358&gt;0,H358/G358*100,"-")</f>
        <v>64.96310258118328</v>
      </c>
      <c r="J358" s="168">
        <f>SUM(J359:J361)</f>
        <v>1393647</v>
      </c>
      <c r="K358" s="168">
        <f>SUM(K359:K361)</f>
        <v>1393647</v>
      </c>
      <c r="L358" s="35">
        <f>SUM(L359:L361)</f>
        <v>219178.75</v>
      </c>
      <c r="M358" s="36">
        <f>IF(K358&gt;0,L358/K358*100,"-")</f>
        <v>15.726991842267088</v>
      </c>
      <c r="N358" s="675" t="s">
        <v>271</v>
      </c>
    </row>
    <row r="359" spans="1:14" ht="10.5" customHeight="1" outlineLevel="1">
      <c r="A359" s="572"/>
      <c r="B359" s="71" t="s">
        <v>24</v>
      </c>
      <c r="C359" s="472" t="s">
        <v>272</v>
      </c>
      <c r="D359" s="569"/>
      <c r="E359" s="569"/>
      <c r="F359" s="73" t="s">
        <v>18</v>
      </c>
      <c r="G359" s="169">
        <f aca="true" t="shared" si="24" ref="G359:H361">G363+G367</f>
        <v>9718566</v>
      </c>
      <c r="H359" s="170">
        <f t="shared" si="24"/>
        <v>6313482</v>
      </c>
      <c r="I359" s="75">
        <f>IF(G359&gt;0,H359/G359*100,"-")</f>
        <v>64.96310258118328</v>
      </c>
      <c r="J359" s="169">
        <f aca="true" t="shared" si="25" ref="J359:L361">J363+J367</f>
        <v>1393647</v>
      </c>
      <c r="K359" s="169">
        <f t="shared" si="25"/>
        <v>1393647</v>
      </c>
      <c r="L359" s="74">
        <f t="shared" si="25"/>
        <v>219178.75</v>
      </c>
      <c r="M359" s="75">
        <f>IF(K359&gt;0,L359/K359*100,"-")</f>
        <v>15.726991842267088</v>
      </c>
      <c r="N359" s="675"/>
    </row>
    <row r="360" spans="1:14" ht="10.5" customHeight="1" outlineLevel="1">
      <c r="A360" s="572"/>
      <c r="B360" s="71"/>
      <c r="C360" s="472"/>
      <c r="D360" s="569"/>
      <c r="E360" s="569"/>
      <c r="F360" s="73" t="s">
        <v>236</v>
      </c>
      <c r="G360" s="169">
        <f t="shared" si="24"/>
        <v>0</v>
      </c>
      <c r="H360" s="170">
        <f t="shared" si="24"/>
        <v>0</v>
      </c>
      <c r="I360" s="75" t="str">
        <f>IF(G360&gt;0,H360/G360*100,"-")</f>
        <v>-</v>
      </c>
      <c r="J360" s="169">
        <f t="shared" si="25"/>
        <v>0</v>
      </c>
      <c r="K360" s="169">
        <f t="shared" si="25"/>
        <v>0</v>
      </c>
      <c r="L360" s="76">
        <f t="shared" si="25"/>
        <v>0</v>
      </c>
      <c r="M360" s="75" t="str">
        <f>IF(K360&gt;0,L360/K360*100,"-")</f>
        <v>-</v>
      </c>
      <c r="N360" s="675"/>
    </row>
    <row r="361" spans="1:14" ht="10.5" customHeight="1" outlineLevel="1">
      <c r="A361" s="572"/>
      <c r="B361" s="71"/>
      <c r="C361" s="472"/>
      <c r="D361" s="569"/>
      <c r="E361" s="569"/>
      <c r="F361" s="73" t="s">
        <v>23</v>
      </c>
      <c r="G361" s="169">
        <f t="shared" si="24"/>
        <v>0</v>
      </c>
      <c r="H361" s="170">
        <f t="shared" si="24"/>
        <v>0</v>
      </c>
      <c r="I361" s="75" t="str">
        <f>IF(G361&gt;0,H361/G361*100,"-")</f>
        <v>-</v>
      </c>
      <c r="J361" s="169">
        <f t="shared" si="25"/>
        <v>0</v>
      </c>
      <c r="K361" s="169">
        <f t="shared" si="25"/>
        <v>0</v>
      </c>
      <c r="L361" s="76">
        <f t="shared" si="25"/>
        <v>0</v>
      </c>
      <c r="M361" s="75" t="str">
        <f>IF(K361&gt;0,L361/K361*100,"-")</f>
        <v>-</v>
      </c>
      <c r="N361" s="675"/>
    </row>
    <row r="362" spans="1:14" ht="6.75" customHeight="1" outlineLevel="1">
      <c r="A362" s="96"/>
      <c r="B362" s="71"/>
      <c r="C362" s="471"/>
      <c r="D362" s="95"/>
      <c r="E362" s="95"/>
      <c r="F362" s="111"/>
      <c r="G362" s="172"/>
      <c r="H362" s="445"/>
      <c r="I362" s="191"/>
      <c r="J362" s="172"/>
      <c r="K362" s="170"/>
      <c r="L362" s="82"/>
      <c r="M362" s="75"/>
      <c r="N362" s="678"/>
    </row>
    <row r="363" spans="1:14" ht="10.5" customHeight="1" outlineLevel="1">
      <c r="A363" s="96"/>
      <c r="B363" s="71"/>
      <c r="C363" s="471"/>
      <c r="D363" s="95"/>
      <c r="E363" s="679" t="s">
        <v>273</v>
      </c>
      <c r="F363" s="485" t="s">
        <v>18</v>
      </c>
      <c r="G363" s="486">
        <v>9258100</v>
      </c>
      <c r="H363" s="482">
        <f>ROUNDUP(5813837+L363,0)</f>
        <v>6033016</v>
      </c>
      <c r="I363" s="487">
        <f>IF(G363&gt;0,H363/G363*100,"-")</f>
        <v>65.16473142437434</v>
      </c>
      <c r="J363" s="486">
        <v>1213647</v>
      </c>
      <c r="K363" s="486">
        <v>1213647</v>
      </c>
      <c r="L363" s="488">
        <v>219178.75</v>
      </c>
      <c r="M363" s="487">
        <f>IF(K363&gt;0,L363/K363*100,"-")</f>
        <v>18.059514010251746</v>
      </c>
      <c r="N363" s="678"/>
    </row>
    <row r="364" spans="1:14" ht="10.5" customHeight="1" outlineLevel="1">
      <c r="A364" s="96"/>
      <c r="B364" s="71"/>
      <c r="C364" s="471"/>
      <c r="D364" s="95"/>
      <c r="E364" s="679"/>
      <c r="F364" s="485" t="s">
        <v>236</v>
      </c>
      <c r="G364" s="486">
        <v>0</v>
      </c>
      <c r="H364" s="482">
        <f>ROUNDUP(0+L364,0)</f>
        <v>0</v>
      </c>
      <c r="I364" s="487" t="str">
        <f>IF(G364&gt;0,H364/G364*100,"-")</f>
        <v>-</v>
      </c>
      <c r="J364" s="486">
        <v>0</v>
      </c>
      <c r="K364" s="486">
        <v>0</v>
      </c>
      <c r="L364" s="489">
        <v>0</v>
      </c>
      <c r="M364" s="487" t="str">
        <f>IF(K364&gt;0,L364/K364*100,"-")</f>
        <v>-</v>
      </c>
      <c r="N364" s="678"/>
    </row>
    <row r="365" spans="1:14" ht="10.5" customHeight="1" outlineLevel="1">
      <c r="A365" s="96"/>
      <c r="B365" s="71"/>
      <c r="C365" s="471"/>
      <c r="D365" s="95"/>
      <c r="E365" s="679"/>
      <c r="F365" s="485" t="s">
        <v>23</v>
      </c>
      <c r="G365" s="486">
        <v>0</v>
      </c>
      <c r="H365" s="482">
        <f>ROUNDUP(0+L365,0)</f>
        <v>0</v>
      </c>
      <c r="I365" s="487" t="str">
        <f>IF(G365&gt;0,H365/G365*100,"-")</f>
        <v>-</v>
      </c>
      <c r="J365" s="486">
        <v>0</v>
      </c>
      <c r="K365" s="486">
        <v>0</v>
      </c>
      <c r="L365" s="489">
        <v>0</v>
      </c>
      <c r="M365" s="487" t="str">
        <f>IF(K365&gt;0,L365/K365*100,"-")</f>
        <v>-</v>
      </c>
      <c r="N365" s="678"/>
    </row>
    <row r="366" spans="1:14" ht="6.75" customHeight="1" outlineLevel="1">
      <c r="A366" s="96"/>
      <c r="B366" s="71"/>
      <c r="C366" s="471"/>
      <c r="D366" s="95"/>
      <c r="E366" s="95"/>
      <c r="F366" s="490"/>
      <c r="G366" s="491"/>
      <c r="H366" s="492"/>
      <c r="I366" s="493"/>
      <c r="J366" s="491"/>
      <c r="K366" s="482"/>
      <c r="L366" s="489"/>
      <c r="M366" s="487"/>
      <c r="N366" s="678"/>
    </row>
    <row r="367" spans="1:14" ht="10.5" customHeight="1" outlineLevel="1">
      <c r="A367" s="96"/>
      <c r="B367" s="71"/>
      <c r="C367" s="471"/>
      <c r="D367" s="95"/>
      <c r="E367" s="679" t="s">
        <v>274</v>
      </c>
      <c r="F367" s="485" t="s">
        <v>18</v>
      </c>
      <c r="G367" s="486">
        <v>460466</v>
      </c>
      <c r="H367" s="482">
        <f>ROUNDUP(280466+L367,0)</f>
        <v>280466</v>
      </c>
      <c r="I367" s="487">
        <f>IF(G367&gt;0,H367/G367*100,"-")</f>
        <v>60.909165931903765</v>
      </c>
      <c r="J367" s="486">
        <v>180000</v>
      </c>
      <c r="K367" s="486">
        <v>180000</v>
      </c>
      <c r="L367" s="488">
        <v>0</v>
      </c>
      <c r="M367" s="487">
        <f>IF(K367&gt;0,L367/K367*100,"-")</f>
        <v>0</v>
      </c>
      <c r="N367" s="678"/>
    </row>
    <row r="368" spans="1:14" ht="10.5" customHeight="1" outlineLevel="1">
      <c r="A368" s="96"/>
      <c r="B368" s="71"/>
      <c r="C368" s="471"/>
      <c r="D368" s="95"/>
      <c r="E368" s="679"/>
      <c r="F368" s="485" t="s">
        <v>236</v>
      </c>
      <c r="G368" s="486">
        <v>0</v>
      </c>
      <c r="H368" s="482">
        <f>ROUNDUP(0+L368,0)</f>
        <v>0</v>
      </c>
      <c r="I368" s="487" t="str">
        <f>IF(G368&gt;0,H368/G368*100,"-")</f>
        <v>-</v>
      </c>
      <c r="J368" s="486">
        <v>0</v>
      </c>
      <c r="K368" s="486">
        <v>0</v>
      </c>
      <c r="L368" s="489">
        <v>0</v>
      </c>
      <c r="M368" s="487" t="str">
        <f>IF(K368&gt;0,L368/K368*100,"-")</f>
        <v>-</v>
      </c>
      <c r="N368" s="678"/>
    </row>
    <row r="369" spans="1:14" ht="10.5" customHeight="1" outlineLevel="1">
      <c r="A369" s="96"/>
      <c r="B369" s="71"/>
      <c r="C369" s="471"/>
      <c r="D369" s="95"/>
      <c r="E369" s="679"/>
      <c r="F369" s="485" t="s">
        <v>23</v>
      </c>
      <c r="G369" s="486">
        <v>0</v>
      </c>
      <c r="H369" s="486">
        <f>ROUNDUP(0+L369,0)</f>
        <v>0</v>
      </c>
      <c r="I369" s="487" t="str">
        <f>IF(G369&gt;0,H369/G369*100,"-")</f>
        <v>-</v>
      </c>
      <c r="J369" s="486">
        <v>0</v>
      </c>
      <c r="K369" s="486">
        <v>0</v>
      </c>
      <c r="L369" s="489">
        <v>0</v>
      </c>
      <c r="M369" s="487" t="str">
        <f>IF(K369&gt;0,L369/K369*100,"-")</f>
        <v>-</v>
      </c>
      <c r="N369" s="678"/>
    </row>
    <row r="370" spans="1:14" ht="3.75" customHeight="1" outlineLevel="1">
      <c r="A370" s="141"/>
      <c r="B370" s="78"/>
      <c r="C370" s="473"/>
      <c r="D370" s="451"/>
      <c r="E370" s="451"/>
      <c r="F370" s="78"/>
      <c r="G370" s="259"/>
      <c r="H370" s="259"/>
      <c r="I370" s="78"/>
      <c r="J370" s="259"/>
      <c r="K370" s="171"/>
      <c r="L370" s="80"/>
      <c r="M370" s="81"/>
      <c r="N370" s="494"/>
    </row>
    <row r="371" spans="1:14" ht="3.75" customHeight="1" outlineLevel="1">
      <c r="A371" s="468"/>
      <c r="B371" s="67"/>
      <c r="C371" s="469"/>
      <c r="D371" s="495"/>
      <c r="E371" s="495"/>
      <c r="F371" s="67"/>
      <c r="G371" s="167"/>
      <c r="H371" s="167"/>
      <c r="I371" s="70"/>
      <c r="J371" s="167"/>
      <c r="K371" s="166"/>
      <c r="L371" s="69"/>
      <c r="M371" s="70"/>
      <c r="N371" s="484"/>
    </row>
    <row r="372" spans="1:14" ht="10.5" customHeight="1" outlineLevel="1">
      <c r="A372" s="572" t="s">
        <v>144</v>
      </c>
      <c r="B372" s="71" t="s">
        <v>29</v>
      </c>
      <c r="C372" s="471" t="s">
        <v>275</v>
      </c>
      <c r="D372" s="569" t="s">
        <v>276</v>
      </c>
      <c r="E372" s="569"/>
      <c r="F372" s="72" t="s">
        <v>30</v>
      </c>
      <c r="G372" s="168">
        <f>SUM(G373:G375)</f>
        <v>3680719</v>
      </c>
      <c r="H372" s="168">
        <f>SUM(H373:H375)</f>
        <v>3167341</v>
      </c>
      <c r="I372" s="36">
        <f>IF(G372&gt;0,H372/G372*100,"-")</f>
        <v>86.05223598976178</v>
      </c>
      <c r="J372" s="168">
        <f>SUM(J373:J375)</f>
        <v>504307</v>
      </c>
      <c r="K372" s="168">
        <f>SUM(K373:K375)</f>
        <v>504307</v>
      </c>
      <c r="L372" s="35">
        <f>SUM(L373:L375)</f>
        <v>0</v>
      </c>
      <c r="M372" s="36">
        <f>IF(K372&gt;0,L372/K372*100,"-")</f>
        <v>0</v>
      </c>
      <c r="N372" s="675" t="s">
        <v>277</v>
      </c>
    </row>
    <row r="373" spans="1:14" ht="10.5" customHeight="1" outlineLevel="1">
      <c r="A373" s="572"/>
      <c r="B373" s="71" t="s">
        <v>24</v>
      </c>
      <c r="C373" s="472" t="s">
        <v>278</v>
      </c>
      <c r="D373" s="569"/>
      <c r="E373" s="569"/>
      <c r="F373" s="73" t="s">
        <v>18</v>
      </c>
      <c r="G373" s="169">
        <f aca="true" t="shared" si="26" ref="G373:H375">G377+G381</f>
        <v>3680719</v>
      </c>
      <c r="H373" s="169">
        <f t="shared" si="26"/>
        <v>3167341</v>
      </c>
      <c r="I373" s="75">
        <f>IF(G373&gt;0,H373/G373*100,"-")</f>
        <v>86.05223598976178</v>
      </c>
      <c r="J373" s="169">
        <f aca="true" t="shared" si="27" ref="J373:L375">J377+J381</f>
        <v>504307</v>
      </c>
      <c r="K373" s="169">
        <f t="shared" si="27"/>
        <v>504307</v>
      </c>
      <c r="L373" s="76">
        <f t="shared" si="27"/>
        <v>0</v>
      </c>
      <c r="M373" s="75">
        <f>IF(K373&gt;0,L373/K373*100,"-")</f>
        <v>0</v>
      </c>
      <c r="N373" s="675"/>
    </row>
    <row r="374" spans="1:14" ht="10.5" customHeight="1" outlineLevel="1">
      <c r="A374" s="572"/>
      <c r="B374" s="71"/>
      <c r="C374" s="472"/>
      <c r="D374" s="569"/>
      <c r="E374" s="569"/>
      <c r="F374" s="73" t="s">
        <v>236</v>
      </c>
      <c r="G374" s="169">
        <f t="shared" si="26"/>
        <v>0</v>
      </c>
      <c r="H374" s="169">
        <f t="shared" si="26"/>
        <v>0</v>
      </c>
      <c r="I374" s="75" t="str">
        <f>IF(G374&gt;0,H374/G374*100,"-")</f>
        <v>-</v>
      </c>
      <c r="J374" s="169">
        <f t="shared" si="27"/>
        <v>0</v>
      </c>
      <c r="K374" s="169">
        <f t="shared" si="27"/>
        <v>0</v>
      </c>
      <c r="L374" s="76">
        <f t="shared" si="27"/>
        <v>0</v>
      </c>
      <c r="M374" s="75" t="str">
        <f>IF(K374&gt;0,L374/K374*100,"-")</f>
        <v>-</v>
      </c>
      <c r="N374" s="675"/>
    </row>
    <row r="375" spans="1:14" ht="10.5" customHeight="1" outlineLevel="1">
      <c r="A375" s="572"/>
      <c r="B375" s="71"/>
      <c r="C375" s="472"/>
      <c r="D375" s="569"/>
      <c r="E375" s="569"/>
      <c r="F375" s="73" t="s">
        <v>23</v>
      </c>
      <c r="G375" s="169">
        <f t="shared" si="26"/>
        <v>0</v>
      </c>
      <c r="H375" s="169">
        <f t="shared" si="26"/>
        <v>0</v>
      </c>
      <c r="I375" s="75" t="str">
        <f>IF(G375&gt;0,H375/G375*100,"-")</f>
        <v>-</v>
      </c>
      <c r="J375" s="169">
        <f t="shared" si="27"/>
        <v>0</v>
      </c>
      <c r="K375" s="169">
        <f t="shared" si="27"/>
        <v>0</v>
      </c>
      <c r="L375" s="76">
        <f t="shared" si="27"/>
        <v>0</v>
      </c>
      <c r="M375" s="75" t="str">
        <f>IF(K375&gt;0,L375/K375*100,"-")</f>
        <v>-</v>
      </c>
      <c r="N375" s="675"/>
    </row>
    <row r="376" spans="1:14" ht="6.75" customHeight="1" outlineLevel="1">
      <c r="A376" s="96"/>
      <c r="B376" s="71"/>
      <c r="C376" s="471"/>
      <c r="D376" s="95"/>
      <c r="E376" s="95"/>
      <c r="F376" s="111"/>
      <c r="G376" s="172"/>
      <c r="H376" s="172"/>
      <c r="I376" s="191"/>
      <c r="J376" s="172"/>
      <c r="K376" s="170"/>
      <c r="L376" s="82"/>
      <c r="M376" s="75"/>
      <c r="N376" s="678"/>
    </row>
    <row r="377" spans="1:14" ht="10.5" customHeight="1" outlineLevel="1">
      <c r="A377" s="96"/>
      <c r="B377" s="71"/>
      <c r="C377" s="471"/>
      <c r="D377" s="95"/>
      <c r="E377" s="679" t="s">
        <v>273</v>
      </c>
      <c r="F377" s="485" t="s">
        <v>18</v>
      </c>
      <c r="G377" s="486">
        <v>3670879</v>
      </c>
      <c r="H377" s="482">
        <f>ROUNDUP(3157500.01+L377,0)</f>
        <v>3157501</v>
      </c>
      <c r="I377" s="487">
        <f>IF(G377&gt;0,H377/G377*100,"-")</f>
        <v>86.0148482148281</v>
      </c>
      <c r="J377" s="486">
        <v>504307</v>
      </c>
      <c r="K377" s="486">
        <v>504307</v>
      </c>
      <c r="L377" s="488">
        <v>0</v>
      </c>
      <c r="M377" s="487">
        <f>IF(K377&gt;0,L377/K377*100,"-")</f>
        <v>0</v>
      </c>
      <c r="N377" s="678"/>
    </row>
    <row r="378" spans="1:14" ht="10.5" customHeight="1" outlineLevel="1">
      <c r="A378" s="96"/>
      <c r="B378" s="71"/>
      <c r="C378" s="471"/>
      <c r="D378" s="95"/>
      <c r="E378" s="679"/>
      <c r="F378" s="485" t="s">
        <v>236</v>
      </c>
      <c r="G378" s="486">
        <v>0</v>
      </c>
      <c r="H378" s="486">
        <f>ROUNDUP(0+L378,0)</f>
        <v>0</v>
      </c>
      <c r="I378" s="487" t="str">
        <f>IF(G378&gt;0,H378/G378*100,"-")</f>
        <v>-</v>
      </c>
      <c r="J378" s="486">
        <v>0</v>
      </c>
      <c r="K378" s="486">
        <v>0</v>
      </c>
      <c r="L378" s="489">
        <v>0</v>
      </c>
      <c r="M378" s="487" t="str">
        <f>IF(K378&gt;0,L378/K378*100,"-")</f>
        <v>-</v>
      </c>
      <c r="N378" s="678"/>
    </row>
    <row r="379" spans="1:14" ht="10.5" customHeight="1" outlineLevel="1">
      <c r="A379" s="96"/>
      <c r="B379" s="71"/>
      <c r="C379" s="471"/>
      <c r="D379" s="95"/>
      <c r="E379" s="679"/>
      <c r="F379" s="485" t="s">
        <v>23</v>
      </c>
      <c r="G379" s="486">
        <v>0</v>
      </c>
      <c r="H379" s="486">
        <f>ROUNDUP(0+L379,0)</f>
        <v>0</v>
      </c>
      <c r="I379" s="487" t="str">
        <f>IF(G379&gt;0,H379/G379*100,"-")</f>
        <v>-</v>
      </c>
      <c r="J379" s="486">
        <v>0</v>
      </c>
      <c r="K379" s="486">
        <v>0</v>
      </c>
      <c r="L379" s="489">
        <v>0</v>
      </c>
      <c r="M379" s="487" t="str">
        <f>IF(K379&gt;0,L379/K379*100,"-")</f>
        <v>-</v>
      </c>
      <c r="N379" s="678"/>
    </row>
    <row r="380" spans="1:14" ht="6.75" customHeight="1" outlineLevel="1">
      <c r="A380" s="96"/>
      <c r="B380" s="71"/>
      <c r="C380" s="471"/>
      <c r="D380" s="95"/>
      <c r="E380" s="95"/>
      <c r="F380" s="490"/>
      <c r="G380" s="491"/>
      <c r="H380" s="491"/>
      <c r="I380" s="493"/>
      <c r="J380" s="491"/>
      <c r="K380" s="482"/>
      <c r="L380" s="489"/>
      <c r="M380" s="487"/>
      <c r="N380" s="678"/>
    </row>
    <row r="381" spans="1:14" ht="10.5" customHeight="1" outlineLevel="1">
      <c r="A381" s="96"/>
      <c r="B381" s="71"/>
      <c r="C381" s="471"/>
      <c r="D381" s="95"/>
      <c r="E381" s="679" t="s">
        <v>274</v>
      </c>
      <c r="F381" s="485" t="s">
        <v>18</v>
      </c>
      <c r="G381" s="486">
        <v>9840</v>
      </c>
      <c r="H381" s="486">
        <f>9840+L381</f>
        <v>9840</v>
      </c>
      <c r="I381" s="487">
        <f>IF(G381&gt;0,H381/G381*100,"-")</f>
        <v>100</v>
      </c>
      <c r="J381" s="486">
        <v>0</v>
      </c>
      <c r="K381" s="486">
        <v>0</v>
      </c>
      <c r="L381" s="488">
        <v>0</v>
      </c>
      <c r="M381" s="487" t="str">
        <f>IF(K381&gt;0,L381/K381*100,"-")</f>
        <v>-</v>
      </c>
      <c r="N381" s="678"/>
    </row>
    <row r="382" spans="1:14" ht="10.5" customHeight="1" outlineLevel="1">
      <c r="A382" s="96"/>
      <c r="B382" s="71"/>
      <c r="C382" s="471"/>
      <c r="D382" s="95"/>
      <c r="E382" s="679"/>
      <c r="F382" s="485" t="s">
        <v>236</v>
      </c>
      <c r="G382" s="486">
        <v>0</v>
      </c>
      <c r="H382" s="486">
        <f>ROUNDUP(0+L382,0)</f>
        <v>0</v>
      </c>
      <c r="I382" s="487" t="str">
        <f>IF(G382&gt;0,H382/G382*100,"-")</f>
        <v>-</v>
      </c>
      <c r="J382" s="486">
        <v>0</v>
      </c>
      <c r="K382" s="486">
        <v>0</v>
      </c>
      <c r="L382" s="489">
        <v>0</v>
      </c>
      <c r="M382" s="487" t="str">
        <f>IF(K382&gt;0,L382/K382*100,"-")</f>
        <v>-</v>
      </c>
      <c r="N382" s="678"/>
    </row>
    <row r="383" spans="1:14" ht="10.5" customHeight="1" outlineLevel="1">
      <c r="A383" s="96"/>
      <c r="B383" s="71"/>
      <c r="C383" s="471"/>
      <c r="D383" s="95"/>
      <c r="E383" s="679"/>
      <c r="F383" s="485" t="s">
        <v>23</v>
      </c>
      <c r="G383" s="486">
        <v>0</v>
      </c>
      <c r="H383" s="486">
        <f>ROUNDUP(0+L383,0)</f>
        <v>0</v>
      </c>
      <c r="I383" s="487" t="str">
        <f>IF(G383&gt;0,H383/G383*100,"-")</f>
        <v>-</v>
      </c>
      <c r="J383" s="486">
        <v>0</v>
      </c>
      <c r="K383" s="486">
        <v>0</v>
      </c>
      <c r="L383" s="489">
        <v>0</v>
      </c>
      <c r="M383" s="487" t="str">
        <f>IF(K383&gt;0,L383/K383*100,"-")</f>
        <v>-</v>
      </c>
      <c r="N383" s="678"/>
    </row>
    <row r="384" spans="1:14" ht="3.75" customHeight="1" outlineLevel="1">
      <c r="A384" s="141"/>
      <c r="B384" s="78"/>
      <c r="C384" s="473"/>
      <c r="D384" s="496"/>
      <c r="E384" s="496"/>
      <c r="F384" s="78"/>
      <c r="G384" s="259"/>
      <c r="H384" s="259"/>
      <c r="I384" s="78"/>
      <c r="J384" s="259"/>
      <c r="K384" s="171"/>
      <c r="L384" s="80"/>
      <c r="M384" s="81"/>
      <c r="N384" s="680"/>
    </row>
    <row r="385" spans="1:14" ht="3.75" customHeight="1" outlineLevel="1">
      <c r="A385" s="468"/>
      <c r="B385" s="67"/>
      <c r="C385" s="469"/>
      <c r="D385" s="66"/>
      <c r="E385" s="66"/>
      <c r="F385" s="67"/>
      <c r="G385" s="167"/>
      <c r="H385" s="167"/>
      <c r="I385" s="70"/>
      <c r="J385" s="167"/>
      <c r="K385" s="166"/>
      <c r="L385" s="69"/>
      <c r="M385" s="70"/>
      <c r="N385" s="484"/>
    </row>
    <row r="386" spans="1:14" ht="10.5" customHeight="1" outlineLevel="1">
      <c r="A386" s="572" t="s">
        <v>215</v>
      </c>
      <c r="B386" s="71" t="s">
        <v>29</v>
      </c>
      <c r="C386" s="471" t="s">
        <v>279</v>
      </c>
      <c r="D386" s="647" t="s">
        <v>280</v>
      </c>
      <c r="E386" s="569" t="s">
        <v>263</v>
      </c>
      <c r="F386" s="72" t="s">
        <v>30</v>
      </c>
      <c r="G386" s="168">
        <f>SUM(G387:G389)</f>
        <v>24293</v>
      </c>
      <c r="H386" s="168">
        <f>SUM(H387:H389)</f>
        <v>24293</v>
      </c>
      <c r="I386" s="36">
        <f>IF(G386&gt;0,H386/G386*100,"-")</f>
        <v>100</v>
      </c>
      <c r="J386" s="168">
        <f>SUM(J387:J389)</f>
        <v>24293</v>
      </c>
      <c r="K386" s="168">
        <f>SUM(K387:K389)</f>
        <v>24293</v>
      </c>
      <c r="L386" s="35">
        <f>SUM(L387:L389)</f>
        <v>24292.5</v>
      </c>
      <c r="M386" s="36">
        <f>IF(K386&gt;0,L386/K386*100,"-")</f>
        <v>99.99794179393241</v>
      </c>
      <c r="N386" s="675" t="s">
        <v>281</v>
      </c>
    </row>
    <row r="387" spans="1:14" ht="10.5" customHeight="1" outlineLevel="1">
      <c r="A387" s="572"/>
      <c r="B387" s="71"/>
      <c r="C387" s="472" t="s">
        <v>282</v>
      </c>
      <c r="D387" s="647"/>
      <c r="E387" s="569"/>
      <c r="F387" s="73" t="s">
        <v>18</v>
      </c>
      <c r="G387" s="169">
        <v>24293</v>
      </c>
      <c r="H387" s="170">
        <f>ROUNDUP(0+L387,0)</f>
        <v>24293</v>
      </c>
      <c r="I387" s="75">
        <f>IF(G387&gt;0,H387/G387*100,"-")</f>
        <v>100</v>
      </c>
      <c r="J387" s="169">
        <v>24293</v>
      </c>
      <c r="K387" s="169">
        <v>24293</v>
      </c>
      <c r="L387" s="76">
        <v>24292.5</v>
      </c>
      <c r="M387" s="75">
        <f>IF(K387&gt;0,L387/K387*100,"-")</f>
        <v>99.99794179393241</v>
      </c>
      <c r="N387" s="675"/>
    </row>
    <row r="388" spans="1:14" ht="10.5" customHeight="1" outlineLevel="1">
      <c r="A388" s="572"/>
      <c r="B388" s="71" t="s">
        <v>24</v>
      </c>
      <c r="C388" s="472" t="s">
        <v>283</v>
      </c>
      <c r="D388" s="647"/>
      <c r="E388" s="569"/>
      <c r="F388" s="73" t="s">
        <v>236</v>
      </c>
      <c r="G388" s="169">
        <v>0</v>
      </c>
      <c r="H388" s="169">
        <f>ROUNDUP(0+L388,0)</f>
        <v>0</v>
      </c>
      <c r="I388" s="75" t="str">
        <f>IF(G388&gt;0,H388/G388*100,"-")</f>
        <v>-</v>
      </c>
      <c r="J388" s="169">
        <v>0</v>
      </c>
      <c r="K388" s="169">
        <v>0</v>
      </c>
      <c r="L388" s="82">
        <v>0</v>
      </c>
      <c r="M388" s="75" t="str">
        <f>IF(K388&gt;0,L388/K388*100,"-")</f>
        <v>-</v>
      </c>
      <c r="N388" s="675"/>
    </row>
    <row r="389" spans="1:14" ht="10.5" customHeight="1" outlineLevel="1">
      <c r="A389" s="572"/>
      <c r="B389" s="71"/>
      <c r="C389" s="472" t="s">
        <v>282</v>
      </c>
      <c r="D389" s="647"/>
      <c r="E389" s="569"/>
      <c r="F389" s="73" t="s">
        <v>23</v>
      </c>
      <c r="G389" s="169">
        <v>0</v>
      </c>
      <c r="H389" s="169">
        <f>ROUNDUP(0+L389,0)</f>
        <v>0</v>
      </c>
      <c r="I389" s="75" t="str">
        <f>IF(G389&gt;0,H389/G389*100,"-")</f>
        <v>-</v>
      </c>
      <c r="J389" s="169">
        <v>0</v>
      </c>
      <c r="K389" s="169">
        <v>0</v>
      </c>
      <c r="L389" s="82">
        <v>0</v>
      </c>
      <c r="M389" s="75" t="str">
        <f>IF(K389&gt;0,L389/K389*100,"-")</f>
        <v>-</v>
      </c>
      <c r="N389" s="675"/>
    </row>
    <row r="390" spans="1:14" ht="3.75" customHeight="1" outlineLevel="1">
      <c r="A390" s="141"/>
      <c r="B390" s="78"/>
      <c r="C390" s="473"/>
      <c r="D390" s="77"/>
      <c r="E390" s="77"/>
      <c r="F390" s="78"/>
      <c r="G390" s="259"/>
      <c r="H390" s="259"/>
      <c r="I390" s="78"/>
      <c r="J390" s="259"/>
      <c r="K390" s="171"/>
      <c r="L390" s="80"/>
      <c r="M390" s="81"/>
      <c r="N390" s="474"/>
    </row>
    <row r="391" spans="1:14" ht="3.75" customHeight="1">
      <c r="A391" s="56"/>
      <c r="B391" s="57"/>
      <c r="C391" s="462"/>
      <c r="D391" s="58"/>
      <c r="E391" s="58"/>
      <c r="F391" s="56"/>
      <c r="G391" s="162"/>
      <c r="H391" s="162"/>
      <c r="I391" s="60"/>
      <c r="J391" s="162"/>
      <c r="K391" s="162"/>
      <c r="L391" s="59"/>
      <c r="M391" s="60"/>
      <c r="N391" s="463"/>
    </row>
    <row r="392" spans="1:14" ht="11.25" customHeight="1">
      <c r="A392" s="26" t="s">
        <v>61</v>
      </c>
      <c r="B392" s="585" t="s">
        <v>284</v>
      </c>
      <c r="C392" s="586"/>
      <c r="D392" s="27"/>
      <c r="E392" s="27"/>
      <c r="F392" s="28"/>
      <c r="G392" s="163">
        <f>SUM(G393:G395)</f>
        <v>21233860</v>
      </c>
      <c r="H392" s="163">
        <f>SUM(H393:H395)</f>
        <v>1334979</v>
      </c>
      <c r="I392" s="30">
        <f>IF(G392&gt;0,H392/G392*100,"-")</f>
        <v>6.287029301314033</v>
      </c>
      <c r="J392" s="163">
        <f>SUM(J393:J395)</f>
        <v>3425800</v>
      </c>
      <c r="K392" s="163">
        <f>SUM(K393:K395)</f>
        <v>2863400</v>
      </c>
      <c r="L392" s="29">
        <f>SUM(L393:L395)</f>
        <v>11230</v>
      </c>
      <c r="M392" s="30">
        <f>IF(K392&gt;0,L392/K392*100,"-")</f>
        <v>0.3921911014877418</v>
      </c>
      <c r="N392" s="464"/>
    </row>
    <row r="393" spans="1:14" ht="11.25" customHeight="1">
      <c r="A393" s="28"/>
      <c r="B393" s="201"/>
      <c r="C393" s="497"/>
      <c r="D393" s="27"/>
      <c r="E393" s="27"/>
      <c r="F393" s="32" t="s">
        <v>18</v>
      </c>
      <c r="G393" s="164">
        <f aca="true" t="shared" si="28" ref="G393:H395">G399+G405+G411+G417</f>
        <v>13233860</v>
      </c>
      <c r="H393" s="164">
        <f t="shared" si="28"/>
        <v>1334979</v>
      </c>
      <c r="I393" s="34">
        <f>IF(G393&gt;0,H393/G393*100,"-")</f>
        <v>10.087601047615737</v>
      </c>
      <c r="J393" s="164">
        <f aca="true" t="shared" si="29" ref="J393:L395">J399+J405+J411+J417</f>
        <v>3425800</v>
      </c>
      <c r="K393" s="164">
        <f t="shared" si="29"/>
        <v>2863400</v>
      </c>
      <c r="L393" s="33">
        <f t="shared" si="29"/>
        <v>11230</v>
      </c>
      <c r="M393" s="34">
        <f>IF(K393&gt;0,L393/K393*100,"-")</f>
        <v>0.3921911014877418</v>
      </c>
      <c r="N393" s="464"/>
    </row>
    <row r="394" spans="1:14" ht="11.25" customHeight="1">
      <c r="A394" s="28"/>
      <c r="B394" s="201"/>
      <c r="C394" s="497"/>
      <c r="D394" s="27"/>
      <c r="E394" s="27"/>
      <c r="F394" s="32" t="s">
        <v>236</v>
      </c>
      <c r="G394" s="164">
        <f t="shared" si="28"/>
        <v>0</v>
      </c>
      <c r="H394" s="164">
        <f t="shared" si="28"/>
        <v>0</v>
      </c>
      <c r="I394" s="34" t="str">
        <f>IF(G394&gt;0,H394/G394*100,"-")</f>
        <v>-</v>
      </c>
      <c r="J394" s="164">
        <f t="shared" si="29"/>
        <v>0</v>
      </c>
      <c r="K394" s="164">
        <f t="shared" si="29"/>
        <v>0</v>
      </c>
      <c r="L394" s="33">
        <f t="shared" si="29"/>
        <v>0</v>
      </c>
      <c r="M394" s="34" t="str">
        <f>IF(K394&gt;0,L394/K394*100,"-")</f>
        <v>-</v>
      </c>
      <c r="N394" s="464"/>
    </row>
    <row r="395" spans="1:14" ht="11.25" customHeight="1">
      <c r="A395" s="28"/>
      <c r="B395" s="201"/>
      <c r="C395" s="497"/>
      <c r="D395" s="27"/>
      <c r="E395" s="27"/>
      <c r="F395" s="32" t="s">
        <v>23</v>
      </c>
      <c r="G395" s="164">
        <f t="shared" si="28"/>
        <v>8000000</v>
      </c>
      <c r="H395" s="164">
        <f t="shared" si="28"/>
        <v>0</v>
      </c>
      <c r="I395" s="34">
        <f>IF(G395&gt;0,H395/G395*100,"-")</f>
        <v>0</v>
      </c>
      <c r="J395" s="164">
        <f t="shared" si="29"/>
        <v>0</v>
      </c>
      <c r="K395" s="164">
        <f t="shared" si="29"/>
        <v>0</v>
      </c>
      <c r="L395" s="33">
        <f t="shared" si="29"/>
        <v>0</v>
      </c>
      <c r="M395" s="34" t="str">
        <f>IF(K395&gt;0,L395/K395*100,"-")</f>
        <v>-</v>
      </c>
      <c r="N395" s="464"/>
    </row>
    <row r="396" spans="1:14" ht="3.75" customHeight="1">
      <c r="A396" s="61"/>
      <c r="B396" s="62"/>
      <c r="C396" s="466"/>
      <c r="D396" s="63"/>
      <c r="E396" s="63"/>
      <c r="F396" s="61"/>
      <c r="G396" s="165"/>
      <c r="H396" s="165"/>
      <c r="I396" s="65"/>
      <c r="J396" s="164"/>
      <c r="K396" s="165"/>
      <c r="L396" s="64"/>
      <c r="M396" s="65"/>
      <c r="N396" s="467"/>
    </row>
    <row r="397" spans="1:14" ht="3.75" customHeight="1" outlineLevel="1">
      <c r="A397" s="468"/>
      <c r="B397" s="67"/>
      <c r="C397" s="469"/>
      <c r="D397" s="66"/>
      <c r="E397" s="66"/>
      <c r="F397" s="67"/>
      <c r="G397" s="167"/>
      <c r="H397" s="167"/>
      <c r="I397" s="70"/>
      <c r="J397" s="167"/>
      <c r="K397" s="166"/>
      <c r="L397" s="69"/>
      <c r="M397" s="70"/>
      <c r="N397" s="498"/>
    </row>
    <row r="398" spans="1:14" ht="10.5" customHeight="1" outlineLevel="1">
      <c r="A398" s="572" t="s">
        <v>216</v>
      </c>
      <c r="B398" s="71" t="s">
        <v>29</v>
      </c>
      <c r="C398" s="471" t="s">
        <v>285</v>
      </c>
      <c r="D398" s="569" t="s">
        <v>251</v>
      </c>
      <c r="E398" s="569" t="s">
        <v>286</v>
      </c>
      <c r="F398" s="72" t="s">
        <v>30</v>
      </c>
      <c r="G398" s="168">
        <f>SUM(G399:G401)</f>
        <v>16750659</v>
      </c>
      <c r="H398" s="168">
        <f>SUM(H399:H401)</f>
        <v>750659</v>
      </c>
      <c r="I398" s="36">
        <f>IF(G398&gt;0,H398/G398*100,"-")</f>
        <v>4.481369956847668</v>
      </c>
      <c r="J398" s="168">
        <f>SUM(J399:J401)</f>
        <v>0</v>
      </c>
      <c r="K398" s="168">
        <f>SUM(K399:K401)</f>
        <v>0</v>
      </c>
      <c r="L398" s="35">
        <f>SUM(L399:L401)</f>
        <v>0</v>
      </c>
      <c r="M398" s="36" t="str">
        <f>IF(K398&gt;0,L398/K398*100,"-")</f>
        <v>-</v>
      </c>
      <c r="N398" s="681" t="s">
        <v>287</v>
      </c>
    </row>
    <row r="399" spans="1:14" ht="10.5" customHeight="1" outlineLevel="1">
      <c r="A399" s="572"/>
      <c r="B399" s="71" t="s">
        <v>24</v>
      </c>
      <c r="C399" s="472" t="s">
        <v>288</v>
      </c>
      <c r="D399" s="569"/>
      <c r="E399" s="569"/>
      <c r="F399" s="73" t="s">
        <v>18</v>
      </c>
      <c r="G399" s="169">
        <v>8750659</v>
      </c>
      <c r="H399" s="170">
        <f>ROUNDUP(750659+L399,0)</f>
        <v>750659</v>
      </c>
      <c r="I399" s="75">
        <f>IF(G399&gt;0,H399/G399*100,"-")</f>
        <v>8.578313930413698</v>
      </c>
      <c r="J399" s="169">
        <v>0</v>
      </c>
      <c r="K399" s="169">
        <v>0</v>
      </c>
      <c r="L399" s="76">
        <v>0</v>
      </c>
      <c r="M399" s="75" t="str">
        <f>IF(K399&gt;0,L399/K399*100,"-")</f>
        <v>-</v>
      </c>
      <c r="N399" s="681"/>
    </row>
    <row r="400" spans="1:14" ht="10.5" customHeight="1" outlineLevel="1">
      <c r="A400" s="572"/>
      <c r="B400" s="71"/>
      <c r="C400" s="471" t="s">
        <v>289</v>
      </c>
      <c r="D400" s="569"/>
      <c r="E400" s="569"/>
      <c r="F400" s="73" t="s">
        <v>236</v>
      </c>
      <c r="G400" s="169">
        <v>0</v>
      </c>
      <c r="H400" s="169">
        <f>ROUNDUP(0+L400,0)</f>
        <v>0</v>
      </c>
      <c r="I400" s="75" t="str">
        <f>IF(G400&gt;0,H400/G400*100,"-")</f>
        <v>-</v>
      </c>
      <c r="J400" s="169">
        <v>0</v>
      </c>
      <c r="K400" s="169">
        <v>0</v>
      </c>
      <c r="L400" s="82">
        <v>0</v>
      </c>
      <c r="M400" s="75" t="str">
        <f>IF(K400&gt;0,L400/K400*100,"-")</f>
        <v>-</v>
      </c>
      <c r="N400" s="681"/>
    </row>
    <row r="401" spans="1:14" ht="10.5" customHeight="1" outlineLevel="1">
      <c r="A401" s="572"/>
      <c r="B401" s="71"/>
      <c r="C401" s="472"/>
      <c r="D401" s="569"/>
      <c r="E401" s="569"/>
      <c r="F401" s="73" t="s">
        <v>23</v>
      </c>
      <c r="G401" s="169">
        <v>8000000</v>
      </c>
      <c r="H401" s="169">
        <f>ROUNDUP(0+L401,0)</f>
        <v>0</v>
      </c>
      <c r="I401" s="75">
        <f>IF(G401&gt;0,H401/G401*100,"-")</f>
        <v>0</v>
      </c>
      <c r="J401" s="169">
        <v>0</v>
      </c>
      <c r="K401" s="169">
        <v>0</v>
      </c>
      <c r="L401" s="82">
        <v>0</v>
      </c>
      <c r="M401" s="75" t="str">
        <f>IF(K401&gt;0,L401/K401*100,"-")</f>
        <v>-</v>
      </c>
      <c r="N401" s="681"/>
    </row>
    <row r="402" spans="1:14" ht="3.75" customHeight="1" outlineLevel="1">
      <c r="A402" s="141"/>
      <c r="B402" s="78"/>
      <c r="C402" s="473"/>
      <c r="D402" s="77"/>
      <c r="E402" s="77"/>
      <c r="F402" s="78"/>
      <c r="G402" s="259"/>
      <c r="H402" s="259"/>
      <c r="I402" s="78"/>
      <c r="J402" s="259"/>
      <c r="K402" s="171"/>
      <c r="L402" s="80"/>
      <c r="M402" s="81"/>
      <c r="N402" s="499"/>
    </row>
    <row r="403" spans="1:14" ht="3" customHeight="1" outlineLevel="1">
      <c r="A403" s="468"/>
      <c r="B403" s="67"/>
      <c r="C403" s="469"/>
      <c r="D403" s="66"/>
      <c r="E403" s="66"/>
      <c r="F403" s="67"/>
      <c r="G403" s="167"/>
      <c r="H403" s="167"/>
      <c r="I403" s="70"/>
      <c r="J403" s="167"/>
      <c r="K403" s="166"/>
      <c r="L403" s="69"/>
      <c r="M403" s="70"/>
      <c r="N403" s="500"/>
    </row>
    <row r="404" spans="1:14" ht="10.5" customHeight="1" outlineLevel="1">
      <c r="A404" s="572" t="s">
        <v>217</v>
      </c>
      <c r="B404" s="71" t="s">
        <v>29</v>
      </c>
      <c r="C404" s="471" t="s">
        <v>290</v>
      </c>
      <c r="D404" s="569" t="s">
        <v>291</v>
      </c>
      <c r="E404" s="569" t="s">
        <v>292</v>
      </c>
      <c r="F404" s="72" t="s">
        <v>30</v>
      </c>
      <c r="G404" s="168">
        <f>SUM(G405:G407)</f>
        <v>1570601</v>
      </c>
      <c r="H404" s="168">
        <f>SUM(H405:H407)</f>
        <v>523890</v>
      </c>
      <c r="I404" s="36">
        <f>IF(G404&gt;0,H404/G404*100,"-")</f>
        <v>33.35602103907995</v>
      </c>
      <c r="J404" s="168">
        <f>SUM(J405:J407)</f>
        <v>0</v>
      </c>
      <c r="K404" s="168">
        <f>SUM(K405:K407)</f>
        <v>0</v>
      </c>
      <c r="L404" s="35">
        <f>SUM(L405:L407)</f>
        <v>0</v>
      </c>
      <c r="M404" s="36" t="str">
        <f>IF(K404&gt;0,L404/K404*100,"-")</f>
        <v>-</v>
      </c>
      <c r="N404" s="681" t="s">
        <v>293</v>
      </c>
    </row>
    <row r="405" spans="1:14" ht="10.5" customHeight="1" outlineLevel="1">
      <c r="A405" s="572"/>
      <c r="B405" s="71"/>
      <c r="C405" s="472" t="s">
        <v>294</v>
      </c>
      <c r="D405" s="569"/>
      <c r="E405" s="569"/>
      <c r="F405" s="73" t="s">
        <v>18</v>
      </c>
      <c r="G405" s="169">
        <v>1570601</v>
      </c>
      <c r="H405" s="169">
        <f>ROUNDUP(523890+L405,0)</f>
        <v>523890</v>
      </c>
      <c r="I405" s="75">
        <f>IF(G405&gt;0,H405/G405*100,"-")</f>
        <v>33.35602103907995</v>
      </c>
      <c r="J405" s="169">
        <v>0</v>
      </c>
      <c r="K405" s="169">
        <v>0</v>
      </c>
      <c r="L405" s="76">
        <v>0</v>
      </c>
      <c r="M405" s="75" t="str">
        <f>IF(K405&gt;0,L405/K405*100,"-")</f>
        <v>-</v>
      </c>
      <c r="N405" s="681"/>
    </row>
    <row r="406" spans="1:14" ht="10.5" customHeight="1" outlineLevel="1">
      <c r="A406" s="572"/>
      <c r="B406" s="71" t="s">
        <v>24</v>
      </c>
      <c r="C406" s="472" t="s">
        <v>295</v>
      </c>
      <c r="D406" s="569"/>
      <c r="E406" s="569"/>
      <c r="F406" s="73" t="s">
        <v>236</v>
      </c>
      <c r="G406" s="169">
        <v>0</v>
      </c>
      <c r="H406" s="169">
        <f>ROUNDUP(0+L406,0)</f>
        <v>0</v>
      </c>
      <c r="I406" s="75" t="str">
        <f>IF(G406&gt;0,H406/G406*100,"-")</f>
        <v>-</v>
      </c>
      <c r="J406" s="169">
        <v>0</v>
      </c>
      <c r="K406" s="169">
        <v>0</v>
      </c>
      <c r="L406" s="82">
        <v>0</v>
      </c>
      <c r="M406" s="75" t="str">
        <f>IF(K406&gt;0,L406/K406*100,"-")</f>
        <v>-</v>
      </c>
      <c r="N406" s="681"/>
    </row>
    <row r="407" spans="1:14" ht="10.5" customHeight="1" outlineLevel="1">
      <c r="A407" s="572"/>
      <c r="B407" s="71"/>
      <c r="C407" s="471"/>
      <c r="D407" s="569"/>
      <c r="E407" s="569"/>
      <c r="F407" s="73" t="s">
        <v>23</v>
      </c>
      <c r="G407" s="169">
        <v>0</v>
      </c>
      <c r="H407" s="169">
        <f>ROUNDUP(0+L407,0)</f>
        <v>0</v>
      </c>
      <c r="I407" s="75" t="str">
        <f>IF(G407&gt;0,H407/G407*100,"-")</f>
        <v>-</v>
      </c>
      <c r="J407" s="169">
        <v>0</v>
      </c>
      <c r="K407" s="169">
        <v>0</v>
      </c>
      <c r="L407" s="82">
        <v>0</v>
      </c>
      <c r="M407" s="75" t="str">
        <f>IF(K407&gt;0,L407/K407*100,"-")</f>
        <v>-</v>
      </c>
      <c r="N407" s="681"/>
    </row>
    <row r="408" spans="1:14" ht="3" customHeight="1" outlineLevel="1">
      <c r="A408" s="141"/>
      <c r="B408" s="78"/>
      <c r="C408" s="473"/>
      <c r="D408" s="77"/>
      <c r="E408" s="77"/>
      <c r="F408" s="78"/>
      <c r="G408" s="259"/>
      <c r="H408" s="259"/>
      <c r="I408" s="78"/>
      <c r="J408" s="259"/>
      <c r="K408" s="171"/>
      <c r="L408" s="80"/>
      <c r="M408" s="81"/>
      <c r="N408" s="499"/>
    </row>
    <row r="409" spans="1:14" ht="3" customHeight="1" outlineLevel="1">
      <c r="A409" s="468"/>
      <c r="B409" s="67"/>
      <c r="C409" s="469"/>
      <c r="D409" s="66"/>
      <c r="E409" s="66"/>
      <c r="F409" s="67"/>
      <c r="G409" s="167"/>
      <c r="H409" s="167"/>
      <c r="I409" s="70"/>
      <c r="J409" s="167"/>
      <c r="K409" s="166"/>
      <c r="L409" s="69"/>
      <c r="M409" s="70"/>
      <c r="N409" s="500"/>
    </row>
    <row r="410" spans="1:14" ht="10.5" customHeight="1" outlineLevel="1">
      <c r="A410" s="572" t="s">
        <v>218</v>
      </c>
      <c r="B410" s="71" t="s">
        <v>29</v>
      </c>
      <c r="C410" s="471" t="s">
        <v>296</v>
      </c>
      <c r="D410" s="569" t="s">
        <v>297</v>
      </c>
      <c r="E410" s="569" t="s">
        <v>298</v>
      </c>
      <c r="F410" s="72" t="s">
        <v>30</v>
      </c>
      <c r="G410" s="168">
        <f>SUM(G411:G413)</f>
        <v>825000</v>
      </c>
      <c r="H410" s="168">
        <f>SUM(H411:H413)</f>
        <v>10492</v>
      </c>
      <c r="I410" s="36">
        <f>IF(G410&gt;0,H410/G410*100,"-")</f>
        <v>1.2717575757575756</v>
      </c>
      <c r="J410" s="168">
        <f>SUM(J411:J413)</f>
        <v>825000</v>
      </c>
      <c r="K410" s="168">
        <f>SUM(K411:K413)</f>
        <v>825000</v>
      </c>
      <c r="L410" s="35">
        <f>SUM(L411:L413)</f>
        <v>10492</v>
      </c>
      <c r="M410" s="36">
        <f>IF(K410&gt;0,L410/K410*100,"-")</f>
        <v>1.2717575757575756</v>
      </c>
      <c r="N410" s="681" t="s">
        <v>299</v>
      </c>
    </row>
    <row r="411" spans="1:14" ht="10.5" customHeight="1" outlineLevel="1">
      <c r="A411" s="572"/>
      <c r="B411" s="71"/>
      <c r="C411" s="472" t="s">
        <v>300</v>
      </c>
      <c r="D411" s="569"/>
      <c r="E411" s="569"/>
      <c r="F411" s="73" t="s">
        <v>18</v>
      </c>
      <c r="G411" s="169">
        <v>825000</v>
      </c>
      <c r="H411" s="169">
        <f>ROUNDUP(0+L411,0)</f>
        <v>10492</v>
      </c>
      <c r="I411" s="75">
        <f>IF(G411&gt;0,H411/G411*100,"-")</f>
        <v>1.2717575757575756</v>
      </c>
      <c r="J411" s="169">
        <v>825000</v>
      </c>
      <c r="K411" s="169">
        <v>825000</v>
      </c>
      <c r="L411" s="76">
        <v>10492</v>
      </c>
      <c r="M411" s="75">
        <f>IF(K411&gt;0,L411/K411*100,"-")</f>
        <v>1.2717575757575756</v>
      </c>
      <c r="N411" s="681"/>
    </row>
    <row r="412" spans="1:14" ht="10.5" customHeight="1" outlineLevel="1">
      <c r="A412" s="572"/>
      <c r="B412" s="71"/>
      <c r="C412" s="472" t="s">
        <v>301</v>
      </c>
      <c r="D412" s="569"/>
      <c r="E412" s="569"/>
      <c r="F412" s="73" t="s">
        <v>236</v>
      </c>
      <c r="G412" s="169">
        <v>0</v>
      </c>
      <c r="H412" s="169">
        <f>ROUNDUP(0+L412,0)</f>
        <v>0</v>
      </c>
      <c r="I412" s="75" t="str">
        <f>IF(G412&gt;0,H412/G412*100,"-")</f>
        <v>-</v>
      </c>
      <c r="J412" s="169">
        <v>0</v>
      </c>
      <c r="K412" s="169">
        <v>0</v>
      </c>
      <c r="L412" s="82">
        <v>0</v>
      </c>
      <c r="M412" s="75" t="str">
        <f>IF(K412&gt;0,L412/K412*100,"-")</f>
        <v>-</v>
      </c>
      <c r="N412" s="681"/>
    </row>
    <row r="413" spans="1:14" ht="10.5" customHeight="1" outlineLevel="1">
      <c r="A413" s="572"/>
      <c r="B413" s="71" t="s">
        <v>24</v>
      </c>
      <c r="C413" s="471" t="s">
        <v>302</v>
      </c>
      <c r="D413" s="569"/>
      <c r="E413" s="569"/>
      <c r="F413" s="73" t="s">
        <v>23</v>
      </c>
      <c r="G413" s="169">
        <v>0</v>
      </c>
      <c r="H413" s="169">
        <f>ROUNDUP(0+L413,0)</f>
        <v>0</v>
      </c>
      <c r="I413" s="75" t="str">
        <f>IF(G413&gt;0,H413/G413*100,"-")</f>
        <v>-</v>
      </c>
      <c r="J413" s="169">
        <v>0</v>
      </c>
      <c r="K413" s="169">
        <v>0</v>
      </c>
      <c r="L413" s="82">
        <v>0</v>
      </c>
      <c r="M413" s="75" t="str">
        <f>IF(K413&gt;0,L413/K413*100,"-")</f>
        <v>-</v>
      </c>
      <c r="N413" s="681"/>
    </row>
    <row r="414" spans="1:14" ht="3" customHeight="1" outlineLevel="1">
      <c r="A414" s="141"/>
      <c r="B414" s="78"/>
      <c r="C414" s="473"/>
      <c r="D414" s="77"/>
      <c r="E414" s="77"/>
      <c r="F414" s="78"/>
      <c r="G414" s="259"/>
      <c r="H414" s="259"/>
      <c r="I414" s="78"/>
      <c r="J414" s="259"/>
      <c r="K414" s="171"/>
      <c r="L414" s="80"/>
      <c r="M414" s="81"/>
      <c r="N414" s="499"/>
    </row>
    <row r="415" spans="1:14" ht="3" customHeight="1" outlineLevel="1">
      <c r="A415" s="468"/>
      <c r="B415" s="67"/>
      <c r="C415" s="469"/>
      <c r="D415" s="66"/>
      <c r="E415" s="66"/>
      <c r="F415" s="67"/>
      <c r="G415" s="167"/>
      <c r="H415" s="167"/>
      <c r="I415" s="70"/>
      <c r="J415" s="167"/>
      <c r="K415" s="166"/>
      <c r="L415" s="69"/>
      <c r="M415" s="70"/>
      <c r="N415" s="500"/>
    </row>
    <row r="416" spans="1:14" ht="10.5" customHeight="1" outlineLevel="1">
      <c r="A416" s="572" t="s">
        <v>219</v>
      </c>
      <c r="B416" s="71" t="s">
        <v>29</v>
      </c>
      <c r="C416" s="471" t="s">
        <v>303</v>
      </c>
      <c r="D416" s="569" t="s">
        <v>297</v>
      </c>
      <c r="E416" s="569" t="s">
        <v>298</v>
      </c>
      <c r="F416" s="72" t="s">
        <v>30</v>
      </c>
      <c r="G416" s="168">
        <f>SUM(G417:G420)</f>
        <v>2087600</v>
      </c>
      <c r="H416" s="168">
        <f>SUM(H417:H420)</f>
        <v>49938</v>
      </c>
      <c r="I416" s="36">
        <f>IF(G416&gt;0,H416/G416*100,"-")</f>
        <v>2.3921249281471546</v>
      </c>
      <c r="J416" s="168">
        <f>SUM(J417:J420)</f>
        <v>2600800</v>
      </c>
      <c r="K416" s="168">
        <f>SUM(K417:K420)</f>
        <v>2038400</v>
      </c>
      <c r="L416" s="35">
        <f>SUM(L417:L420)</f>
        <v>738</v>
      </c>
      <c r="M416" s="36">
        <f>IF(K416&gt;0,L416/K416*100,"-")</f>
        <v>0.03620486656200942</v>
      </c>
      <c r="N416" s="681" t="s">
        <v>304</v>
      </c>
    </row>
    <row r="417" spans="1:14" ht="10.5" customHeight="1" outlineLevel="1">
      <c r="A417" s="572"/>
      <c r="B417" s="71"/>
      <c r="C417" s="472" t="s">
        <v>305</v>
      </c>
      <c r="D417" s="569"/>
      <c r="E417" s="569"/>
      <c r="F417" s="73" t="s">
        <v>18</v>
      </c>
      <c r="G417" s="169">
        <v>2087600</v>
      </c>
      <c r="H417" s="169">
        <f>ROUNDUP(49200+L417,0)</f>
        <v>49938</v>
      </c>
      <c r="I417" s="75">
        <f>IF(G417&gt;0,H417/G417*100,"-")</f>
        <v>2.3921249281471546</v>
      </c>
      <c r="J417" s="169">
        <v>2600800</v>
      </c>
      <c r="K417" s="169">
        <v>2038400</v>
      </c>
      <c r="L417" s="76">
        <v>738</v>
      </c>
      <c r="M417" s="75">
        <f>IF(K417&gt;0,L417/K417*100,"-")</f>
        <v>0.03620486656200942</v>
      </c>
      <c r="N417" s="681"/>
    </row>
    <row r="418" spans="1:14" ht="10.5" customHeight="1" outlineLevel="1">
      <c r="A418" s="572"/>
      <c r="B418" s="71"/>
      <c r="C418" s="472" t="s">
        <v>306</v>
      </c>
      <c r="D418" s="569"/>
      <c r="E418" s="569"/>
      <c r="F418" s="73" t="s">
        <v>236</v>
      </c>
      <c r="G418" s="169">
        <v>0</v>
      </c>
      <c r="H418" s="169">
        <f>ROUNDUP(0+L418,0)</f>
        <v>0</v>
      </c>
      <c r="I418" s="75" t="str">
        <f>IF(G418&gt;0,H418/G418*100,"-")</f>
        <v>-</v>
      </c>
      <c r="J418" s="169">
        <v>0</v>
      </c>
      <c r="K418" s="169">
        <v>0</v>
      </c>
      <c r="L418" s="82">
        <v>0</v>
      </c>
      <c r="M418" s="75" t="str">
        <f>IF(K418&gt;0,L418/K418*100,"-")</f>
        <v>-</v>
      </c>
      <c r="N418" s="681"/>
    </row>
    <row r="419" spans="1:14" ht="10.5" customHeight="1" outlineLevel="1">
      <c r="A419" s="572"/>
      <c r="B419" s="71"/>
      <c r="C419" s="471" t="s">
        <v>307</v>
      </c>
      <c r="D419" s="569"/>
      <c r="E419" s="569"/>
      <c r="F419" s="73" t="s">
        <v>23</v>
      </c>
      <c r="G419" s="169">
        <v>0</v>
      </c>
      <c r="H419" s="169">
        <f>ROUNDUP(0+L419,0)</f>
        <v>0</v>
      </c>
      <c r="I419" s="75" t="str">
        <f>IF(G419&gt;0,H419/G419*100,"-")</f>
        <v>-</v>
      </c>
      <c r="J419" s="169">
        <v>0</v>
      </c>
      <c r="K419" s="169">
        <v>0</v>
      </c>
      <c r="L419" s="82">
        <v>0</v>
      </c>
      <c r="M419" s="75" t="str">
        <f>IF(K419&gt;0,L419/K419*100,"-")</f>
        <v>-</v>
      </c>
      <c r="N419" s="681"/>
    </row>
    <row r="420" spans="1:14" ht="10.5" customHeight="1" outlineLevel="1">
      <c r="A420" s="572"/>
      <c r="B420" s="71" t="s">
        <v>24</v>
      </c>
      <c r="C420" s="471" t="s">
        <v>302</v>
      </c>
      <c r="D420" s="569"/>
      <c r="E420" s="569"/>
      <c r="F420" s="73"/>
      <c r="G420" s="169"/>
      <c r="H420" s="169"/>
      <c r="I420" s="75"/>
      <c r="J420" s="169"/>
      <c r="K420" s="170"/>
      <c r="L420" s="82"/>
      <c r="M420" s="75"/>
      <c r="N420" s="681"/>
    </row>
    <row r="421" spans="1:14" ht="3" customHeight="1" outlineLevel="1">
      <c r="A421" s="141"/>
      <c r="B421" s="78"/>
      <c r="C421" s="473"/>
      <c r="D421" s="77"/>
      <c r="E421" s="77"/>
      <c r="F421" s="78"/>
      <c r="G421" s="259"/>
      <c r="H421" s="259"/>
      <c r="I421" s="78"/>
      <c r="J421" s="259"/>
      <c r="K421" s="171"/>
      <c r="L421" s="80"/>
      <c r="M421" s="81"/>
      <c r="N421" s="501"/>
    </row>
    <row r="422" spans="1:14" ht="3" customHeight="1">
      <c r="A422" s="56"/>
      <c r="B422" s="57"/>
      <c r="C422" s="462"/>
      <c r="D422" s="58"/>
      <c r="E422" s="58"/>
      <c r="F422" s="56"/>
      <c r="G422" s="162"/>
      <c r="H422" s="162"/>
      <c r="I422" s="60"/>
      <c r="J422" s="162"/>
      <c r="K422" s="162"/>
      <c r="L422" s="59"/>
      <c r="M422" s="60"/>
      <c r="N422" s="463"/>
    </row>
    <row r="423" spans="1:14" ht="11.25" customHeight="1">
      <c r="A423" s="26" t="s">
        <v>79</v>
      </c>
      <c r="B423" s="585" t="s">
        <v>129</v>
      </c>
      <c r="C423" s="586"/>
      <c r="D423" s="27"/>
      <c r="E423" s="27"/>
      <c r="F423" s="28"/>
      <c r="G423" s="163">
        <f>SUM(G424:G426)</f>
        <v>184324062</v>
      </c>
      <c r="H423" s="163">
        <f>SUM(H424:H426)</f>
        <v>37194844</v>
      </c>
      <c r="I423" s="30">
        <f>IF(G423&gt;0,H423/G423*100,"-")</f>
        <v>20.17904965657712</v>
      </c>
      <c r="J423" s="344">
        <f>SUM(J424:J426)</f>
        <v>28267467</v>
      </c>
      <c r="K423" s="163">
        <f>SUM(K424:K426)</f>
        <v>27335773</v>
      </c>
      <c r="L423" s="29">
        <f>SUM(L424:L426)</f>
        <v>5820731.859999999</v>
      </c>
      <c r="M423" s="30">
        <f>IF(K423&gt;0,L423/K423*100,"-")</f>
        <v>21.293459892281074</v>
      </c>
      <c r="N423" s="464"/>
    </row>
    <row r="424" spans="1:14" ht="11.25" customHeight="1">
      <c r="A424" s="28"/>
      <c r="B424" s="31"/>
      <c r="C424" s="465"/>
      <c r="D424" s="27"/>
      <c r="E424" s="27"/>
      <c r="F424" s="32" t="s">
        <v>18</v>
      </c>
      <c r="G424" s="164">
        <f aca="true" t="shared" si="30" ref="G424:H426">G430+G436+G442+G448+G454+G460+G466+G472+G478+G484+G490+G496+G502+G508+G514+G520+G527+G533+G539+G545+G551</f>
        <v>165824013</v>
      </c>
      <c r="H424" s="164">
        <f t="shared" si="30"/>
        <v>25607901</v>
      </c>
      <c r="I424" s="34">
        <f>IF(G424&gt;0,H424/G424*100,"-")</f>
        <v>15.442818284707654</v>
      </c>
      <c r="J424" s="164">
        <f>J430+J436+J442+J448+J454+J460+J466+J472+J478+J484+J490+J496+J502+J508+J514+J520+J527+J533+J539+J545+J551</f>
        <v>17471329</v>
      </c>
      <c r="K424" s="164">
        <f>K430+K436+K442+K448+K454+K460+K466+K472+K478+K484+K490+K496+K502+K508+K514+K520+K527+K533+K539+K545+K551</f>
        <v>18145069</v>
      </c>
      <c r="L424" s="33">
        <f>L430+L436+L442+L448+L454+L460+L466+L472+L478+L484+L490+L496+L502+L508+L514+L520+L527+L533+L539+L545+L551</f>
        <v>3566490.44</v>
      </c>
      <c r="M424" s="34">
        <f>IF(K424&gt;0,L424/K424*100,"-")</f>
        <v>19.6554250634153</v>
      </c>
      <c r="N424" s="464"/>
    </row>
    <row r="425" spans="1:14" ht="11.25" customHeight="1">
      <c r="A425" s="28"/>
      <c r="B425" s="31"/>
      <c r="C425" s="465"/>
      <c r="D425" s="27"/>
      <c r="E425" s="27"/>
      <c r="F425" s="32" t="s">
        <v>236</v>
      </c>
      <c r="G425" s="164">
        <f t="shared" si="30"/>
        <v>5885251</v>
      </c>
      <c r="H425" s="164">
        <f t="shared" si="30"/>
        <v>2686994</v>
      </c>
      <c r="I425" s="34">
        <f>IF(G425&gt;0,H425/G425*100,"-")</f>
        <v>45.656404459215075</v>
      </c>
      <c r="J425" s="164">
        <f aca="true" t="shared" si="31" ref="J425:L426">J431+J437+J443+J449+J455+J461+J467+J473+J479+J485+J491+J497+J503+J509+J515+J521+J528+J534+J540+J546+J552</f>
        <v>7255407</v>
      </c>
      <c r="K425" s="164">
        <f t="shared" si="31"/>
        <v>4455407</v>
      </c>
      <c r="L425" s="33">
        <f t="shared" si="31"/>
        <v>1257149.03</v>
      </c>
      <c r="M425" s="34">
        <f>IF(K425&gt;0,L425/K425*100,"-")</f>
        <v>28.216255664185113</v>
      </c>
      <c r="N425" s="464"/>
    </row>
    <row r="426" spans="1:14" ht="11.25" customHeight="1">
      <c r="A426" s="28"/>
      <c r="B426" s="31"/>
      <c r="C426" s="465"/>
      <c r="D426" s="27"/>
      <c r="E426" s="27"/>
      <c r="F426" s="32" t="s">
        <v>23</v>
      </c>
      <c r="G426" s="164">
        <f t="shared" si="30"/>
        <v>12614798</v>
      </c>
      <c r="H426" s="164">
        <f t="shared" si="30"/>
        <v>8899949</v>
      </c>
      <c r="I426" s="34">
        <f>IF(G426&gt;0,H426/G426*100,"-")</f>
        <v>70.55165687155672</v>
      </c>
      <c r="J426" s="164">
        <f t="shared" si="31"/>
        <v>3540731</v>
      </c>
      <c r="K426" s="164">
        <f t="shared" si="31"/>
        <v>4735297</v>
      </c>
      <c r="L426" s="33">
        <f t="shared" si="31"/>
        <v>997092.39</v>
      </c>
      <c r="M426" s="34">
        <f>IF(K426&gt;0,L426/K426*100,"-")</f>
        <v>21.056596661202033</v>
      </c>
      <c r="N426" s="464"/>
    </row>
    <row r="427" spans="1:14" ht="3" customHeight="1">
      <c r="A427" s="61"/>
      <c r="B427" s="62"/>
      <c r="C427" s="466"/>
      <c r="D427" s="63"/>
      <c r="E427" s="63"/>
      <c r="F427" s="61"/>
      <c r="G427" s="164"/>
      <c r="H427" s="165"/>
      <c r="I427" s="65"/>
      <c r="J427" s="165"/>
      <c r="K427" s="165"/>
      <c r="L427" s="64"/>
      <c r="M427" s="65"/>
      <c r="N427" s="467"/>
    </row>
    <row r="428" spans="1:14" ht="3" customHeight="1" outlineLevel="1">
      <c r="A428" s="502"/>
      <c r="B428" s="503"/>
      <c r="C428" s="504"/>
      <c r="D428" s="505"/>
      <c r="E428" s="505"/>
      <c r="F428" s="503"/>
      <c r="G428" s="166"/>
      <c r="H428" s="166"/>
      <c r="I428" s="70"/>
      <c r="J428" s="166"/>
      <c r="K428" s="166"/>
      <c r="L428" s="506"/>
      <c r="M428" s="507"/>
      <c r="N428" s="508"/>
    </row>
    <row r="429" spans="1:14" ht="10.5" customHeight="1" outlineLevel="1">
      <c r="A429" s="682" t="s">
        <v>308</v>
      </c>
      <c r="B429" s="509" t="s">
        <v>29</v>
      </c>
      <c r="C429" s="510" t="s">
        <v>309</v>
      </c>
      <c r="D429" s="683" t="s">
        <v>244</v>
      </c>
      <c r="E429" s="683" t="s">
        <v>310</v>
      </c>
      <c r="F429" s="511" t="s">
        <v>30</v>
      </c>
      <c r="G429" s="175">
        <f>SUM(G430:G432)</f>
        <v>522819</v>
      </c>
      <c r="H429" s="175">
        <f>SUM(H430:H432)</f>
        <v>42486</v>
      </c>
      <c r="I429" s="129">
        <f>IF(G429&gt;0,H429/G429*100,"-")</f>
        <v>8.126330527390932</v>
      </c>
      <c r="J429" s="175">
        <f>SUM(J430:J432)</f>
        <v>390088</v>
      </c>
      <c r="K429" s="175">
        <f>SUM(K430:K432)</f>
        <v>489761</v>
      </c>
      <c r="L429" s="512">
        <f>SUM(L430:L432)</f>
        <v>9427.19</v>
      </c>
      <c r="M429" s="513">
        <f>IF(K429&gt;0,L429/K429*100,"-")</f>
        <v>1.924855184467526</v>
      </c>
      <c r="N429" s="684" t="s">
        <v>311</v>
      </c>
    </row>
    <row r="430" spans="1:14" ht="10.5" customHeight="1" outlineLevel="1">
      <c r="A430" s="682"/>
      <c r="B430" s="509"/>
      <c r="C430" s="514" t="s">
        <v>312</v>
      </c>
      <c r="D430" s="683"/>
      <c r="E430" s="683"/>
      <c r="F430" s="515" t="s">
        <v>18</v>
      </c>
      <c r="G430" s="170">
        <v>504432</v>
      </c>
      <c r="H430" s="170">
        <f>ROUNDUP(14671+L430,0)</f>
        <v>24099</v>
      </c>
      <c r="I430" s="123">
        <f>IF(G430&gt;0,H430/G430*100,"-")</f>
        <v>4.777452659625083</v>
      </c>
      <c r="J430" s="170">
        <v>340088</v>
      </c>
      <c r="K430" s="170">
        <v>489761</v>
      </c>
      <c r="L430" s="76">
        <v>9427.19</v>
      </c>
      <c r="M430" s="123">
        <f>IF(K430&gt;0,L430/K430*100,"-")</f>
        <v>1.924855184467526</v>
      </c>
      <c r="N430" s="684"/>
    </row>
    <row r="431" spans="1:14" ht="10.5" customHeight="1" outlineLevel="1">
      <c r="A431" s="682"/>
      <c r="C431" s="514" t="s">
        <v>313</v>
      </c>
      <c r="D431" s="683"/>
      <c r="E431" s="683"/>
      <c r="F431" s="515" t="s">
        <v>236</v>
      </c>
      <c r="G431" s="170">
        <v>0</v>
      </c>
      <c r="H431" s="170">
        <f>ROUNDUP(0+L431,0)</f>
        <v>0</v>
      </c>
      <c r="I431" s="123" t="str">
        <f>IF(G431&gt;0,H431/G431*100,"-")</f>
        <v>-</v>
      </c>
      <c r="J431" s="170">
        <v>0</v>
      </c>
      <c r="K431" s="170">
        <v>0</v>
      </c>
      <c r="L431" s="82">
        <v>0</v>
      </c>
      <c r="M431" s="123" t="str">
        <f>IF(K431&gt;0,L431/K431*100,"-")</f>
        <v>-</v>
      </c>
      <c r="N431" s="684"/>
    </row>
    <row r="432" spans="1:14" ht="10.5" customHeight="1" outlineLevel="1">
      <c r="A432" s="682"/>
      <c r="B432" s="509" t="s">
        <v>24</v>
      </c>
      <c r="C432" s="514" t="s">
        <v>314</v>
      </c>
      <c r="D432" s="683"/>
      <c r="E432" s="683"/>
      <c r="F432" s="515" t="s">
        <v>23</v>
      </c>
      <c r="G432" s="170">
        <v>18387</v>
      </c>
      <c r="H432" s="170">
        <v>18387</v>
      </c>
      <c r="I432" s="123">
        <f>IF(G432&gt;0,H432/G432*100,"-")</f>
        <v>100</v>
      </c>
      <c r="J432" s="170">
        <v>50000</v>
      </c>
      <c r="K432" s="170">
        <v>0</v>
      </c>
      <c r="L432" s="82">
        <v>0</v>
      </c>
      <c r="M432" s="123" t="str">
        <f>IF(K432&gt;0,L432/K432*100,"-")</f>
        <v>-</v>
      </c>
      <c r="N432" s="684"/>
    </row>
    <row r="433" spans="1:14" ht="3" customHeight="1" outlineLevel="1">
      <c r="A433" s="516"/>
      <c r="B433" s="517"/>
      <c r="C433" s="518"/>
      <c r="D433" s="519"/>
      <c r="E433" s="519"/>
      <c r="F433" s="520"/>
      <c r="G433" s="174"/>
      <c r="H433" s="174"/>
      <c r="I433" s="452"/>
      <c r="J433" s="174"/>
      <c r="K433" s="174"/>
      <c r="L433" s="521"/>
      <c r="M433" s="522"/>
      <c r="N433" s="523"/>
    </row>
    <row r="434" spans="1:14" ht="3.75" customHeight="1" outlineLevel="1">
      <c r="A434" s="502"/>
      <c r="B434" s="503"/>
      <c r="C434" s="524"/>
      <c r="D434" s="525"/>
      <c r="E434" s="525"/>
      <c r="F434" s="526"/>
      <c r="G434" s="176"/>
      <c r="H434" s="176"/>
      <c r="I434" s="133"/>
      <c r="J434" s="176"/>
      <c r="K434" s="176"/>
      <c r="L434" s="527"/>
      <c r="M434" s="528"/>
      <c r="N434" s="529"/>
    </row>
    <row r="435" spans="1:14" ht="10.5" customHeight="1" outlineLevel="1">
      <c r="A435" s="682" t="s">
        <v>315</v>
      </c>
      <c r="B435" s="509" t="s">
        <v>29</v>
      </c>
      <c r="C435" s="510" t="s">
        <v>316</v>
      </c>
      <c r="D435" s="683" t="s">
        <v>244</v>
      </c>
      <c r="E435" s="683" t="s">
        <v>310</v>
      </c>
      <c r="F435" s="511" t="s">
        <v>30</v>
      </c>
      <c r="G435" s="175">
        <f>SUM(G436:G438)</f>
        <v>1718393</v>
      </c>
      <c r="H435" s="175">
        <f>SUM(H436:H438)</f>
        <v>645915</v>
      </c>
      <c r="I435" s="129">
        <f>IF(G435&gt;0,H435/G435*100,"-")</f>
        <v>37.5883165259635</v>
      </c>
      <c r="J435" s="175">
        <f>SUM(J436:J438)</f>
        <v>1100806</v>
      </c>
      <c r="K435" s="175">
        <f>SUM(K436:K438)</f>
        <v>600806</v>
      </c>
      <c r="L435" s="512">
        <f>SUM(L436:L438)</f>
        <v>28327.91</v>
      </c>
      <c r="M435" s="530">
        <f>IF(K435&gt;0,L435/K435*100,"-")</f>
        <v>4.714984537438042</v>
      </c>
      <c r="N435" s="684" t="s">
        <v>317</v>
      </c>
    </row>
    <row r="436" spans="1:14" ht="10.5" customHeight="1" outlineLevel="1">
      <c r="A436" s="682"/>
      <c r="B436" s="509"/>
      <c r="C436" s="514" t="s">
        <v>318</v>
      </c>
      <c r="D436" s="683"/>
      <c r="E436" s="683"/>
      <c r="F436" s="515" t="s">
        <v>18</v>
      </c>
      <c r="G436" s="170">
        <v>1718393</v>
      </c>
      <c r="H436" s="170">
        <f>ROUNDUP(617587+L436,0)</f>
        <v>645915</v>
      </c>
      <c r="I436" s="123">
        <f>IF(G436&gt;0,H436/G436*100,"-")</f>
        <v>37.5883165259635</v>
      </c>
      <c r="J436" s="170">
        <v>1100806</v>
      </c>
      <c r="K436" s="170">
        <v>600806</v>
      </c>
      <c r="L436" s="76">
        <v>28327.91</v>
      </c>
      <c r="M436" s="123">
        <f>IF(K436&gt;0,L436/K436*100,"-")</f>
        <v>4.714984537438042</v>
      </c>
      <c r="N436" s="684"/>
    </row>
    <row r="437" spans="1:14" ht="10.5" customHeight="1" outlineLevel="1">
      <c r="A437" s="682"/>
      <c r="C437" s="531" t="s">
        <v>319</v>
      </c>
      <c r="D437" s="683"/>
      <c r="E437" s="683"/>
      <c r="F437" s="515" t="s">
        <v>236</v>
      </c>
      <c r="G437" s="170">
        <v>0</v>
      </c>
      <c r="H437" s="170">
        <f>ROUNDUP(0+L437,0)</f>
        <v>0</v>
      </c>
      <c r="I437" s="123" t="str">
        <f>IF(G437&gt;0,H437/G437*100,"-")</f>
        <v>-</v>
      </c>
      <c r="J437" s="170">
        <v>0</v>
      </c>
      <c r="K437" s="170">
        <v>0</v>
      </c>
      <c r="L437" s="82">
        <v>0</v>
      </c>
      <c r="M437" s="123" t="str">
        <f>IF(K437&gt;0,L437/K437*100,"-")</f>
        <v>-</v>
      </c>
      <c r="N437" s="684"/>
    </row>
    <row r="438" spans="1:14" ht="10.5" customHeight="1" outlineLevel="1">
      <c r="A438" s="682"/>
      <c r="B438" s="509" t="s">
        <v>24</v>
      </c>
      <c r="C438" s="514" t="s">
        <v>320</v>
      </c>
      <c r="D438" s="683"/>
      <c r="E438" s="683"/>
      <c r="F438" s="515" t="s">
        <v>23</v>
      </c>
      <c r="G438" s="170">
        <v>0</v>
      </c>
      <c r="H438" s="170">
        <f>ROUNDUP(0+L438,0)</f>
        <v>0</v>
      </c>
      <c r="I438" s="123" t="str">
        <f>IF(G438&gt;0,H438/G438*100,"-")</f>
        <v>-</v>
      </c>
      <c r="J438" s="170">
        <v>0</v>
      </c>
      <c r="K438" s="170">
        <v>0</v>
      </c>
      <c r="L438" s="82">
        <v>0</v>
      </c>
      <c r="M438" s="123" t="str">
        <f>IF(K438&gt;0,L438/K438*100,"-")</f>
        <v>-</v>
      </c>
      <c r="N438" s="684"/>
    </row>
    <row r="439" spans="1:14" ht="3" customHeight="1" outlineLevel="1">
      <c r="A439" s="516"/>
      <c r="B439" s="517"/>
      <c r="C439" s="518"/>
      <c r="D439" s="519"/>
      <c r="E439" s="519"/>
      <c r="F439" s="520"/>
      <c r="G439" s="174"/>
      <c r="H439" s="174"/>
      <c r="I439" s="452"/>
      <c r="J439" s="174"/>
      <c r="K439" s="174"/>
      <c r="L439" s="521"/>
      <c r="M439" s="522"/>
      <c r="N439" s="523"/>
    </row>
    <row r="440" spans="1:14" ht="3.75" customHeight="1" outlineLevel="1">
      <c r="A440" s="502"/>
      <c r="B440" s="503"/>
      <c r="C440" s="524"/>
      <c r="D440" s="525"/>
      <c r="E440" s="525"/>
      <c r="F440" s="526"/>
      <c r="G440" s="176"/>
      <c r="H440" s="176"/>
      <c r="I440" s="133"/>
      <c r="J440" s="176"/>
      <c r="K440" s="176"/>
      <c r="L440" s="527"/>
      <c r="M440" s="528"/>
      <c r="N440" s="529"/>
    </row>
    <row r="441" spans="1:14" ht="10.5" customHeight="1" outlineLevel="1">
      <c r="A441" s="682" t="s">
        <v>321</v>
      </c>
      <c r="B441" s="509" t="s">
        <v>29</v>
      </c>
      <c r="C441" s="510" t="s">
        <v>322</v>
      </c>
      <c r="D441" s="683" t="s">
        <v>323</v>
      </c>
      <c r="E441" s="683" t="s">
        <v>310</v>
      </c>
      <c r="F441" s="511" t="s">
        <v>30</v>
      </c>
      <c r="G441" s="175">
        <f>SUM(G442:G444)</f>
        <v>59820341</v>
      </c>
      <c r="H441" s="175">
        <f>SUM(H442:H444)</f>
        <v>62332</v>
      </c>
      <c r="I441" s="129">
        <f>IF(G441&gt;0,H441/G441*100,"-")</f>
        <v>0.10419867048233643</v>
      </c>
      <c r="J441" s="175">
        <f>SUM(J442:J444)</f>
        <v>240000</v>
      </c>
      <c r="K441" s="175">
        <f>SUM(K442:K444)</f>
        <v>240300</v>
      </c>
      <c r="L441" s="512">
        <f>SUM(L442:L444)</f>
        <v>14376.75</v>
      </c>
      <c r="M441" s="530">
        <f>IF(K441&gt;0,L441/K441*100,"-")</f>
        <v>5.982833957553059</v>
      </c>
      <c r="N441" s="684" t="s">
        <v>324</v>
      </c>
    </row>
    <row r="442" spans="1:14" ht="10.5" customHeight="1" outlineLevel="1">
      <c r="A442" s="682"/>
      <c r="C442" s="531" t="s">
        <v>325</v>
      </c>
      <c r="D442" s="683"/>
      <c r="E442" s="683"/>
      <c r="F442" s="515" t="s">
        <v>18</v>
      </c>
      <c r="G442" s="170">
        <v>59820341</v>
      </c>
      <c r="H442" s="170">
        <f>ROUNDUP(24600+L442,0)</f>
        <v>38977</v>
      </c>
      <c r="I442" s="123">
        <f>IF(G442&gt;0,H442/G442*100,"-")</f>
        <v>0.06515676665901987</v>
      </c>
      <c r="J442" s="170">
        <v>240000</v>
      </c>
      <c r="K442" s="170">
        <v>240300</v>
      </c>
      <c r="L442" s="76">
        <v>14376.75</v>
      </c>
      <c r="M442" s="123">
        <f>IF(K442&gt;0,L442/K442*100,"-")</f>
        <v>5.982833957553059</v>
      </c>
      <c r="N442" s="684"/>
    </row>
    <row r="443" spans="1:14" ht="10.5" customHeight="1" outlineLevel="1">
      <c r="A443" s="682"/>
      <c r="B443" s="509"/>
      <c r="C443" s="514" t="s">
        <v>326</v>
      </c>
      <c r="D443" s="683"/>
      <c r="E443" s="683"/>
      <c r="F443" s="515" t="s">
        <v>236</v>
      </c>
      <c r="G443" s="170">
        <v>0</v>
      </c>
      <c r="H443" s="170">
        <f>ROUNDUP(0+L443,0)</f>
        <v>0</v>
      </c>
      <c r="I443" s="123" t="str">
        <f>IF(G443&gt;0,H443/G443*100,"-")</f>
        <v>-</v>
      </c>
      <c r="J443" s="170">
        <v>0</v>
      </c>
      <c r="K443" s="170">
        <v>0</v>
      </c>
      <c r="L443" s="82">
        <v>0</v>
      </c>
      <c r="M443" s="123" t="str">
        <f>IF(K443&gt;0,L443/K443*100,"-")</f>
        <v>-</v>
      </c>
      <c r="N443" s="684"/>
    </row>
    <row r="444" spans="1:14" ht="10.5" customHeight="1" outlineLevel="1">
      <c r="A444" s="682"/>
      <c r="B444" s="509" t="s">
        <v>24</v>
      </c>
      <c r="C444" s="514" t="s">
        <v>314</v>
      </c>
      <c r="D444" s="683"/>
      <c r="E444" s="683"/>
      <c r="F444" s="515" t="s">
        <v>23</v>
      </c>
      <c r="G444" s="170">
        <v>0</v>
      </c>
      <c r="H444" s="170">
        <v>23355</v>
      </c>
      <c r="I444" s="123" t="str">
        <f>IF(G444&gt;0,H444/G444*100,"-")</f>
        <v>-</v>
      </c>
      <c r="J444" s="170">
        <v>0</v>
      </c>
      <c r="K444" s="170">
        <v>0</v>
      </c>
      <c r="L444" s="82">
        <v>0</v>
      </c>
      <c r="M444" s="123" t="str">
        <f>IF(K444&gt;0,L444/K444*100,"-")</f>
        <v>-</v>
      </c>
      <c r="N444" s="684"/>
    </row>
    <row r="445" spans="1:14" ht="3" customHeight="1" outlineLevel="1">
      <c r="A445" s="516"/>
      <c r="B445" s="517"/>
      <c r="C445" s="518"/>
      <c r="D445" s="519"/>
      <c r="E445" s="519"/>
      <c r="F445" s="520"/>
      <c r="G445" s="174"/>
      <c r="H445" s="174"/>
      <c r="I445" s="452"/>
      <c r="J445" s="174"/>
      <c r="K445" s="174"/>
      <c r="L445" s="521"/>
      <c r="M445" s="522"/>
      <c r="N445" s="523"/>
    </row>
    <row r="446" spans="1:14" ht="3" customHeight="1" outlineLevel="1">
      <c r="A446" s="502"/>
      <c r="B446" s="503"/>
      <c r="C446" s="524"/>
      <c r="D446" s="525"/>
      <c r="E446" s="525"/>
      <c r="F446" s="526"/>
      <c r="G446" s="176"/>
      <c r="H446" s="176"/>
      <c r="I446" s="133"/>
      <c r="J446" s="176"/>
      <c r="K446" s="176"/>
      <c r="L446" s="527"/>
      <c r="M446" s="528"/>
      <c r="N446" s="529"/>
    </row>
    <row r="447" spans="1:14" ht="10.5" customHeight="1" outlineLevel="1">
      <c r="A447" s="685" t="s">
        <v>327</v>
      </c>
      <c r="B447" s="71" t="s">
        <v>29</v>
      </c>
      <c r="C447" s="532" t="s">
        <v>328</v>
      </c>
      <c r="D447" s="683" t="s">
        <v>329</v>
      </c>
      <c r="E447" s="683" t="s">
        <v>310</v>
      </c>
      <c r="F447" s="511" t="s">
        <v>30</v>
      </c>
      <c r="G447" s="175">
        <f>SUM(G448:G450)</f>
        <v>2039046</v>
      </c>
      <c r="H447" s="175">
        <f>SUM(H448:H450)</f>
        <v>79254</v>
      </c>
      <c r="I447" s="129">
        <f>IF(G447&gt;0,H447/G447*100,"-")</f>
        <v>3.886817658846343</v>
      </c>
      <c r="J447" s="175">
        <f>SUM(J448:J450)</f>
        <v>98400</v>
      </c>
      <c r="K447" s="175">
        <f>SUM(K448:K450)</f>
        <v>98402</v>
      </c>
      <c r="L447" s="512">
        <f>SUM(L448:L450)</f>
        <v>13609.95</v>
      </c>
      <c r="M447" s="530">
        <f>IF(K447&gt;0,L447/K447*100,"-")</f>
        <v>13.830968882746287</v>
      </c>
      <c r="N447" s="684" t="s">
        <v>330</v>
      </c>
    </row>
    <row r="448" spans="1:14" ht="10.5" customHeight="1" outlineLevel="1">
      <c r="A448" s="685"/>
      <c r="B448" s="71"/>
      <c r="C448" s="533" t="s">
        <v>331</v>
      </c>
      <c r="D448" s="683"/>
      <c r="E448" s="683"/>
      <c r="F448" s="515" t="s">
        <v>18</v>
      </c>
      <c r="G448" s="170">
        <v>2039046</v>
      </c>
      <c r="H448" s="170">
        <f>ROUNDUP(65644+L448,0)</f>
        <v>79254</v>
      </c>
      <c r="I448" s="123">
        <f>IF(G448&gt;0,H448/G448*100,"-")</f>
        <v>3.886817658846343</v>
      </c>
      <c r="J448" s="170">
        <v>98400</v>
      </c>
      <c r="K448" s="170">
        <v>98402</v>
      </c>
      <c r="L448" s="76">
        <v>13609.95</v>
      </c>
      <c r="M448" s="123">
        <f>IF(K448&gt;0,L448/K448*100,"-")</f>
        <v>13.830968882746287</v>
      </c>
      <c r="N448" s="684"/>
    </row>
    <row r="449" spans="1:14" ht="10.5" customHeight="1" outlineLevel="1">
      <c r="A449" s="685"/>
      <c r="B449" s="71"/>
      <c r="C449" s="533" t="s">
        <v>332</v>
      </c>
      <c r="D449" s="683"/>
      <c r="E449" s="683"/>
      <c r="F449" s="515" t="s">
        <v>236</v>
      </c>
      <c r="G449" s="170">
        <v>0</v>
      </c>
      <c r="H449" s="170">
        <f>ROUNDUP(0+L449,0)</f>
        <v>0</v>
      </c>
      <c r="I449" s="123" t="str">
        <f>IF(G449&gt;0,H449/G449*100,"-")</f>
        <v>-</v>
      </c>
      <c r="J449" s="170"/>
      <c r="K449" s="170">
        <v>0</v>
      </c>
      <c r="L449" s="82">
        <v>0</v>
      </c>
      <c r="M449" s="123" t="str">
        <f>IF(K449&gt;0,L449/K449*100,"-")</f>
        <v>-</v>
      </c>
      <c r="N449" s="684"/>
    </row>
    <row r="450" spans="1:14" ht="10.5" customHeight="1" outlineLevel="1">
      <c r="A450" s="685"/>
      <c r="B450" s="71" t="s">
        <v>24</v>
      </c>
      <c r="C450" s="514" t="s">
        <v>314</v>
      </c>
      <c r="D450" s="683"/>
      <c r="E450" s="683"/>
      <c r="F450" s="515" t="s">
        <v>23</v>
      </c>
      <c r="G450" s="170">
        <v>0</v>
      </c>
      <c r="H450" s="170">
        <f>ROUNDUP(0+L450,0)</f>
        <v>0</v>
      </c>
      <c r="I450" s="123" t="str">
        <f>IF(G450&gt;0,H450/G450*100,"-")</f>
        <v>-</v>
      </c>
      <c r="J450" s="170">
        <v>0</v>
      </c>
      <c r="K450" s="170">
        <v>0</v>
      </c>
      <c r="L450" s="82">
        <v>0</v>
      </c>
      <c r="M450" s="123" t="str">
        <f>IF(K450&gt;0,L450/K450*100,"-")</f>
        <v>-</v>
      </c>
      <c r="N450" s="684"/>
    </row>
    <row r="451" spans="1:14" ht="3" customHeight="1" outlineLevel="1">
      <c r="A451" s="516"/>
      <c r="B451" s="517"/>
      <c r="C451" s="518"/>
      <c r="D451" s="519"/>
      <c r="E451" s="519"/>
      <c r="F451" s="520"/>
      <c r="G451" s="174"/>
      <c r="H451" s="174"/>
      <c r="I451" s="452"/>
      <c r="J451" s="174"/>
      <c r="K451" s="174"/>
      <c r="L451" s="521"/>
      <c r="M451" s="522"/>
      <c r="N451" s="523"/>
    </row>
    <row r="452" spans="1:14" ht="3" customHeight="1" outlineLevel="1">
      <c r="A452" s="502"/>
      <c r="B452" s="503"/>
      <c r="C452" s="524"/>
      <c r="D452" s="525"/>
      <c r="E452" s="525"/>
      <c r="F452" s="526"/>
      <c r="G452" s="176"/>
      <c r="H452" s="176"/>
      <c r="I452" s="133"/>
      <c r="J452" s="176"/>
      <c r="K452" s="176"/>
      <c r="L452" s="527"/>
      <c r="M452" s="528"/>
      <c r="N452" s="529"/>
    </row>
    <row r="453" spans="1:14" ht="10.5" customHeight="1" outlineLevel="1">
      <c r="A453" s="686" t="s">
        <v>333</v>
      </c>
      <c r="B453" s="509" t="s">
        <v>29</v>
      </c>
      <c r="C453" s="510" t="s">
        <v>334</v>
      </c>
      <c r="D453" s="683" t="s">
        <v>335</v>
      </c>
      <c r="E453" s="683" t="s">
        <v>336</v>
      </c>
      <c r="F453" s="511" t="s">
        <v>30</v>
      </c>
      <c r="G453" s="175">
        <f>SUM(G454:G456)</f>
        <v>1295400</v>
      </c>
      <c r="H453" s="175">
        <f>SUM(H454:H456)</f>
        <v>1288148</v>
      </c>
      <c r="I453" s="129">
        <f>IF(G453&gt;0,H453/G453*100,"-")</f>
        <v>99.44017291956152</v>
      </c>
      <c r="J453" s="175">
        <f>SUM(J454:J456)</f>
        <v>381148</v>
      </c>
      <c r="K453" s="175">
        <f>SUM(K454:K456)</f>
        <v>75060</v>
      </c>
      <c r="L453" s="512">
        <f>SUM(L454:L456)</f>
        <v>67807.09</v>
      </c>
      <c r="M453" s="530">
        <f>IF(K453&gt;0,L453/K453*100,"-")</f>
        <v>90.33718358646415</v>
      </c>
      <c r="N453" s="687" t="s">
        <v>337</v>
      </c>
    </row>
    <row r="454" spans="1:14" ht="10.5" customHeight="1" outlineLevel="1">
      <c r="A454" s="686"/>
      <c r="B454" s="71"/>
      <c r="C454" s="531" t="s">
        <v>338</v>
      </c>
      <c r="D454" s="683"/>
      <c r="E454" s="683"/>
      <c r="F454" s="515" t="s">
        <v>18</v>
      </c>
      <c r="G454" s="170">
        <v>1295400</v>
      </c>
      <c r="H454" s="170">
        <f>ROUNDUP(1220340+L454,0)</f>
        <v>1288148</v>
      </c>
      <c r="I454" s="123">
        <f>IF(G454&gt;0,H454/G454*100,"-")</f>
        <v>99.44017291956152</v>
      </c>
      <c r="J454" s="170">
        <v>381148</v>
      </c>
      <c r="K454" s="170">
        <v>75060</v>
      </c>
      <c r="L454" s="76">
        <v>67807.09</v>
      </c>
      <c r="M454" s="123">
        <f>IF(K454&gt;0,L454/K454*100,"-")</f>
        <v>90.33718358646415</v>
      </c>
      <c r="N454" s="687"/>
    </row>
    <row r="455" spans="1:14" ht="10.5" customHeight="1" outlineLevel="1">
      <c r="A455" s="686"/>
      <c r="B455" s="509" t="s">
        <v>24</v>
      </c>
      <c r="C455" s="514" t="s">
        <v>320</v>
      </c>
      <c r="D455" s="683"/>
      <c r="E455" s="683"/>
      <c r="F455" s="515" t="s">
        <v>236</v>
      </c>
      <c r="G455" s="170">
        <v>0</v>
      </c>
      <c r="H455" s="170">
        <f>ROUNDUP(0+L455,0)</f>
        <v>0</v>
      </c>
      <c r="I455" s="123" t="str">
        <f>IF(G455&gt;0,H455/G455*100,"-")</f>
        <v>-</v>
      </c>
      <c r="J455" s="170">
        <v>0</v>
      </c>
      <c r="K455" s="170">
        <v>0</v>
      </c>
      <c r="L455" s="82">
        <v>0</v>
      </c>
      <c r="M455" s="123" t="str">
        <f>IF(K455&gt;0,L455/K455*100,"-")</f>
        <v>-</v>
      </c>
      <c r="N455" s="687"/>
    </row>
    <row r="456" spans="1:14" ht="10.5" customHeight="1" outlineLevel="1">
      <c r="A456" s="686"/>
      <c r="B456" s="71"/>
      <c r="C456" s="531"/>
      <c r="D456" s="683"/>
      <c r="E456" s="683"/>
      <c r="F456" s="515" t="s">
        <v>23</v>
      </c>
      <c r="G456" s="170">
        <v>0</v>
      </c>
      <c r="H456" s="170">
        <f>ROUNDUP(0+L456,0)</f>
        <v>0</v>
      </c>
      <c r="I456" s="123" t="str">
        <f>IF(G456&gt;0,H456/G456*100,"-")</f>
        <v>-</v>
      </c>
      <c r="J456" s="170">
        <v>0</v>
      </c>
      <c r="K456" s="170">
        <v>0</v>
      </c>
      <c r="L456" s="82">
        <v>0</v>
      </c>
      <c r="M456" s="123" t="str">
        <f>IF(K456&gt;0,L456/K456*100,"-")</f>
        <v>-</v>
      </c>
      <c r="N456" s="687"/>
    </row>
    <row r="457" spans="1:14" ht="3" customHeight="1" outlineLevel="1">
      <c r="A457" s="516"/>
      <c r="B457" s="517"/>
      <c r="C457" s="518"/>
      <c r="D457" s="519"/>
      <c r="E457" s="519"/>
      <c r="F457" s="520"/>
      <c r="G457" s="174"/>
      <c r="H457" s="174"/>
      <c r="I457" s="452"/>
      <c r="J457" s="174"/>
      <c r="K457" s="174"/>
      <c r="L457" s="521"/>
      <c r="M457" s="522"/>
      <c r="N457" s="523"/>
    </row>
    <row r="458" spans="1:14" ht="3" customHeight="1" outlineLevel="1">
      <c r="A458" s="502"/>
      <c r="B458" s="503"/>
      <c r="C458" s="524"/>
      <c r="D458" s="525"/>
      <c r="E458" s="525"/>
      <c r="F458" s="526"/>
      <c r="G458" s="176"/>
      <c r="H458" s="176"/>
      <c r="I458" s="133"/>
      <c r="J458" s="176"/>
      <c r="K458" s="176"/>
      <c r="L458" s="527"/>
      <c r="M458" s="528"/>
      <c r="N458" s="529"/>
    </row>
    <row r="459" spans="1:14" ht="10.5" customHeight="1" outlineLevel="1">
      <c r="A459" s="686" t="s">
        <v>339</v>
      </c>
      <c r="B459" s="509" t="s">
        <v>29</v>
      </c>
      <c r="C459" s="510" t="s">
        <v>340</v>
      </c>
      <c r="D459" s="683" t="s">
        <v>341</v>
      </c>
      <c r="E459" s="683" t="s">
        <v>336</v>
      </c>
      <c r="F459" s="511" t="s">
        <v>30</v>
      </c>
      <c r="G459" s="175">
        <f>SUM(G460:G462)</f>
        <v>12461100</v>
      </c>
      <c r="H459" s="175">
        <f>SUM(H460:H462)</f>
        <v>6248290</v>
      </c>
      <c r="I459" s="129">
        <f>IF(G459&gt;0,H459/G459*100,"-")</f>
        <v>50.142363033761065</v>
      </c>
      <c r="J459" s="175">
        <f>SUM(J460:J462)</f>
        <v>7772000</v>
      </c>
      <c r="K459" s="175">
        <f>SUM(K460:K462)</f>
        <v>6905449</v>
      </c>
      <c r="L459" s="512">
        <f>SUM(L460:L462)</f>
        <v>692637.8</v>
      </c>
      <c r="M459" s="530">
        <f>IF(K459&gt;0,L459/K459*100,"-")</f>
        <v>10.030307949562731</v>
      </c>
      <c r="N459" s="684" t="s">
        <v>342</v>
      </c>
    </row>
    <row r="460" spans="1:14" ht="10.5" customHeight="1" outlineLevel="1">
      <c r="A460" s="686"/>
      <c r="B460" s="71"/>
      <c r="C460" s="531" t="s">
        <v>343</v>
      </c>
      <c r="D460" s="683"/>
      <c r="E460" s="683"/>
      <c r="F460" s="515" t="s">
        <v>18</v>
      </c>
      <c r="G460" s="170">
        <v>4419029</v>
      </c>
      <c r="H460" s="170">
        <f>ROUNDUP(3513183+L460,0)</f>
        <v>3542581</v>
      </c>
      <c r="I460" s="123">
        <f>IF(G460&gt;0,H460/G460*100,"-")</f>
        <v>80.16650264119109</v>
      </c>
      <c r="J460" s="170">
        <v>672000</v>
      </c>
      <c r="K460" s="170">
        <v>905846</v>
      </c>
      <c r="L460" s="76">
        <v>29397.05</v>
      </c>
      <c r="M460" s="123">
        <f>IF(K460&gt;0,L460/K460*100,"-")</f>
        <v>3.2452591279312375</v>
      </c>
      <c r="N460" s="684"/>
    </row>
    <row r="461" spans="1:14" ht="10.5" customHeight="1" outlineLevel="1">
      <c r="A461" s="686"/>
      <c r="B461" s="509" t="s">
        <v>24</v>
      </c>
      <c r="C461" s="514" t="s">
        <v>320</v>
      </c>
      <c r="D461" s="683"/>
      <c r="E461" s="683"/>
      <c r="F461" s="515" t="s">
        <v>236</v>
      </c>
      <c r="G461" s="170">
        <v>3000000</v>
      </c>
      <c r="H461" s="170">
        <f>ROUNDUP(0+L461,0)</f>
        <v>663241</v>
      </c>
      <c r="I461" s="123">
        <f>IF(G461&gt;0,H461/G461*100,"-")</f>
        <v>22.10803333333333</v>
      </c>
      <c r="J461" s="170">
        <v>5000000</v>
      </c>
      <c r="K461" s="170">
        <v>3000000</v>
      </c>
      <c r="L461" s="82">
        <v>663240.75</v>
      </c>
      <c r="M461" s="123">
        <f>IF(K461&gt;0,L461/K461*100,"-")</f>
        <v>22.108025</v>
      </c>
      <c r="N461" s="684"/>
    </row>
    <row r="462" spans="1:14" ht="10.5" customHeight="1" outlineLevel="1">
      <c r="A462" s="686"/>
      <c r="B462" s="71"/>
      <c r="C462" s="533"/>
      <c r="D462" s="683"/>
      <c r="E462" s="683"/>
      <c r="F462" s="515" t="s">
        <v>23</v>
      </c>
      <c r="G462" s="170">
        <v>5042071</v>
      </c>
      <c r="H462" s="170">
        <f>ROUNDUP(2042468+L462,0)</f>
        <v>2042468</v>
      </c>
      <c r="I462" s="123">
        <f>IF(G462&gt;0,H462/G462*100,"-")</f>
        <v>40.508513267663226</v>
      </c>
      <c r="J462" s="170">
        <v>2100000</v>
      </c>
      <c r="K462" s="170">
        <v>2999603</v>
      </c>
      <c r="L462" s="82">
        <v>0</v>
      </c>
      <c r="M462" s="123">
        <f>IF(K462&gt;0,L462/K462*100,"-")</f>
        <v>0</v>
      </c>
      <c r="N462" s="684"/>
    </row>
    <row r="463" spans="1:14" ht="3" customHeight="1" outlineLevel="1">
      <c r="A463" s="516"/>
      <c r="B463" s="517"/>
      <c r="C463" s="518"/>
      <c r="D463" s="519"/>
      <c r="E463" s="519"/>
      <c r="F463" s="520"/>
      <c r="G463" s="174"/>
      <c r="H463" s="174"/>
      <c r="I463" s="452"/>
      <c r="J463" s="174"/>
      <c r="K463" s="174"/>
      <c r="L463" s="521"/>
      <c r="M463" s="522"/>
      <c r="N463" s="523"/>
    </row>
    <row r="464" spans="1:14" ht="3" customHeight="1" outlineLevel="1">
      <c r="A464" s="502"/>
      <c r="B464" s="503"/>
      <c r="C464" s="524"/>
      <c r="D464" s="525"/>
      <c r="E464" s="525"/>
      <c r="F464" s="526"/>
      <c r="G464" s="176"/>
      <c r="H464" s="176"/>
      <c r="I464" s="133"/>
      <c r="J464" s="176"/>
      <c r="K464" s="176"/>
      <c r="L464" s="527"/>
      <c r="M464" s="528"/>
      <c r="N464" s="529"/>
    </row>
    <row r="465" spans="1:14" ht="10.5" customHeight="1" outlineLevel="1">
      <c r="A465" s="686" t="s">
        <v>344</v>
      </c>
      <c r="B465" s="509" t="s">
        <v>29</v>
      </c>
      <c r="C465" s="510" t="s">
        <v>345</v>
      </c>
      <c r="D465" s="683" t="s">
        <v>346</v>
      </c>
      <c r="E465" s="683" t="s">
        <v>336</v>
      </c>
      <c r="F465" s="511" t="s">
        <v>30</v>
      </c>
      <c r="G465" s="175">
        <f>SUM(G466:G468)</f>
        <v>3384067</v>
      </c>
      <c r="H465" s="175">
        <f>SUM(H466:H468)</f>
        <v>1412029</v>
      </c>
      <c r="I465" s="129">
        <f>IF(G465&gt;0,H465/G465*100,"-")</f>
        <v>41.72579916414185</v>
      </c>
      <c r="J465" s="175">
        <f>SUM(J466:J468)</f>
        <v>893400</v>
      </c>
      <c r="K465" s="175">
        <f>SUM(K466:K468)</f>
        <v>380822</v>
      </c>
      <c r="L465" s="512">
        <f>SUM(L466:L468)</f>
        <v>8783.79</v>
      </c>
      <c r="M465" s="530">
        <f>IF(K465&gt;0,L465/K465*100,"-")</f>
        <v>2.3065342863595064</v>
      </c>
      <c r="N465" s="684" t="s">
        <v>347</v>
      </c>
    </row>
    <row r="466" spans="1:14" ht="10.5" customHeight="1" outlineLevel="1">
      <c r="A466" s="686"/>
      <c r="B466" s="509"/>
      <c r="C466" s="514" t="s">
        <v>348</v>
      </c>
      <c r="D466" s="683"/>
      <c r="E466" s="683"/>
      <c r="F466" s="515" t="s">
        <v>18</v>
      </c>
      <c r="G466" s="170">
        <v>3384067</v>
      </c>
      <c r="H466" s="170">
        <f>ROUNDUP(1403245+L466,0)</f>
        <v>1412029</v>
      </c>
      <c r="I466" s="123">
        <f>IF(G466&gt;0,H466/G466*100,"-")</f>
        <v>41.72579916414185</v>
      </c>
      <c r="J466" s="170">
        <v>893400</v>
      </c>
      <c r="K466" s="170">
        <v>380822</v>
      </c>
      <c r="L466" s="76">
        <v>8783.79</v>
      </c>
      <c r="M466" s="123">
        <f>IF(K466&gt;0,L466/K466*100,"-")</f>
        <v>2.3065342863595064</v>
      </c>
      <c r="N466" s="684"/>
    </row>
    <row r="467" spans="1:14" ht="10.5" customHeight="1" outlineLevel="1">
      <c r="A467" s="686"/>
      <c r="B467" s="71"/>
      <c r="C467" s="531" t="s">
        <v>349</v>
      </c>
      <c r="D467" s="683"/>
      <c r="E467" s="683"/>
      <c r="F467" s="515" t="s">
        <v>236</v>
      </c>
      <c r="G467" s="170">
        <v>0</v>
      </c>
      <c r="H467" s="170">
        <f>ROUNDUP(0+L467,0)</f>
        <v>0</v>
      </c>
      <c r="I467" s="123" t="str">
        <f>IF(G467&gt;0,H467/G467*100,"-")</f>
        <v>-</v>
      </c>
      <c r="J467" s="170">
        <v>0</v>
      </c>
      <c r="K467" s="170">
        <v>0</v>
      </c>
      <c r="L467" s="82">
        <v>0</v>
      </c>
      <c r="M467" s="123" t="str">
        <f>IF(K467&gt;0,L467/K467*100,"-")</f>
        <v>-</v>
      </c>
      <c r="N467" s="684"/>
    </row>
    <row r="468" spans="1:14" ht="10.5" customHeight="1" outlineLevel="1">
      <c r="A468" s="686"/>
      <c r="B468" s="509" t="s">
        <v>24</v>
      </c>
      <c r="C468" s="514" t="s">
        <v>320</v>
      </c>
      <c r="D468" s="683"/>
      <c r="E468" s="683"/>
      <c r="F468" s="515" t="s">
        <v>23</v>
      </c>
      <c r="G468" s="170">
        <v>0</v>
      </c>
      <c r="H468" s="170">
        <f>ROUNDUP(0+L468,0)</f>
        <v>0</v>
      </c>
      <c r="I468" s="123" t="str">
        <f>IF(G468&gt;0,H468/G468*100,"-")</f>
        <v>-</v>
      </c>
      <c r="J468" s="170">
        <v>0</v>
      </c>
      <c r="K468" s="170">
        <v>0</v>
      </c>
      <c r="L468" s="82">
        <v>0</v>
      </c>
      <c r="M468" s="123" t="str">
        <f>IF(K468&gt;0,L468/K468*100,"-")</f>
        <v>-</v>
      </c>
      <c r="N468" s="684"/>
    </row>
    <row r="469" spans="1:14" ht="3" customHeight="1" outlineLevel="1">
      <c r="A469" s="516"/>
      <c r="B469" s="517"/>
      <c r="C469" s="518"/>
      <c r="D469" s="519"/>
      <c r="E469" s="519"/>
      <c r="F469" s="520"/>
      <c r="G469" s="174"/>
      <c r="H469" s="174"/>
      <c r="I469" s="452"/>
      <c r="J469" s="174"/>
      <c r="K469" s="174"/>
      <c r="L469" s="521"/>
      <c r="M469" s="522"/>
      <c r="N469" s="523"/>
    </row>
    <row r="470" spans="1:14" ht="3" customHeight="1" outlineLevel="1">
      <c r="A470" s="502"/>
      <c r="B470" s="503"/>
      <c r="C470" s="524"/>
      <c r="D470" s="525"/>
      <c r="E470" s="525"/>
      <c r="F470" s="526"/>
      <c r="G470" s="176"/>
      <c r="H470" s="176"/>
      <c r="I470" s="133"/>
      <c r="J470" s="176"/>
      <c r="K470" s="176"/>
      <c r="L470" s="527"/>
      <c r="M470" s="528"/>
      <c r="N470" s="529"/>
    </row>
    <row r="471" spans="1:14" ht="10.5" customHeight="1" outlineLevel="1">
      <c r="A471" s="686" t="s">
        <v>350</v>
      </c>
      <c r="B471" s="509" t="s">
        <v>29</v>
      </c>
      <c r="C471" s="510" t="s">
        <v>351</v>
      </c>
      <c r="D471" s="683" t="s">
        <v>352</v>
      </c>
      <c r="E471" s="683" t="s">
        <v>336</v>
      </c>
      <c r="F471" s="511" t="s">
        <v>30</v>
      </c>
      <c r="G471" s="175">
        <f>SUM(G472:G474)</f>
        <v>31196324</v>
      </c>
      <c r="H471" s="175">
        <f>SUM(H472:H474)</f>
        <v>658025</v>
      </c>
      <c r="I471" s="129">
        <f>IF(G471&gt;0,H471/G471*100,"-")</f>
        <v>2.109303006341388</v>
      </c>
      <c r="J471" s="175">
        <f>SUM(J472:J474)</f>
        <v>103000</v>
      </c>
      <c r="K471" s="175">
        <f>SUM(K472:K474)</f>
        <v>103000</v>
      </c>
      <c r="L471" s="512">
        <f>SUM(L472:L474)</f>
        <v>64700.36</v>
      </c>
      <c r="M471" s="530">
        <f>IF(K471&gt;0,L471/K471*100,"-")</f>
        <v>62.81588349514563</v>
      </c>
      <c r="N471" s="684" t="s">
        <v>353</v>
      </c>
    </row>
    <row r="472" spans="1:14" ht="10.5" customHeight="1" outlineLevel="1">
      <c r="A472" s="686"/>
      <c r="B472" s="509" t="s">
        <v>24</v>
      </c>
      <c r="C472" s="514" t="s">
        <v>320</v>
      </c>
      <c r="D472" s="683"/>
      <c r="E472" s="683"/>
      <c r="F472" s="515" t="s">
        <v>18</v>
      </c>
      <c r="G472" s="170">
        <v>31196324</v>
      </c>
      <c r="H472" s="170">
        <f>ROUNDUP(593324+L472,0)</f>
        <v>658025</v>
      </c>
      <c r="I472" s="123">
        <f>IF(G472&gt;0,H472/G472*100,"-")</f>
        <v>2.109303006341388</v>
      </c>
      <c r="J472" s="170">
        <v>103000</v>
      </c>
      <c r="K472" s="170">
        <v>103000</v>
      </c>
      <c r="L472" s="76">
        <v>64700.36</v>
      </c>
      <c r="M472" s="123">
        <f>IF(K472&gt;0,L472/K472*100,"-")</f>
        <v>62.81588349514563</v>
      </c>
      <c r="N472" s="684"/>
    </row>
    <row r="473" spans="1:14" ht="10.5" customHeight="1" outlineLevel="1">
      <c r="A473" s="686"/>
      <c r="B473" s="509"/>
      <c r="C473" s="514"/>
      <c r="D473" s="683"/>
      <c r="E473" s="683"/>
      <c r="F473" s="515" t="s">
        <v>236</v>
      </c>
      <c r="G473" s="170">
        <v>0</v>
      </c>
      <c r="H473" s="170">
        <f>ROUNDUP(0+L473,0)</f>
        <v>0</v>
      </c>
      <c r="I473" s="123" t="str">
        <f>IF(G473&gt;0,H473/G473*100,"-")</f>
        <v>-</v>
      </c>
      <c r="J473" s="170">
        <v>0</v>
      </c>
      <c r="K473" s="170">
        <v>0</v>
      </c>
      <c r="L473" s="82">
        <v>0</v>
      </c>
      <c r="M473" s="123" t="str">
        <f>IF(K473&gt;0,L473/K473*100,"-")</f>
        <v>-</v>
      </c>
      <c r="N473" s="684"/>
    </row>
    <row r="474" spans="1:14" ht="10.5" customHeight="1" outlineLevel="1">
      <c r="A474" s="686"/>
      <c r="B474" s="71"/>
      <c r="C474" s="533"/>
      <c r="D474" s="683"/>
      <c r="E474" s="683"/>
      <c r="F474" s="515" t="s">
        <v>23</v>
      </c>
      <c r="G474" s="170">
        <v>0</v>
      </c>
      <c r="H474" s="170">
        <f>ROUNDUP(0+L474,0)</f>
        <v>0</v>
      </c>
      <c r="I474" s="123" t="str">
        <f>IF(G474&gt;0,H474/G474*100,"-")</f>
        <v>-</v>
      </c>
      <c r="J474" s="170">
        <v>0</v>
      </c>
      <c r="K474" s="170">
        <v>0</v>
      </c>
      <c r="L474" s="82">
        <v>0</v>
      </c>
      <c r="M474" s="123" t="str">
        <f>IF(K474&gt;0,L474/K474*100,"-")</f>
        <v>-</v>
      </c>
      <c r="N474" s="684"/>
    </row>
    <row r="475" spans="1:14" ht="3" customHeight="1" outlineLevel="1">
      <c r="A475" s="516"/>
      <c r="B475" s="517"/>
      <c r="C475" s="518"/>
      <c r="D475" s="519"/>
      <c r="E475" s="519"/>
      <c r="F475" s="520"/>
      <c r="G475" s="174"/>
      <c r="H475" s="174"/>
      <c r="I475" s="452"/>
      <c r="J475" s="174"/>
      <c r="K475" s="174"/>
      <c r="L475" s="521"/>
      <c r="M475" s="522"/>
      <c r="N475" s="523"/>
    </row>
    <row r="476" spans="1:14" ht="3" customHeight="1" outlineLevel="1">
      <c r="A476" s="502"/>
      <c r="B476" s="503"/>
      <c r="C476" s="524"/>
      <c r="D476" s="525"/>
      <c r="E476" s="525"/>
      <c r="F476" s="526"/>
      <c r="G476" s="176"/>
      <c r="H476" s="176"/>
      <c r="I476" s="133"/>
      <c r="J476" s="176"/>
      <c r="K476" s="176"/>
      <c r="L476" s="527"/>
      <c r="M476" s="528"/>
      <c r="N476" s="529"/>
    </row>
    <row r="477" spans="1:14" ht="10.5" customHeight="1" outlineLevel="1">
      <c r="A477" s="686" t="s">
        <v>354</v>
      </c>
      <c r="B477" s="509" t="s">
        <v>29</v>
      </c>
      <c r="C477" s="510" t="s">
        <v>355</v>
      </c>
      <c r="D477" s="683" t="s">
        <v>356</v>
      </c>
      <c r="E477" s="683" t="s">
        <v>336</v>
      </c>
      <c r="F477" s="511" t="s">
        <v>30</v>
      </c>
      <c r="G477" s="175">
        <f>SUM(G478:G480)</f>
        <v>2259280</v>
      </c>
      <c r="H477" s="175">
        <f>SUM(H478:H480)</f>
        <v>128471</v>
      </c>
      <c r="I477" s="129">
        <f>IF(G477&gt;0,H477/G477*100,"-")</f>
        <v>5.686369108742608</v>
      </c>
      <c r="J477" s="175">
        <f>SUM(J478:J480)</f>
        <v>94500</v>
      </c>
      <c r="K477" s="175">
        <f>SUM(K478:K480)</f>
        <v>106420</v>
      </c>
      <c r="L477" s="512">
        <f>SUM(L478:L480)</f>
        <v>3887.31</v>
      </c>
      <c r="M477" s="530">
        <f>IF(K477&gt;0,L477/K477*100,"-")</f>
        <v>3.652800225521519</v>
      </c>
      <c r="N477" s="684" t="s">
        <v>324</v>
      </c>
    </row>
    <row r="478" spans="1:14" ht="10.5" customHeight="1" outlineLevel="1">
      <c r="A478" s="686"/>
      <c r="B478" s="509"/>
      <c r="C478" s="514" t="s">
        <v>357</v>
      </c>
      <c r="D478" s="683"/>
      <c r="E478" s="683"/>
      <c r="F478" s="515" t="s">
        <v>18</v>
      </c>
      <c r="G478" s="170">
        <v>2259280</v>
      </c>
      <c r="H478" s="170">
        <f>ROUNDUP(124583+L478,0)</f>
        <v>128471</v>
      </c>
      <c r="I478" s="123">
        <f>IF(G478&gt;0,H478/G478*100,"-")</f>
        <v>5.686369108742608</v>
      </c>
      <c r="J478" s="170">
        <v>94500</v>
      </c>
      <c r="K478" s="170">
        <v>106420</v>
      </c>
      <c r="L478" s="76">
        <v>3887.31</v>
      </c>
      <c r="M478" s="123">
        <f>IF(K478&gt;0,L478/K478*100,"-")</f>
        <v>3.652800225521519</v>
      </c>
      <c r="N478" s="684"/>
    </row>
    <row r="479" spans="1:14" ht="10.5" customHeight="1" outlineLevel="1">
      <c r="A479" s="686"/>
      <c r="B479" s="71"/>
      <c r="C479" s="531" t="s">
        <v>358</v>
      </c>
      <c r="D479" s="683"/>
      <c r="E479" s="683"/>
      <c r="F479" s="515" t="s">
        <v>236</v>
      </c>
      <c r="G479" s="170">
        <v>0</v>
      </c>
      <c r="H479" s="170">
        <f>ROUNDUP(0+L479,0)</f>
        <v>0</v>
      </c>
      <c r="I479" s="123" t="str">
        <f>IF(G479&gt;0,H479/G479*100,"-")</f>
        <v>-</v>
      </c>
      <c r="J479" s="170">
        <v>0</v>
      </c>
      <c r="K479" s="170">
        <v>0</v>
      </c>
      <c r="L479" s="82">
        <v>0</v>
      </c>
      <c r="M479" s="123" t="str">
        <f>IF(K479&gt;0,L479/K479*100,"-")</f>
        <v>-</v>
      </c>
      <c r="N479" s="684"/>
    </row>
    <row r="480" spans="1:14" ht="10.5" customHeight="1" outlineLevel="1">
      <c r="A480" s="686"/>
      <c r="B480" s="509" t="s">
        <v>24</v>
      </c>
      <c r="C480" s="514" t="s">
        <v>320</v>
      </c>
      <c r="D480" s="683"/>
      <c r="E480" s="683"/>
      <c r="F480" s="515" t="s">
        <v>23</v>
      </c>
      <c r="G480" s="170"/>
      <c r="H480" s="170"/>
      <c r="I480" s="123" t="str">
        <f>IF(G480&gt;0,H480/G480*100,"-")</f>
        <v>-</v>
      </c>
      <c r="J480" s="170">
        <v>0</v>
      </c>
      <c r="K480" s="170">
        <v>0</v>
      </c>
      <c r="L480" s="82">
        <v>0</v>
      </c>
      <c r="M480" s="123" t="str">
        <f>IF(K480&gt;0,L480/K480*100,"-")</f>
        <v>-</v>
      </c>
      <c r="N480" s="684"/>
    </row>
    <row r="481" spans="1:14" ht="3" customHeight="1" outlineLevel="1">
      <c r="A481" s="516"/>
      <c r="B481" s="517"/>
      <c r="C481" s="518"/>
      <c r="D481" s="519"/>
      <c r="E481" s="519"/>
      <c r="F481" s="520"/>
      <c r="G481" s="174"/>
      <c r="H481" s="174"/>
      <c r="I481" s="452"/>
      <c r="J481" s="174"/>
      <c r="K481" s="174"/>
      <c r="L481" s="521"/>
      <c r="M481" s="522"/>
      <c r="N481" s="523"/>
    </row>
    <row r="482" spans="1:14" ht="3" customHeight="1" outlineLevel="1">
      <c r="A482" s="502"/>
      <c r="B482" s="503"/>
      <c r="C482" s="524"/>
      <c r="D482" s="525"/>
      <c r="E482" s="525"/>
      <c r="F482" s="526"/>
      <c r="G482" s="176"/>
      <c r="H482" s="176"/>
      <c r="I482" s="133"/>
      <c r="J482" s="176"/>
      <c r="K482" s="176"/>
      <c r="L482" s="527"/>
      <c r="M482" s="528"/>
      <c r="N482" s="529"/>
    </row>
    <row r="483" spans="1:14" ht="10.5" customHeight="1" outlineLevel="1">
      <c r="A483" s="686" t="s">
        <v>359</v>
      </c>
      <c r="B483" s="509" t="s">
        <v>29</v>
      </c>
      <c r="C483" s="532" t="s">
        <v>360</v>
      </c>
      <c r="D483" s="683" t="s">
        <v>361</v>
      </c>
      <c r="E483" s="683" t="s">
        <v>336</v>
      </c>
      <c r="F483" s="511" t="s">
        <v>30</v>
      </c>
      <c r="G483" s="175">
        <f>SUM(G484:G486)</f>
        <v>1000000</v>
      </c>
      <c r="H483" s="175">
        <f>SUM(H484:H486)</f>
        <v>124</v>
      </c>
      <c r="I483" s="129">
        <f>IF(G483&gt;0,H483/G483*100,"-")</f>
        <v>0.012400000000000001</v>
      </c>
      <c r="J483" s="175">
        <f>SUM(J484:J486)</f>
        <v>300000</v>
      </c>
      <c r="K483" s="175">
        <f>SUM(K484:K486)</f>
        <v>300000</v>
      </c>
      <c r="L483" s="512">
        <f>SUM(L484:L486)</f>
        <v>123.75</v>
      </c>
      <c r="M483" s="530">
        <f>IF(K483&gt;0,L483/K483*100,"-")</f>
        <v>0.04125</v>
      </c>
      <c r="N483" s="684" t="s">
        <v>362</v>
      </c>
    </row>
    <row r="484" spans="1:14" ht="10.5" customHeight="1" outlineLevel="1">
      <c r="A484" s="686"/>
      <c r="B484" s="509"/>
      <c r="C484" s="533" t="s">
        <v>363</v>
      </c>
      <c r="D484" s="683"/>
      <c r="E484" s="683"/>
      <c r="F484" s="515" t="s">
        <v>18</v>
      </c>
      <c r="G484" s="170">
        <v>1000000</v>
      </c>
      <c r="H484" s="170">
        <f>ROUNDUP(0+L484,0)</f>
        <v>124</v>
      </c>
      <c r="I484" s="123">
        <f>IF(G484&gt;0,H484/G484*100,"-")</f>
        <v>0.012400000000000001</v>
      </c>
      <c r="J484" s="170">
        <v>300000</v>
      </c>
      <c r="K484" s="170">
        <v>300000</v>
      </c>
      <c r="L484" s="76">
        <v>123.75</v>
      </c>
      <c r="M484" s="123">
        <f>IF(K484&gt;0,L484/K484*100,"-")</f>
        <v>0.04125</v>
      </c>
      <c r="N484" s="684"/>
    </row>
    <row r="485" spans="1:14" ht="10.5" customHeight="1" outlineLevel="1">
      <c r="A485" s="686"/>
      <c r="B485" s="509" t="s">
        <v>24</v>
      </c>
      <c r="C485" s="514" t="s">
        <v>320</v>
      </c>
      <c r="D485" s="683"/>
      <c r="E485" s="683"/>
      <c r="F485" s="515" t="s">
        <v>236</v>
      </c>
      <c r="G485" s="170">
        <v>0</v>
      </c>
      <c r="H485" s="170">
        <f>ROUNDUP(0+L485,0)</f>
        <v>0</v>
      </c>
      <c r="I485" s="123" t="str">
        <f>IF(G485&gt;0,H485/G485*100,"-")</f>
        <v>-</v>
      </c>
      <c r="J485" s="170">
        <v>0</v>
      </c>
      <c r="K485" s="170">
        <v>0</v>
      </c>
      <c r="L485" s="82">
        <v>0</v>
      </c>
      <c r="M485" s="123" t="str">
        <f>IF(K485&gt;0,L485/K485*100,"-")</f>
        <v>-</v>
      </c>
      <c r="N485" s="684"/>
    </row>
    <row r="486" spans="1:14" ht="10.5" customHeight="1" outlineLevel="1">
      <c r="A486" s="686"/>
      <c r="B486" s="509"/>
      <c r="C486" s="514"/>
      <c r="D486" s="683"/>
      <c r="E486" s="683"/>
      <c r="F486" s="515" t="s">
        <v>23</v>
      </c>
      <c r="G486" s="170">
        <v>0</v>
      </c>
      <c r="H486" s="170">
        <f>ROUNDUP(0+L486,0)</f>
        <v>0</v>
      </c>
      <c r="I486" s="123" t="str">
        <f>IF(G486&gt;0,H486/G486*100,"-")</f>
        <v>-</v>
      </c>
      <c r="J486" s="170">
        <v>0</v>
      </c>
      <c r="K486" s="170">
        <v>0</v>
      </c>
      <c r="L486" s="82">
        <v>0</v>
      </c>
      <c r="M486" s="123" t="str">
        <f>IF(K486&gt;0,L486/K486*100,"-")</f>
        <v>-</v>
      </c>
      <c r="N486" s="684"/>
    </row>
    <row r="487" spans="1:14" ht="3" customHeight="1" outlineLevel="1">
      <c r="A487" s="516"/>
      <c r="B487" s="517"/>
      <c r="C487" s="518"/>
      <c r="D487" s="519"/>
      <c r="E487" s="519"/>
      <c r="F487" s="520"/>
      <c r="G487" s="174"/>
      <c r="H487" s="174"/>
      <c r="I487" s="452"/>
      <c r="J487" s="174"/>
      <c r="K487" s="174"/>
      <c r="L487" s="521"/>
      <c r="M487" s="522"/>
      <c r="N487" s="523"/>
    </row>
    <row r="488" spans="1:14" ht="3.75" customHeight="1" outlineLevel="1">
      <c r="A488" s="502"/>
      <c r="B488" s="503"/>
      <c r="C488" s="524"/>
      <c r="D488" s="525"/>
      <c r="E488" s="525"/>
      <c r="F488" s="526"/>
      <c r="G488" s="176"/>
      <c r="H488" s="176"/>
      <c r="I488" s="133"/>
      <c r="J488" s="176"/>
      <c r="K488" s="176"/>
      <c r="L488" s="527"/>
      <c r="M488" s="528"/>
      <c r="N488" s="529"/>
    </row>
    <row r="489" spans="1:14" ht="10.5" customHeight="1" outlineLevel="1">
      <c r="A489" s="686" t="s">
        <v>364</v>
      </c>
      <c r="B489" s="509" t="s">
        <v>29</v>
      </c>
      <c r="C489" s="510" t="s">
        <v>365</v>
      </c>
      <c r="D489" s="683" t="s">
        <v>335</v>
      </c>
      <c r="E489" s="683" t="s">
        <v>366</v>
      </c>
      <c r="F489" s="511" t="s">
        <v>30</v>
      </c>
      <c r="G489" s="175">
        <f>SUM(G490:G492)</f>
        <v>1890600</v>
      </c>
      <c r="H489" s="175">
        <f>SUM(H490:H492)</f>
        <v>636796</v>
      </c>
      <c r="I489" s="129">
        <f>IF(G489&gt;0,H489/G489*100,"-")</f>
        <v>33.68221728551782</v>
      </c>
      <c r="J489" s="175">
        <f>SUM(J490:J492)</f>
        <v>3163400</v>
      </c>
      <c r="K489" s="175">
        <f>SUM(K490:K492)</f>
        <v>1888400</v>
      </c>
      <c r="L489" s="512">
        <f>SUM(L490:L492)</f>
        <v>634594.79</v>
      </c>
      <c r="M489" s="530">
        <f>IF(K489&gt;0,L489/K489*100,"-")</f>
        <v>33.604892501588644</v>
      </c>
      <c r="N489" s="684" t="s">
        <v>367</v>
      </c>
    </row>
    <row r="490" spans="1:14" ht="10.5" customHeight="1" outlineLevel="1">
      <c r="A490" s="686"/>
      <c r="B490" s="509" t="s">
        <v>24</v>
      </c>
      <c r="C490" s="514" t="s">
        <v>368</v>
      </c>
      <c r="D490" s="683"/>
      <c r="E490" s="683"/>
      <c r="F490" s="515" t="s">
        <v>18</v>
      </c>
      <c r="G490" s="170">
        <v>435193</v>
      </c>
      <c r="H490" s="170">
        <f>ROUNDUP(2200+L490,0)</f>
        <v>42887</v>
      </c>
      <c r="I490" s="123">
        <f>IF(G490&gt;0,H490/G490*100,"-")</f>
        <v>9.854708140985725</v>
      </c>
      <c r="J490" s="170">
        <v>907993</v>
      </c>
      <c r="K490" s="170">
        <v>432993</v>
      </c>
      <c r="L490" s="76">
        <v>40686.51</v>
      </c>
      <c r="M490" s="123">
        <f>IF(K490&gt;0,L490/K490*100,"-")</f>
        <v>9.396574540466013</v>
      </c>
      <c r="N490" s="684"/>
    </row>
    <row r="491" spans="1:14" ht="10.5" customHeight="1" outlineLevel="1">
      <c r="A491" s="686"/>
      <c r="B491" s="509"/>
      <c r="C491" s="514"/>
      <c r="D491" s="683"/>
      <c r="E491" s="683"/>
      <c r="F491" s="515" t="s">
        <v>236</v>
      </c>
      <c r="G491" s="170">
        <v>1455407</v>
      </c>
      <c r="H491" s="170">
        <f>ROUNDUP(0+L491,0)</f>
        <v>593909</v>
      </c>
      <c r="I491" s="123">
        <f>IF(G491&gt;0,H491/G491*100,"-")</f>
        <v>40.80707321044903</v>
      </c>
      <c r="J491" s="170">
        <v>2255407</v>
      </c>
      <c r="K491" s="170">
        <v>1455407</v>
      </c>
      <c r="L491" s="82">
        <v>593908.28</v>
      </c>
      <c r="M491" s="123">
        <f>IF(K491&gt;0,L491/K491*100,"-")</f>
        <v>40.80702373975115</v>
      </c>
      <c r="N491" s="684"/>
    </row>
    <row r="492" spans="1:14" ht="10.5" customHeight="1" outlineLevel="1">
      <c r="A492" s="686"/>
      <c r="B492" s="71"/>
      <c r="C492" s="533"/>
      <c r="D492" s="683"/>
      <c r="E492" s="683"/>
      <c r="F492" s="515" t="s">
        <v>23</v>
      </c>
      <c r="G492" s="170">
        <v>0</v>
      </c>
      <c r="H492" s="170">
        <f>ROUNDUP(0+L492,0)</f>
        <v>0</v>
      </c>
      <c r="I492" s="123" t="str">
        <f>IF(G492&gt;0,H492/G492*100,"-")</f>
        <v>-</v>
      </c>
      <c r="J492" s="170">
        <v>0</v>
      </c>
      <c r="K492" s="170">
        <v>0</v>
      </c>
      <c r="L492" s="82">
        <v>0</v>
      </c>
      <c r="M492" s="123" t="str">
        <f>IF(K492&gt;0,L492/K492*100,"-")</f>
        <v>-</v>
      </c>
      <c r="N492" s="684"/>
    </row>
    <row r="493" spans="1:14" ht="3.75" customHeight="1" outlineLevel="1">
      <c r="A493" s="516"/>
      <c r="B493" s="517"/>
      <c r="C493" s="518"/>
      <c r="D493" s="519"/>
      <c r="E493" s="519"/>
      <c r="F493" s="520"/>
      <c r="G493" s="174"/>
      <c r="H493" s="174"/>
      <c r="I493" s="452"/>
      <c r="J493" s="174"/>
      <c r="K493" s="174"/>
      <c r="L493" s="521"/>
      <c r="M493" s="522"/>
      <c r="N493" s="523"/>
    </row>
    <row r="494" spans="1:14" ht="3.75" customHeight="1" outlineLevel="1">
      <c r="A494" s="502"/>
      <c r="B494" s="503"/>
      <c r="C494" s="524"/>
      <c r="D494" s="525"/>
      <c r="E494" s="525"/>
      <c r="F494" s="526"/>
      <c r="G494" s="176"/>
      <c r="H494" s="176"/>
      <c r="I494" s="133"/>
      <c r="J494" s="176"/>
      <c r="K494" s="176"/>
      <c r="L494" s="527"/>
      <c r="M494" s="528"/>
      <c r="N494" s="529"/>
    </row>
    <row r="495" spans="1:14" ht="10.5" customHeight="1" outlineLevel="1">
      <c r="A495" s="686" t="s">
        <v>369</v>
      </c>
      <c r="B495" s="509" t="s">
        <v>29</v>
      </c>
      <c r="C495" s="510" t="s">
        <v>370</v>
      </c>
      <c r="D495" s="683" t="s">
        <v>371</v>
      </c>
      <c r="E495" s="683" t="s">
        <v>366</v>
      </c>
      <c r="F495" s="511" t="s">
        <v>30</v>
      </c>
      <c r="G495" s="175">
        <f>SUM(G496:G498)</f>
        <v>7446920</v>
      </c>
      <c r="H495" s="175">
        <f>SUM(H496:H498)</f>
        <v>407692</v>
      </c>
      <c r="I495" s="129">
        <f>IF(G495&gt;0,H495/G495*100,"-")</f>
        <v>5.47463917968771</v>
      </c>
      <c r="J495" s="175">
        <f>SUM(J496:J498)</f>
        <v>629400</v>
      </c>
      <c r="K495" s="175">
        <f>SUM(K496:K498)</f>
        <v>652443</v>
      </c>
      <c r="L495" s="512">
        <f>SUM(L496:L498)</f>
        <v>13214.23</v>
      </c>
      <c r="M495" s="530">
        <f>IF(K495&gt;0,L495/K495*100,"-")</f>
        <v>2.0253462754600786</v>
      </c>
      <c r="N495" s="684" t="s">
        <v>372</v>
      </c>
    </row>
    <row r="496" spans="1:14" ht="10.5" customHeight="1" outlineLevel="1">
      <c r="A496" s="686"/>
      <c r="B496" s="509" t="s">
        <v>24</v>
      </c>
      <c r="C496" s="514" t="s">
        <v>320</v>
      </c>
      <c r="D496" s="683"/>
      <c r="E496" s="683"/>
      <c r="F496" s="515" t="s">
        <v>18</v>
      </c>
      <c r="G496" s="170">
        <v>7446920</v>
      </c>
      <c r="H496" s="170">
        <f>ROUNDUP(394477+L496,0)</f>
        <v>407692</v>
      </c>
      <c r="I496" s="123">
        <f>IF(G496&gt;0,H496/G496*100,"-")</f>
        <v>5.47463917968771</v>
      </c>
      <c r="J496" s="170">
        <v>629400</v>
      </c>
      <c r="K496" s="170">
        <v>652443</v>
      </c>
      <c r="L496" s="76">
        <v>13214.23</v>
      </c>
      <c r="M496" s="123">
        <f>IF(K496&gt;0,L496/K496*100,"-")</f>
        <v>2.0253462754600786</v>
      </c>
      <c r="N496" s="684"/>
    </row>
    <row r="497" spans="1:14" ht="10.5" customHeight="1" outlineLevel="1">
      <c r="A497" s="686"/>
      <c r="B497" s="509"/>
      <c r="C497" s="514"/>
      <c r="D497" s="683"/>
      <c r="E497" s="683"/>
      <c r="F497" s="515" t="s">
        <v>236</v>
      </c>
      <c r="G497" s="170">
        <v>0</v>
      </c>
      <c r="H497" s="170">
        <f>ROUNDUP(0+L497,0)</f>
        <v>0</v>
      </c>
      <c r="I497" s="123" t="str">
        <f>IF(G497&gt;0,H497/G497*100,"-")</f>
        <v>-</v>
      </c>
      <c r="J497" s="170">
        <v>0</v>
      </c>
      <c r="K497" s="170">
        <v>0</v>
      </c>
      <c r="L497" s="82">
        <v>0</v>
      </c>
      <c r="M497" s="123" t="str">
        <f>IF(K497&gt;0,L497/K497*100,"-")</f>
        <v>-</v>
      </c>
      <c r="N497" s="684"/>
    </row>
    <row r="498" spans="1:14" ht="10.5" customHeight="1" outlineLevel="1">
      <c r="A498" s="686"/>
      <c r="B498" s="71"/>
      <c r="C498" s="533"/>
      <c r="D498" s="683"/>
      <c r="E498" s="683"/>
      <c r="F498" s="515" t="s">
        <v>23</v>
      </c>
      <c r="G498" s="170">
        <v>0</v>
      </c>
      <c r="H498" s="170">
        <f>ROUNDUP(0+L498,0)</f>
        <v>0</v>
      </c>
      <c r="I498" s="123" t="str">
        <f>IF(G498&gt;0,H498/G498*100,"-")</f>
        <v>-</v>
      </c>
      <c r="J498" s="170">
        <v>0</v>
      </c>
      <c r="K498" s="170">
        <v>0</v>
      </c>
      <c r="L498" s="82">
        <v>0</v>
      </c>
      <c r="M498" s="123" t="str">
        <f>IF(K498&gt;0,L498/K498*100,"-")</f>
        <v>-</v>
      </c>
      <c r="N498" s="684"/>
    </row>
    <row r="499" spans="1:14" ht="3.75" customHeight="1" outlineLevel="1">
      <c r="A499" s="516"/>
      <c r="B499" s="517"/>
      <c r="C499" s="518"/>
      <c r="D499" s="519"/>
      <c r="E499" s="519"/>
      <c r="F499" s="520"/>
      <c r="G499" s="174"/>
      <c r="H499" s="174"/>
      <c r="I499" s="452"/>
      <c r="J499" s="174"/>
      <c r="K499" s="174"/>
      <c r="L499" s="521"/>
      <c r="M499" s="522"/>
      <c r="N499" s="523"/>
    </row>
    <row r="500" spans="1:14" ht="3.75" customHeight="1" outlineLevel="1">
      <c r="A500" s="502"/>
      <c r="B500" s="503"/>
      <c r="C500" s="524"/>
      <c r="D500" s="525"/>
      <c r="E500" s="525"/>
      <c r="F500" s="526"/>
      <c r="G500" s="176"/>
      <c r="H500" s="176"/>
      <c r="I500" s="133"/>
      <c r="J500" s="176"/>
      <c r="K500" s="176"/>
      <c r="L500" s="527"/>
      <c r="M500" s="528"/>
      <c r="N500" s="529"/>
    </row>
    <row r="501" spans="1:14" ht="10.5" customHeight="1" outlineLevel="1">
      <c r="A501" s="685" t="s">
        <v>373</v>
      </c>
      <c r="B501" s="71" t="s">
        <v>29</v>
      </c>
      <c r="C501" s="532" t="s">
        <v>374</v>
      </c>
      <c r="D501" s="683" t="s">
        <v>335</v>
      </c>
      <c r="E501" s="683" t="s">
        <v>366</v>
      </c>
      <c r="F501" s="511" t="s">
        <v>30</v>
      </c>
      <c r="G501" s="175">
        <f>SUM(G502:G504)</f>
        <v>1654800</v>
      </c>
      <c r="H501" s="175">
        <f>SUM(H502:H504)</f>
        <v>84402</v>
      </c>
      <c r="I501" s="129">
        <f>IF(G501&gt;0,H501/G501*100,"-")</f>
        <v>5.1004350978970265</v>
      </c>
      <c r="J501" s="175">
        <f>SUM(J502:J504)</f>
        <v>1608426</v>
      </c>
      <c r="K501" s="175">
        <f>SUM(K502:K504)</f>
        <v>1615433</v>
      </c>
      <c r="L501" s="512">
        <f>SUM(L502:L504)</f>
        <v>45034.97</v>
      </c>
      <c r="M501" s="530">
        <f>IF(K501&gt;0,L501/K501*100,"-")</f>
        <v>2.787795594122443</v>
      </c>
      <c r="N501" s="684" t="s">
        <v>375</v>
      </c>
    </row>
    <row r="502" spans="1:14" ht="10.5" customHeight="1" outlineLevel="1">
      <c r="A502" s="685"/>
      <c r="B502" s="71" t="s">
        <v>24</v>
      </c>
      <c r="C502" s="533" t="s">
        <v>376</v>
      </c>
      <c r="D502" s="683"/>
      <c r="E502" s="683"/>
      <c r="F502" s="515" t="s">
        <v>18</v>
      </c>
      <c r="G502" s="170">
        <v>1654800</v>
      </c>
      <c r="H502" s="170">
        <f>ROUNDUP(39367+L502,0)</f>
        <v>84402</v>
      </c>
      <c r="I502" s="123">
        <f>IF(G502&gt;0,H502/G502*100,"-")</f>
        <v>5.1004350978970265</v>
      </c>
      <c r="J502" s="170">
        <v>1608426</v>
      </c>
      <c r="K502" s="170">
        <v>1615433</v>
      </c>
      <c r="L502" s="76">
        <v>45034.97</v>
      </c>
      <c r="M502" s="123">
        <f>IF(K502&gt;0,L502/K502*100,"-")</f>
        <v>2.787795594122443</v>
      </c>
      <c r="N502" s="684"/>
    </row>
    <row r="503" spans="1:14" ht="10.5" customHeight="1" outlineLevel="1">
      <c r="A503" s="685"/>
      <c r="B503" s="71"/>
      <c r="C503" s="532"/>
      <c r="D503" s="683"/>
      <c r="E503" s="683"/>
      <c r="F503" s="515" t="s">
        <v>236</v>
      </c>
      <c r="G503" s="170">
        <v>0</v>
      </c>
      <c r="H503" s="170">
        <f>ROUNDUP(0+L503,0)</f>
        <v>0</v>
      </c>
      <c r="I503" s="123" t="str">
        <f>IF(G503&gt;0,H503/G503*100,"-")</f>
        <v>-</v>
      </c>
      <c r="J503" s="170">
        <v>0</v>
      </c>
      <c r="K503" s="170">
        <v>0</v>
      </c>
      <c r="L503" s="82">
        <v>0</v>
      </c>
      <c r="M503" s="123" t="str">
        <f>IF(K503&gt;0,L503/K503*100,"-")</f>
        <v>-</v>
      </c>
      <c r="N503" s="684"/>
    </row>
    <row r="504" spans="1:14" ht="10.5" customHeight="1" outlineLevel="1">
      <c r="A504" s="685"/>
      <c r="B504" s="71"/>
      <c r="C504" s="533"/>
      <c r="D504" s="683"/>
      <c r="E504" s="683"/>
      <c r="F504" s="515" t="s">
        <v>23</v>
      </c>
      <c r="G504" s="170">
        <v>0</v>
      </c>
      <c r="H504" s="170">
        <f>ROUNDUP(0+L504,0)</f>
        <v>0</v>
      </c>
      <c r="I504" s="123" t="str">
        <f>IF(G504&gt;0,H504/G504*100,"-")</f>
        <v>-</v>
      </c>
      <c r="J504" s="170">
        <v>0</v>
      </c>
      <c r="K504" s="170">
        <v>0</v>
      </c>
      <c r="L504" s="82">
        <v>0</v>
      </c>
      <c r="M504" s="123" t="str">
        <f>IF(K504&gt;0,L504/K504*100,"-")</f>
        <v>-</v>
      </c>
      <c r="N504" s="684"/>
    </row>
    <row r="505" spans="1:14" ht="3.75" customHeight="1" outlineLevel="1">
      <c r="A505" s="516"/>
      <c r="B505" s="517"/>
      <c r="C505" s="518"/>
      <c r="D505" s="519"/>
      <c r="E505" s="519"/>
      <c r="F505" s="520"/>
      <c r="G505" s="174"/>
      <c r="H505" s="174"/>
      <c r="I505" s="452"/>
      <c r="J505" s="174"/>
      <c r="K505" s="174"/>
      <c r="L505" s="521"/>
      <c r="M505" s="522"/>
      <c r="N505" s="523"/>
    </row>
    <row r="506" spans="1:14" ht="3.75" customHeight="1" outlineLevel="1">
      <c r="A506" s="502"/>
      <c r="B506" s="503"/>
      <c r="C506" s="524"/>
      <c r="D506" s="525"/>
      <c r="E506" s="525"/>
      <c r="F506" s="526"/>
      <c r="G506" s="176"/>
      <c r="H506" s="176"/>
      <c r="I506" s="133"/>
      <c r="J506" s="176"/>
      <c r="K506" s="176"/>
      <c r="L506" s="527"/>
      <c r="M506" s="528"/>
      <c r="N506" s="529"/>
    </row>
    <row r="507" spans="1:14" ht="10.5" customHeight="1" outlineLevel="1">
      <c r="A507" s="685" t="s">
        <v>377</v>
      </c>
      <c r="B507" s="71" t="s">
        <v>29</v>
      </c>
      <c r="C507" s="532" t="s">
        <v>378</v>
      </c>
      <c r="D507" s="683" t="s">
        <v>371</v>
      </c>
      <c r="E507" s="683" t="s">
        <v>366</v>
      </c>
      <c r="F507" s="511" t="s">
        <v>30</v>
      </c>
      <c r="G507" s="175">
        <f>SUM(G508:G510)</f>
        <v>1716384</v>
      </c>
      <c r="H507" s="175">
        <f>SUM(H508:H510)</f>
        <v>1252572</v>
      </c>
      <c r="I507" s="129">
        <f>IF(G507&gt;0,H507/G507*100,"-")</f>
        <v>72.9773756921528</v>
      </c>
      <c r="J507" s="175">
        <f>SUM(J508:J510)</f>
        <v>0</v>
      </c>
      <c r="K507" s="175">
        <f>SUM(K508:K510)</f>
        <v>11176</v>
      </c>
      <c r="L507" s="512">
        <f>SUM(L508:L510)</f>
        <v>4364</v>
      </c>
      <c r="M507" s="530">
        <f>IF(K507&gt;0,L507/K507*100,"-")</f>
        <v>39.04795991410165</v>
      </c>
      <c r="N507" s="684" t="s">
        <v>379</v>
      </c>
    </row>
    <row r="508" spans="1:14" ht="10.5" customHeight="1" outlineLevel="1">
      <c r="A508" s="685"/>
      <c r="B508" s="71"/>
      <c r="C508" s="533" t="s">
        <v>380</v>
      </c>
      <c r="D508" s="683"/>
      <c r="E508" s="683"/>
      <c r="F508" s="515" t="s">
        <v>18</v>
      </c>
      <c r="G508" s="170">
        <v>1716384</v>
      </c>
      <c r="H508" s="170">
        <f>ROUNDUP(1248208+L508,0)</f>
        <v>1252572</v>
      </c>
      <c r="I508" s="123">
        <f>IF(G508&gt;0,H508/G508*100,"-")</f>
        <v>72.9773756921528</v>
      </c>
      <c r="J508" s="170">
        <v>0</v>
      </c>
      <c r="K508" s="170">
        <v>11176</v>
      </c>
      <c r="L508" s="76">
        <v>4364</v>
      </c>
      <c r="M508" s="123">
        <f>IF(K508&gt;0,L508/K508*100,"-")</f>
        <v>39.04795991410165</v>
      </c>
      <c r="N508" s="684"/>
    </row>
    <row r="509" spans="1:14" ht="10.5" customHeight="1" outlineLevel="1">
      <c r="A509" s="685"/>
      <c r="B509" s="71" t="s">
        <v>24</v>
      </c>
      <c r="C509" s="533" t="s">
        <v>320</v>
      </c>
      <c r="D509" s="683"/>
      <c r="E509" s="683"/>
      <c r="F509" s="515" t="s">
        <v>236</v>
      </c>
      <c r="G509" s="170">
        <v>0</v>
      </c>
      <c r="H509" s="170">
        <f>ROUNDUP(0+L509,0)</f>
        <v>0</v>
      </c>
      <c r="I509" s="123" t="str">
        <f>IF(G509&gt;0,H509/G509*100,"-")</f>
        <v>-</v>
      </c>
      <c r="J509" s="170">
        <v>0</v>
      </c>
      <c r="K509" s="170">
        <v>0</v>
      </c>
      <c r="L509" s="82">
        <v>0</v>
      </c>
      <c r="M509" s="123" t="str">
        <f>IF(K509&gt;0,L509/K509*100,"-")</f>
        <v>-</v>
      </c>
      <c r="N509" s="684"/>
    </row>
    <row r="510" spans="1:14" ht="10.5" customHeight="1" outlineLevel="1">
      <c r="A510" s="685"/>
      <c r="B510" s="71"/>
      <c r="C510" s="533"/>
      <c r="D510" s="683"/>
      <c r="E510" s="683"/>
      <c r="F510" s="515" t="s">
        <v>23</v>
      </c>
      <c r="G510" s="170">
        <v>0</v>
      </c>
      <c r="H510" s="170">
        <f>ROUNDUP(0+L510,0)</f>
        <v>0</v>
      </c>
      <c r="I510" s="123" t="str">
        <f>IF(G510&gt;0,H510/G510*100,"-")</f>
        <v>-</v>
      </c>
      <c r="J510" s="170">
        <v>0</v>
      </c>
      <c r="K510" s="170">
        <v>0</v>
      </c>
      <c r="L510" s="82">
        <v>0</v>
      </c>
      <c r="M510" s="123" t="str">
        <f>IF(K510&gt;0,L510/K510*100,"-")</f>
        <v>-</v>
      </c>
      <c r="N510" s="684"/>
    </row>
    <row r="511" spans="1:14" ht="3.75" customHeight="1" outlineLevel="1">
      <c r="A511" s="516"/>
      <c r="B511" s="517"/>
      <c r="C511" s="518"/>
      <c r="D511" s="519"/>
      <c r="E511" s="519"/>
      <c r="F511" s="520"/>
      <c r="G511" s="174"/>
      <c r="H511" s="174"/>
      <c r="I511" s="452"/>
      <c r="J511" s="174"/>
      <c r="K511" s="174"/>
      <c r="L511" s="521"/>
      <c r="M511" s="522"/>
      <c r="N511" s="523"/>
    </row>
    <row r="512" spans="1:14" ht="3.75" customHeight="1" outlineLevel="1">
      <c r="A512" s="502"/>
      <c r="B512" s="503"/>
      <c r="C512" s="524"/>
      <c r="D512" s="525"/>
      <c r="E512" s="525"/>
      <c r="F512" s="526"/>
      <c r="G512" s="176"/>
      <c r="H512" s="176"/>
      <c r="I512" s="133"/>
      <c r="J512" s="176"/>
      <c r="K512" s="176"/>
      <c r="L512" s="527"/>
      <c r="M512" s="528"/>
      <c r="N512" s="529"/>
    </row>
    <row r="513" spans="1:14" ht="10.5" customHeight="1" outlineLevel="1">
      <c r="A513" s="686" t="s">
        <v>381</v>
      </c>
      <c r="B513" s="509" t="s">
        <v>29</v>
      </c>
      <c r="C513" s="510" t="s">
        <v>382</v>
      </c>
      <c r="D513" s="683" t="s">
        <v>383</v>
      </c>
      <c r="E513" s="683" t="s">
        <v>366</v>
      </c>
      <c r="F513" s="511" t="s">
        <v>30</v>
      </c>
      <c r="G513" s="175">
        <f>SUM(G514:G516)</f>
        <v>6947934</v>
      </c>
      <c r="H513" s="175">
        <f>SUM(H514:H516)</f>
        <v>3096865</v>
      </c>
      <c r="I513" s="129">
        <f>IF(G513&gt;0,H513/G513*100,"-")</f>
        <v>44.57245851788459</v>
      </c>
      <c r="J513" s="175">
        <f>SUM(J514:J516)</f>
        <v>6788751</v>
      </c>
      <c r="K513" s="175">
        <f>SUM(K514:K516)</f>
        <v>6419499</v>
      </c>
      <c r="L513" s="512">
        <f>SUM(L514:L516)</f>
        <v>2568428.58</v>
      </c>
      <c r="M513" s="530">
        <f>IF(K513&gt;0,L513/K513*100,"-")</f>
        <v>40.00979796086891</v>
      </c>
      <c r="N513" s="684" t="s">
        <v>384</v>
      </c>
    </row>
    <row r="514" spans="1:14" ht="10.5" customHeight="1" outlineLevel="1">
      <c r="A514" s="686"/>
      <c r="B514" s="71"/>
      <c r="C514" s="531" t="s">
        <v>319</v>
      </c>
      <c r="D514" s="683"/>
      <c r="E514" s="683"/>
      <c r="F514" s="515" t="s">
        <v>18</v>
      </c>
      <c r="G514" s="170">
        <v>4995954</v>
      </c>
      <c r="H514" s="170">
        <f>ROUNDUP(97934+L514,0)</f>
        <v>1669271</v>
      </c>
      <c r="I514" s="123">
        <f>IF(G514&gt;0,H514/G514*100,"-")</f>
        <v>33.41245736049611</v>
      </c>
      <c r="J514" s="170">
        <v>5398020</v>
      </c>
      <c r="K514" s="170">
        <v>4898020</v>
      </c>
      <c r="L514" s="76">
        <v>1571336.19</v>
      </c>
      <c r="M514" s="123">
        <f>IF(K514&gt;0,L514/K514*100,"-")</f>
        <v>32.08104887280983</v>
      </c>
      <c r="N514" s="684"/>
    </row>
    <row r="515" spans="1:14" ht="10.5" customHeight="1" outlineLevel="1">
      <c r="A515" s="686"/>
      <c r="B515" s="509" t="s">
        <v>24</v>
      </c>
      <c r="C515" s="514" t="s">
        <v>320</v>
      </c>
      <c r="D515" s="683"/>
      <c r="E515" s="683"/>
      <c r="F515" s="515" t="s">
        <v>236</v>
      </c>
      <c r="G515" s="170">
        <v>0</v>
      </c>
      <c r="H515" s="170">
        <f>ROUNDUP(0+L515,0)</f>
        <v>0</v>
      </c>
      <c r="I515" s="123" t="str">
        <f>IF(G515&gt;0,H515/G515*100,"-")</f>
        <v>-</v>
      </c>
      <c r="J515" s="170">
        <v>0</v>
      </c>
      <c r="K515" s="170">
        <v>0</v>
      </c>
      <c r="L515" s="82">
        <v>0</v>
      </c>
      <c r="M515" s="123" t="str">
        <f>IF(K515&gt;0,L515/K515*100,"-")</f>
        <v>-</v>
      </c>
      <c r="N515" s="684"/>
    </row>
    <row r="516" spans="1:14" ht="10.5" customHeight="1" outlineLevel="1">
      <c r="A516" s="686"/>
      <c r="B516" s="71"/>
      <c r="C516" s="533"/>
      <c r="D516" s="683"/>
      <c r="E516" s="683"/>
      <c r="F516" s="515" t="s">
        <v>23</v>
      </c>
      <c r="G516" s="170">
        <v>1951980</v>
      </c>
      <c r="H516" s="170">
        <f>ROUNDUP(430501+L516,0)</f>
        <v>1427594</v>
      </c>
      <c r="I516" s="123">
        <f>IF(G516&gt;0,H516/G516*100,"-")</f>
        <v>73.13568786565436</v>
      </c>
      <c r="J516" s="170">
        <v>1390731</v>
      </c>
      <c r="K516" s="170">
        <v>1521479</v>
      </c>
      <c r="L516" s="82">
        <v>997092.39</v>
      </c>
      <c r="M516" s="123">
        <f>IF(K516&gt;0,L516/K516*100,"-")</f>
        <v>65.5344168404559</v>
      </c>
      <c r="N516" s="684"/>
    </row>
    <row r="517" spans="1:14" ht="3.75" customHeight="1" outlineLevel="1">
      <c r="A517" s="516"/>
      <c r="B517" s="517"/>
      <c r="C517" s="518"/>
      <c r="D517" s="519"/>
      <c r="E517" s="519"/>
      <c r="F517" s="520"/>
      <c r="G517" s="174"/>
      <c r="H517" s="174"/>
      <c r="I517" s="452"/>
      <c r="J517" s="174"/>
      <c r="K517" s="174"/>
      <c r="L517" s="521"/>
      <c r="M517" s="522"/>
      <c r="N517" s="523"/>
    </row>
    <row r="518" spans="1:14" ht="3.75" customHeight="1" outlineLevel="1">
      <c r="A518" s="502"/>
      <c r="B518" s="503"/>
      <c r="C518" s="524"/>
      <c r="D518" s="525"/>
      <c r="E518" s="525"/>
      <c r="F518" s="526"/>
      <c r="G518" s="176"/>
      <c r="H518" s="176"/>
      <c r="I518" s="133"/>
      <c r="J518" s="176"/>
      <c r="K518" s="176"/>
      <c r="L518" s="527"/>
      <c r="M518" s="528"/>
      <c r="N518" s="529"/>
    </row>
    <row r="519" spans="1:14" ht="10.5" customHeight="1" outlineLevel="1">
      <c r="A519" s="686" t="s">
        <v>385</v>
      </c>
      <c r="B519" s="509" t="s">
        <v>29</v>
      </c>
      <c r="C519" s="532" t="s">
        <v>386</v>
      </c>
      <c r="D519" s="683" t="s">
        <v>244</v>
      </c>
      <c r="E519" s="683" t="s">
        <v>366</v>
      </c>
      <c r="F519" s="511" t="s">
        <v>30</v>
      </c>
      <c r="G519" s="175">
        <f>SUM(G520:G523)</f>
        <v>5714574</v>
      </c>
      <c r="H519" s="175">
        <f>SUM(H520:H523)</f>
        <v>5500359</v>
      </c>
      <c r="I519" s="129">
        <f>IF(G519&gt;0,H519/G519*100,"-")</f>
        <v>96.25142661552725</v>
      </c>
      <c r="J519" s="175">
        <f>SUM(J520:J523)</f>
        <v>0</v>
      </c>
      <c r="K519" s="175">
        <f>SUM(K520:K523)</f>
        <v>214215</v>
      </c>
      <c r="L519" s="512">
        <f>SUM(L520:L523)</f>
        <v>0</v>
      </c>
      <c r="M519" s="530">
        <f>IF(K519&gt;0,L519/K519*100,"-")</f>
        <v>0</v>
      </c>
      <c r="N519" s="684" t="s">
        <v>387</v>
      </c>
    </row>
    <row r="520" spans="1:14" ht="10.5" customHeight="1" outlineLevel="1">
      <c r="A520" s="686"/>
      <c r="B520" s="71"/>
      <c r="C520" s="533" t="s">
        <v>388</v>
      </c>
      <c r="D520" s="683"/>
      <c r="E520" s="683"/>
      <c r="F520" s="515" t="s">
        <v>18</v>
      </c>
      <c r="G520" s="170">
        <v>112214</v>
      </c>
      <c r="H520" s="170">
        <f>ROUNDUP(112214+L520,0)</f>
        <v>112214</v>
      </c>
      <c r="I520" s="123">
        <f>IF(G520&gt;0,H520/G520*100,"-")</f>
        <v>100</v>
      </c>
      <c r="J520" s="170">
        <v>0</v>
      </c>
      <c r="K520" s="170">
        <v>0</v>
      </c>
      <c r="L520" s="76">
        <v>0</v>
      </c>
      <c r="M520" s="123" t="str">
        <f>IF(K520&gt;0,L520/K520*100,"-")</f>
        <v>-</v>
      </c>
      <c r="N520" s="684"/>
    </row>
    <row r="521" spans="1:14" ht="10.5" customHeight="1" outlineLevel="1">
      <c r="A521" s="686"/>
      <c r="B521" s="71"/>
      <c r="C521" s="533" t="s">
        <v>389</v>
      </c>
      <c r="D521" s="683"/>
      <c r="E521" s="683"/>
      <c r="F521" s="515" t="s">
        <v>236</v>
      </c>
      <c r="G521" s="170">
        <v>0</v>
      </c>
      <c r="H521" s="170">
        <f>ROUNDUP(0+L521,0)</f>
        <v>0</v>
      </c>
      <c r="I521" s="123" t="str">
        <f>IF(G521&gt;0,H521/G521*100,"-")</f>
        <v>-</v>
      </c>
      <c r="J521" s="170">
        <v>0</v>
      </c>
      <c r="K521" s="170">
        <v>0</v>
      </c>
      <c r="L521" s="82">
        <v>0</v>
      </c>
      <c r="M521" s="123" t="str">
        <f>IF(K521&gt;0,L521/K521*100,"-")</f>
        <v>-</v>
      </c>
      <c r="N521" s="684"/>
    </row>
    <row r="522" spans="1:14" ht="10.5" customHeight="1" outlineLevel="1">
      <c r="A522" s="686"/>
      <c r="B522" s="71" t="s">
        <v>24</v>
      </c>
      <c r="C522" s="533" t="s">
        <v>376</v>
      </c>
      <c r="D522" s="683"/>
      <c r="E522" s="683"/>
      <c r="F522" s="515" t="s">
        <v>23</v>
      </c>
      <c r="G522" s="170">
        <v>5602360</v>
      </c>
      <c r="H522" s="170">
        <f>ROUNDUP(5388145+L522,0)</f>
        <v>5388145</v>
      </c>
      <c r="I522" s="123">
        <f>IF(G522&gt;0,H522/G522*100,"-")</f>
        <v>96.17634354093632</v>
      </c>
      <c r="J522" s="170">
        <v>0</v>
      </c>
      <c r="K522" s="170">
        <v>214215</v>
      </c>
      <c r="L522" s="82">
        <v>0</v>
      </c>
      <c r="M522" s="123">
        <f>IF(K522&gt;0,L522/K522*100,"-")</f>
        <v>0</v>
      </c>
      <c r="N522" s="684"/>
    </row>
    <row r="523" spans="1:14" ht="10.5" customHeight="1" outlineLevel="1">
      <c r="A523" s="686"/>
      <c r="B523" s="71"/>
      <c r="C523" s="531"/>
      <c r="D523" s="683"/>
      <c r="E523" s="683"/>
      <c r="F523" s="515"/>
      <c r="G523" s="170"/>
      <c r="H523" s="170"/>
      <c r="I523" s="123"/>
      <c r="J523" s="170"/>
      <c r="K523" s="170"/>
      <c r="L523" s="82"/>
      <c r="M523" s="123"/>
      <c r="N523" s="684"/>
    </row>
    <row r="524" spans="1:14" ht="3.75" customHeight="1" outlineLevel="1">
      <c r="A524" s="516"/>
      <c r="B524" s="517"/>
      <c r="C524" s="518"/>
      <c r="D524" s="519"/>
      <c r="E524" s="519"/>
      <c r="F524" s="520"/>
      <c r="G524" s="174"/>
      <c r="H524" s="174"/>
      <c r="I524" s="452"/>
      <c r="J524" s="174"/>
      <c r="K524" s="174"/>
      <c r="L524" s="521"/>
      <c r="M524" s="522"/>
      <c r="N524" s="523"/>
    </row>
    <row r="525" spans="1:14" ht="3.75" customHeight="1" outlineLevel="1">
      <c r="A525" s="502"/>
      <c r="B525" s="503"/>
      <c r="C525" s="524"/>
      <c r="D525" s="525"/>
      <c r="E525" s="525"/>
      <c r="F525" s="526"/>
      <c r="G525" s="176"/>
      <c r="H525" s="176"/>
      <c r="I525" s="133"/>
      <c r="J525" s="176"/>
      <c r="K525" s="176"/>
      <c r="L525" s="527"/>
      <c r="M525" s="528"/>
      <c r="N525" s="529"/>
    </row>
    <row r="526" spans="1:14" ht="10.5" customHeight="1" outlineLevel="1">
      <c r="A526" s="686" t="s">
        <v>390</v>
      </c>
      <c r="B526" s="509" t="s">
        <v>29</v>
      </c>
      <c r="C526" s="510" t="s">
        <v>391</v>
      </c>
      <c r="D526" s="683" t="s">
        <v>392</v>
      </c>
      <c r="E526" s="683" t="s">
        <v>366</v>
      </c>
      <c r="F526" s="511" t="s">
        <v>30</v>
      </c>
      <c r="G526" s="175">
        <f>SUM(G527:G529)</f>
        <v>4645800</v>
      </c>
      <c r="H526" s="175">
        <f>SUM(H527:H529)</f>
        <v>4496090</v>
      </c>
      <c r="I526" s="129">
        <f>IF(G526&gt;0,H526/G526*100,"-")</f>
        <v>96.77751947996039</v>
      </c>
      <c r="J526" s="175">
        <f>SUM(J527:J529)</f>
        <v>87000</v>
      </c>
      <c r="K526" s="175">
        <f>SUM(K527:K529)</f>
        <v>153244</v>
      </c>
      <c r="L526" s="512">
        <f>SUM(L527:L529)</f>
        <v>3533.85</v>
      </c>
      <c r="M526" s="530">
        <f>IF(K526&gt;0,L526/K526*100,"-")</f>
        <v>2.3060282947456345</v>
      </c>
      <c r="N526" s="684" t="s">
        <v>393</v>
      </c>
    </row>
    <row r="527" spans="1:14" ht="10.5" customHeight="1" outlineLevel="1">
      <c r="A527" s="686"/>
      <c r="B527" s="509"/>
      <c r="C527" s="514" t="s">
        <v>394</v>
      </c>
      <c r="D527" s="683"/>
      <c r="E527" s="683"/>
      <c r="F527" s="515" t="s">
        <v>18</v>
      </c>
      <c r="G527" s="170">
        <v>4645800</v>
      </c>
      <c r="H527" s="170">
        <f>ROUNDUP(4492556+L527,0)</f>
        <v>4496090</v>
      </c>
      <c r="I527" s="123">
        <f>IF(G527&gt;0,H527/G527*100,"-")</f>
        <v>96.77751947996039</v>
      </c>
      <c r="J527" s="170">
        <v>87000</v>
      </c>
      <c r="K527" s="170">
        <v>153244</v>
      </c>
      <c r="L527" s="76">
        <v>3533.85</v>
      </c>
      <c r="M527" s="123">
        <f>IF(K527&gt;0,L527/K527*100,"-")</f>
        <v>2.3060282947456345</v>
      </c>
      <c r="N527" s="684"/>
    </row>
    <row r="528" spans="1:14" ht="10.5" customHeight="1" outlineLevel="1">
      <c r="A528" s="686"/>
      <c r="B528" s="509" t="s">
        <v>24</v>
      </c>
      <c r="C528" s="514" t="s">
        <v>320</v>
      </c>
      <c r="D528" s="683"/>
      <c r="E528" s="683"/>
      <c r="F528" s="515" t="s">
        <v>236</v>
      </c>
      <c r="G528" s="170">
        <v>0</v>
      </c>
      <c r="H528" s="170">
        <f>ROUNDUP(0+L528,0)</f>
        <v>0</v>
      </c>
      <c r="I528" s="123" t="str">
        <f>IF(G528&gt;0,H528/G528*100,"-")</f>
        <v>-</v>
      </c>
      <c r="J528" s="170">
        <v>0</v>
      </c>
      <c r="K528" s="170">
        <v>0</v>
      </c>
      <c r="L528" s="82">
        <v>0</v>
      </c>
      <c r="M528" s="123" t="str">
        <f>IF(K528&gt;0,L528/K528*100,"-")</f>
        <v>-</v>
      </c>
      <c r="N528" s="684"/>
    </row>
    <row r="529" spans="1:14" ht="10.5" customHeight="1" outlineLevel="1">
      <c r="A529" s="686"/>
      <c r="B529" s="71"/>
      <c r="C529" s="533"/>
      <c r="D529" s="683"/>
      <c r="E529" s="683"/>
      <c r="F529" s="515" t="s">
        <v>23</v>
      </c>
      <c r="G529" s="170">
        <v>0</v>
      </c>
      <c r="H529" s="170">
        <f>ROUNDUP(0+L529,0)</f>
        <v>0</v>
      </c>
      <c r="I529" s="123" t="str">
        <f>IF(G529&gt;0,H529/G529*100,"-")</f>
        <v>-</v>
      </c>
      <c r="J529" s="170">
        <v>0</v>
      </c>
      <c r="K529" s="170">
        <v>0</v>
      </c>
      <c r="L529" s="82">
        <v>0</v>
      </c>
      <c r="M529" s="123" t="str">
        <f>IF(K529&gt;0,L529/K529*100,"-")</f>
        <v>-</v>
      </c>
      <c r="N529" s="684"/>
    </row>
    <row r="530" spans="1:14" ht="3.75" customHeight="1" outlineLevel="1">
      <c r="A530" s="516"/>
      <c r="B530" s="517"/>
      <c r="C530" s="518"/>
      <c r="D530" s="519"/>
      <c r="E530" s="519"/>
      <c r="F530" s="520"/>
      <c r="G530" s="174"/>
      <c r="H530" s="174"/>
      <c r="I530" s="452"/>
      <c r="J530" s="174"/>
      <c r="K530" s="174"/>
      <c r="L530" s="521"/>
      <c r="M530" s="522"/>
      <c r="N530" s="523"/>
    </row>
    <row r="531" spans="1:14" ht="3.75" customHeight="1" outlineLevel="1">
      <c r="A531" s="502"/>
      <c r="B531" s="503"/>
      <c r="C531" s="524"/>
      <c r="D531" s="525"/>
      <c r="E531" s="525"/>
      <c r="F531" s="526"/>
      <c r="G531" s="176"/>
      <c r="H531" s="176"/>
      <c r="I531" s="133"/>
      <c r="J531" s="176"/>
      <c r="K531" s="176"/>
      <c r="L531" s="527"/>
      <c r="M531" s="528"/>
      <c r="N531" s="529"/>
    </row>
    <row r="532" spans="1:14" ht="10.5" customHeight="1" outlineLevel="1">
      <c r="A532" s="685" t="s">
        <v>395</v>
      </c>
      <c r="B532" s="71" t="s">
        <v>29</v>
      </c>
      <c r="C532" s="532" t="s">
        <v>396</v>
      </c>
      <c r="D532" s="683" t="s">
        <v>397</v>
      </c>
      <c r="E532" s="683" t="s">
        <v>366</v>
      </c>
      <c r="F532" s="511" t="s">
        <v>30</v>
      </c>
      <c r="G532" s="175">
        <f>SUM(G533:G535)</f>
        <v>13458711</v>
      </c>
      <c r="H532" s="175">
        <f>SUM(H533:H535)</f>
        <v>457388</v>
      </c>
      <c r="I532" s="129">
        <f>IF(G532&gt;0,H532/G532*100,"-")</f>
        <v>3.3984532396898928</v>
      </c>
      <c r="J532" s="175">
        <f>SUM(J533:J535)</f>
        <v>0</v>
      </c>
      <c r="K532" s="175">
        <f>SUM(K533:K535)</f>
        <v>476923</v>
      </c>
      <c r="L532" s="512">
        <f>SUM(L533:L535)</f>
        <v>0</v>
      </c>
      <c r="M532" s="530">
        <f>IF(K532&gt;0,L532/K532*100,"-")</f>
        <v>0</v>
      </c>
      <c r="N532" s="684" t="s">
        <v>398</v>
      </c>
    </row>
    <row r="533" spans="1:14" ht="10.5" customHeight="1" outlineLevel="1">
      <c r="A533" s="685"/>
      <c r="C533" s="531" t="s">
        <v>399</v>
      </c>
      <c r="D533" s="683"/>
      <c r="E533" s="683"/>
      <c r="F533" s="515" t="s">
        <v>18</v>
      </c>
      <c r="G533" s="170">
        <v>13458711</v>
      </c>
      <c r="H533" s="170">
        <f>ROUNDUP(457388+L533,0)</f>
        <v>457388</v>
      </c>
      <c r="I533" s="123">
        <f>IF(G533&gt;0,H533/G533*100,"-")</f>
        <v>3.3984532396898928</v>
      </c>
      <c r="J533" s="170">
        <v>0</v>
      </c>
      <c r="K533" s="170">
        <v>476923</v>
      </c>
      <c r="L533" s="76">
        <v>0</v>
      </c>
      <c r="M533" s="123">
        <f>IF(K533&gt;0,L533/K533*100,"-")</f>
        <v>0</v>
      </c>
      <c r="N533" s="684"/>
    </row>
    <row r="534" spans="1:14" ht="10.5" customHeight="1" outlineLevel="1">
      <c r="A534" s="685"/>
      <c r="B534" s="71"/>
      <c r="C534" s="532" t="s">
        <v>400</v>
      </c>
      <c r="D534" s="683"/>
      <c r="E534" s="683"/>
      <c r="F534" s="515" t="s">
        <v>236</v>
      </c>
      <c r="G534" s="170">
        <v>0</v>
      </c>
      <c r="H534" s="170">
        <f>ROUNDUP(0+L534,0)</f>
        <v>0</v>
      </c>
      <c r="I534" s="123" t="str">
        <f>IF(G534&gt;0,H534/G534*100,"-")</f>
        <v>-</v>
      </c>
      <c r="J534" s="170">
        <v>0</v>
      </c>
      <c r="K534" s="170">
        <v>0</v>
      </c>
      <c r="L534" s="82">
        <v>0</v>
      </c>
      <c r="M534" s="123" t="str">
        <f>IF(K534&gt;0,L534/K534*100,"-")</f>
        <v>-</v>
      </c>
      <c r="N534" s="684"/>
    </row>
    <row r="535" spans="1:14" ht="10.5" customHeight="1" outlineLevel="1">
      <c r="A535" s="685"/>
      <c r="B535" s="71" t="s">
        <v>24</v>
      </c>
      <c r="C535" s="533" t="s">
        <v>320</v>
      </c>
      <c r="D535" s="683"/>
      <c r="E535" s="683"/>
      <c r="F535" s="515" t="s">
        <v>23</v>
      </c>
      <c r="G535" s="170">
        <v>0</v>
      </c>
      <c r="H535" s="170">
        <f>ROUNDUP(0+L535,0)</f>
        <v>0</v>
      </c>
      <c r="I535" s="123" t="str">
        <f>IF(G535&gt;0,H535/G535*100,"-")</f>
        <v>-</v>
      </c>
      <c r="J535" s="170">
        <v>0</v>
      </c>
      <c r="K535" s="170">
        <v>0</v>
      </c>
      <c r="L535" s="82">
        <v>0</v>
      </c>
      <c r="M535" s="123" t="str">
        <f>IF(K535&gt;0,L535/K535*100,"-")</f>
        <v>-</v>
      </c>
      <c r="N535" s="684"/>
    </row>
    <row r="536" spans="1:14" ht="3.75" customHeight="1" outlineLevel="1">
      <c r="A536" s="516"/>
      <c r="B536" s="517"/>
      <c r="C536" s="518"/>
      <c r="D536" s="519"/>
      <c r="E536" s="519"/>
      <c r="F536" s="520"/>
      <c r="G536" s="174"/>
      <c r="H536" s="174"/>
      <c r="I536" s="452"/>
      <c r="J536" s="174"/>
      <c r="K536" s="174"/>
      <c r="L536" s="521"/>
      <c r="M536" s="522"/>
      <c r="N536" s="523"/>
    </row>
    <row r="537" spans="1:14" ht="3.75" customHeight="1" outlineLevel="1">
      <c r="A537" s="502"/>
      <c r="B537" s="503"/>
      <c r="C537" s="524"/>
      <c r="D537" s="525"/>
      <c r="E537" s="525"/>
      <c r="F537" s="526"/>
      <c r="G537" s="176"/>
      <c r="H537" s="176"/>
      <c r="I537" s="133"/>
      <c r="J537" s="176"/>
      <c r="K537" s="176"/>
      <c r="L537" s="527"/>
      <c r="M537" s="528"/>
      <c r="N537" s="529"/>
    </row>
    <row r="538" spans="1:14" ht="10.5" customHeight="1" outlineLevel="1">
      <c r="A538" s="685" t="s">
        <v>401</v>
      </c>
      <c r="B538" s="71" t="s">
        <v>29</v>
      </c>
      <c r="C538" s="532" t="s">
        <v>402</v>
      </c>
      <c r="D538" s="683" t="s">
        <v>403</v>
      </c>
      <c r="E538" s="683" t="s">
        <v>366</v>
      </c>
      <c r="F538" s="511" t="s">
        <v>30</v>
      </c>
      <c r="G538" s="175">
        <f>SUM(G539:G541)</f>
        <v>5531828</v>
      </c>
      <c r="H538" s="175">
        <f>SUM(H539:H541)</f>
        <v>5431822</v>
      </c>
      <c r="I538" s="129">
        <f>IF(G538&gt;0,H538/G538*100,"-")</f>
        <v>98.19217083394494</v>
      </c>
      <c r="J538" s="175">
        <f>SUM(J539:J541)</f>
        <v>527148</v>
      </c>
      <c r="K538" s="175">
        <f>SUM(K539:K541)</f>
        <v>745452</v>
      </c>
      <c r="L538" s="512">
        <f>SUM(L539:L541)</f>
        <v>645445.6</v>
      </c>
      <c r="M538" s="530">
        <f>IF(K538&gt;0,L538/K538*100,"-")</f>
        <v>86.58446150791734</v>
      </c>
      <c r="N538" s="684" t="s">
        <v>337</v>
      </c>
    </row>
    <row r="539" spans="1:14" ht="10.5" customHeight="1" outlineLevel="1">
      <c r="A539" s="685"/>
      <c r="B539" s="71" t="s">
        <v>24</v>
      </c>
      <c r="C539" s="533" t="s">
        <v>320</v>
      </c>
      <c r="D539" s="683"/>
      <c r="E539" s="683"/>
      <c r="F539" s="515" t="s">
        <v>18</v>
      </c>
      <c r="G539" s="170">
        <v>4101984</v>
      </c>
      <c r="H539" s="170">
        <f>ROUNDUP(3356532+L539,0)</f>
        <v>4001978</v>
      </c>
      <c r="I539" s="123">
        <f>IF(G539&gt;0,H539/G539*100,"-")</f>
        <v>97.56200901807516</v>
      </c>
      <c r="J539" s="170">
        <v>527148</v>
      </c>
      <c r="K539" s="170">
        <v>745452</v>
      </c>
      <c r="L539" s="76">
        <v>645445.6</v>
      </c>
      <c r="M539" s="123">
        <f>IF(K539&gt;0,L539/K539*100,"-")</f>
        <v>86.58446150791734</v>
      </c>
      <c r="N539" s="684"/>
    </row>
    <row r="540" spans="1:14" ht="10.5" customHeight="1" outlineLevel="1">
      <c r="A540" s="685"/>
      <c r="B540" s="71"/>
      <c r="C540" s="532"/>
      <c r="D540" s="683"/>
      <c r="E540" s="683"/>
      <c r="F540" s="515" t="s">
        <v>236</v>
      </c>
      <c r="G540" s="170">
        <v>1429844</v>
      </c>
      <c r="H540" s="170">
        <f>ROUNDUP(1429844+L540,0)</f>
        <v>1429844</v>
      </c>
      <c r="I540" s="123">
        <f>IF(G540&gt;0,H540/G540*100,"-")</f>
        <v>100</v>
      </c>
      <c r="J540" s="170">
        <v>0</v>
      </c>
      <c r="K540" s="170">
        <v>0</v>
      </c>
      <c r="L540" s="82">
        <v>0</v>
      </c>
      <c r="M540" s="123" t="str">
        <f>IF(K540&gt;0,L540/K540*100,"-")</f>
        <v>-</v>
      </c>
      <c r="N540" s="684"/>
    </row>
    <row r="541" spans="1:14" ht="10.5" customHeight="1" outlineLevel="1">
      <c r="A541" s="685"/>
      <c r="C541" s="531"/>
      <c r="D541" s="683"/>
      <c r="E541" s="683"/>
      <c r="F541" s="515" t="s">
        <v>23</v>
      </c>
      <c r="G541" s="170">
        <v>0</v>
      </c>
      <c r="H541" s="170">
        <f>ROUNDUP(0+L541,0)</f>
        <v>0</v>
      </c>
      <c r="I541" s="123" t="str">
        <f>IF(G541&gt;0,H541/G541*100,"-")</f>
        <v>-</v>
      </c>
      <c r="J541" s="170">
        <v>0</v>
      </c>
      <c r="K541" s="170">
        <v>0</v>
      </c>
      <c r="L541" s="82">
        <v>0</v>
      </c>
      <c r="M541" s="123" t="str">
        <f>IF(K541&gt;0,L541/K541*100,"-")</f>
        <v>-</v>
      </c>
      <c r="N541" s="684"/>
    </row>
    <row r="542" spans="1:14" ht="3.75" customHeight="1" outlineLevel="1">
      <c r="A542" s="516"/>
      <c r="B542" s="517"/>
      <c r="C542" s="518"/>
      <c r="D542" s="519"/>
      <c r="E542" s="519"/>
      <c r="F542" s="520"/>
      <c r="G542" s="174"/>
      <c r="H542" s="174"/>
      <c r="I542" s="452"/>
      <c r="J542" s="174"/>
      <c r="K542" s="174"/>
      <c r="L542" s="521"/>
      <c r="M542" s="522"/>
      <c r="N542" s="523"/>
    </row>
    <row r="543" spans="1:14" ht="3.75" customHeight="1" outlineLevel="1">
      <c r="A543" s="502"/>
      <c r="B543" s="503"/>
      <c r="C543" s="524"/>
      <c r="D543" s="525"/>
      <c r="E543" s="525"/>
      <c r="F543" s="526"/>
      <c r="G543" s="176"/>
      <c r="H543" s="176"/>
      <c r="I543" s="133"/>
      <c r="J543" s="176"/>
      <c r="K543" s="176"/>
      <c r="L543" s="527"/>
      <c r="M543" s="528"/>
      <c r="N543" s="529"/>
    </row>
    <row r="544" spans="1:14" ht="10.5" customHeight="1" outlineLevel="1">
      <c r="A544" s="685" t="s">
        <v>404</v>
      </c>
      <c r="B544" s="71" t="s">
        <v>29</v>
      </c>
      <c r="C544" s="532" t="s">
        <v>405</v>
      </c>
      <c r="D544" s="683" t="s">
        <v>335</v>
      </c>
      <c r="E544" s="683" t="s">
        <v>406</v>
      </c>
      <c r="F544" s="511" t="s">
        <v>30</v>
      </c>
      <c r="G544" s="175">
        <f>SUM(G545:G547)</f>
        <v>280000</v>
      </c>
      <c r="H544" s="175">
        <f>SUM(H545:H547)</f>
        <v>137200</v>
      </c>
      <c r="I544" s="129">
        <f>IF(G544&gt;0,H544/G544*100,"-")</f>
        <v>49</v>
      </c>
      <c r="J544" s="175">
        <f>SUM(J545:J547)</f>
        <v>270000</v>
      </c>
      <c r="K544" s="175">
        <f>SUM(K545:K547)</f>
        <v>280000</v>
      </c>
      <c r="L544" s="512">
        <f>SUM(L545:L547)</f>
        <v>137200</v>
      </c>
      <c r="M544" s="530">
        <f>IF(K544&gt;0,L544/K544*100,"-")</f>
        <v>49</v>
      </c>
      <c r="N544" s="684" t="s">
        <v>337</v>
      </c>
    </row>
    <row r="545" spans="1:14" ht="10.5" customHeight="1" outlineLevel="1">
      <c r="A545" s="685"/>
      <c r="B545" s="71"/>
      <c r="C545" s="533" t="s">
        <v>407</v>
      </c>
      <c r="D545" s="683"/>
      <c r="E545" s="683"/>
      <c r="F545" s="515" t="s">
        <v>18</v>
      </c>
      <c r="G545" s="170">
        <v>280000</v>
      </c>
      <c r="H545" s="170">
        <f>ROUNDUP(0+L545,0)</f>
        <v>137200</v>
      </c>
      <c r="I545" s="123">
        <f>IF(G545&gt;0,H545/G545*100,"-")</f>
        <v>49</v>
      </c>
      <c r="J545" s="170">
        <v>270000</v>
      </c>
      <c r="K545" s="170">
        <v>280000</v>
      </c>
      <c r="L545" s="76">
        <v>137200</v>
      </c>
      <c r="M545" s="123">
        <f>IF(K545&gt;0,L545/K545*100,"-")</f>
        <v>49</v>
      </c>
      <c r="N545" s="684"/>
    </row>
    <row r="546" spans="1:14" ht="10.5" customHeight="1" outlineLevel="1">
      <c r="A546" s="685"/>
      <c r="B546" s="71" t="s">
        <v>24</v>
      </c>
      <c r="C546" s="533" t="s">
        <v>320</v>
      </c>
      <c r="D546" s="683"/>
      <c r="E546" s="683"/>
      <c r="F546" s="515" t="s">
        <v>236</v>
      </c>
      <c r="G546" s="170">
        <v>0</v>
      </c>
      <c r="H546" s="170">
        <f>ROUNDUP(0+L546,0)</f>
        <v>0</v>
      </c>
      <c r="I546" s="123" t="str">
        <f>IF(G546&gt;0,H546/G546*100,"-")</f>
        <v>-</v>
      </c>
      <c r="J546" s="170">
        <v>0</v>
      </c>
      <c r="K546" s="170">
        <v>0</v>
      </c>
      <c r="L546" s="82">
        <v>0</v>
      </c>
      <c r="M546" s="123" t="str">
        <f>IF(K546&gt;0,L546/K546*100,"-")</f>
        <v>-</v>
      </c>
      <c r="N546" s="684"/>
    </row>
    <row r="547" spans="1:14" ht="10.5" customHeight="1" outlineLevel="1">
      <c r="A547" s="685"/>
      <c r="C547" s="531"/>
      <c r="D547" s="683"/>
      <c r="E547" s="683"/>
      <c r="F547" s="515" t="s">
        <v>23</v>
      </c>
      <c r="G547" s="170">
        <v>0</v>
      </c>
      <c r="H547" s="170">
        <f>ROUNDUP(0+L547,0)</f>
        <v>0</v>
      </c>
      <c r="I547" s="123" t="str">
        <f>IF(G547&gt;0,H547/G547*100,"-")</f>
        <v>-</v>
      </c>
      <c r="J547" s="170">
        <v>0</v>
      </c>
      <c r="K547" s="170">
        <v>0</v>
      </c>
      <c r="L547" s="82">
        <v>0</v>
      </c>
      <c r="M547" s="123" t="str">
        <f>IF(K547&gt;0,L547/K547*100,"-")</f>
        <v>-</v>
      </c>
      <c r="N547" s="684"/>
    </row>
    <row r="548" spans="1:14" ht="3.75" customHeight="1" outlineLevel="1">
      <c r="A548" s="516"/>
      <c r="B548" s="517"/>
      <c r="C548" s="518"/>
      <c r="D548" s="519"/>
      <c r="E548" s="519"/>
      <c r="F548" s="520"/>
      <c r="G548" s="174"/>
      <c r="H548" s="174"/>
      <c r="I548" s="452"/>
      <c r="J548" s="174"/>
      <c r="K548" s="174"/>
      <c r="L548" s="521"/>
      <c r="M548" s="522"/>
      <c r="N548" s="523"/>
    </row>
    <row r="549" spans="1:14" ht="3.75" customHeight="1" outlineLevel="1">
      <c r="A549" s="468"/>
      <c r="B549" s="67"/>
      <c r="C549" s="534"/>
      <c r="D549" s="535"/>
      <c r="E549" s="535"/>
      <c r="F549" s="131"/>
      <c r="G549" s="483"/>
      <c r="H549" s="483"/>
      <c r="I549" s="133"/>
      <c r="J549" s="483"/>
      <c r="K549" s="176"/>
      <c r="L549" s="134"/>
      <c r="M549" s="70"/>
      <c r="N549" s="484"/>
    </row>
    <row r="550" spans="1:14" ht="10.5" customHeight="1" outlineLevel="1">
      <c r="A550" s="572" t="s">
        <v>408</v>
      </c>
      <c r="B550" s="71" t="s">
        <v>29</v>
      </c>
      <c r="C550" s="532" t="s">
        <v>409</v>
      </c>
      <c r="D550" s="647" t="s">
        <v>410</v>
      </c>
      <c r="E550" s="647"/>
      <c r="F550" s="536" t="s">
        <v>30</v>
      </c>
      <c r="G550" s="175">
        <f>SUM(G551:G553)</f>
        <v>19339741</v>
      </c>
      <c r="H550" s="175">
        <f>SUM(H551:H553)</f>
        <v>5128584</v>
      </c>
      <c r="I550" s="129">
        <f>IF(G550&gt;0,H550/G550*100,"-")</f>
        <v>26.51836961001701</v>
      </c>
      <c r="J550" s="175">
        <f>SUM(J551:J553)</f>
        <v>3820000</v>
      </c>
      <c r="K550" s="175">
        <f>SUM(K551:K553)</f>
        <v>5578968</v>
      </c>
      <c r="L550" s="130">
        <f>SUM(L551:L553)</f>
        <v>865233.94</v>
      </c>
      <c r="M550" s="36">
        <f>IF(K550&gt;0,L550/K550*100,"-")</f>
        <v>15.508852891789305</v>
      </c>
      <c r="N550" s="688" t="s">
        <v>411</v>
      </c>
    </row>
    <row r="551" spans="1:14" ht="10.5" customHeight="1" outlineLevel="1">
      <c r="A551" s="572"/>
      <c r="B551" s="71"/>
      <c r="C551" s="533" t="s">
        <v>412</v>
      </c>
      <c r="D551" s="647"/>
      <c r="E551" s="647"/>
      <c r="F551" s="515" t="s">
        <v>18</v>
      </c>
      <c r="G551" s="170">
        <f aca="true" t="shared" si="32" ref="G551:H553">G555+G559</f>
        <v>19339741</v>
      </c>
      <c r="H551" s="170">
        <f t="shared" si="32"/>
        <v>5128584</v>
      </c>
      <c r="I551" s="123">
        <f>IF(G551&gt;0,H551/G551*100,"-")</f>
        <v>26.51836961001701</v>
      </c>
      <c r="J551" s="170">
        <f aca="true" t="shared" si="33" ref="J551:L553">J555+J559</f>
        <v>3820000</v>
      </c>
      <c r="K551" s="170">
        <f t="shared" si="33"/>
        <v>5578968</v>
      </c>
      <c r="L551" s="76">
        <f t="shared" si="33"/>
        <v>865233.94</v>
      </c>
      <c r="M551" s="75">
        <f>IF(K551&gt;0,L551/K551*100,"-")</f>
        <v>15.508852891789305</v>
      </c>
      <c r="N551" s="689"/>
    </row>
    <row r="552" spans="1:14" ht="10.5" customHeight="1" outlineLevel="1">
      <c r="A552" s="572"/>
      <c r="B552" s="71"/>
      <c r="C552" s="533" t="s">
        <v>413</v>
      </c>
      <c r="D552" s="647"/>
      <c r="E552" s="647"/>
      <c r="F552" s="515" t="s">
        <v>236</v>
      </c>
      <c r="G552" s="170">
        <f t="shared" si="32"/>
        <v>0</v>
      </c>
      <c r="H552" s="170">
        <f t="shared" si="32"/>
        <v>0</v>
      </c>
      <c r="I552" s="123" t="str">
        <f>IF(G552&gt;0,H552/G552*100,"-")</f>
        <v>-</v>
      </c>
      <c r="J552" s="170">
        <f t="shared" si="33"/>
        <v>0</v>
      </c>
      <c r="K552" s="170">
        <f t="shared" si="33"/>
        <v>0</v>
      </c>
      <c r="L552" s="76">
        <f t="shared" si="33"/>
        <v>0</v>
      </c>
      <c r="M552" s="75" t="str">
        <f>IF(K552&gt;0,L552/K552*100,"-")</f>
        <v>-</v>
      </c>
      <c r="N552" s="689"/>
    </row>
    <row r="553" spans="1:14" ht="10.5" customHeight="1" outlineLevel="1">
      <c r="A553" s="572"/>
      <c r="B553" s="71"/>
      <c r="C553" s="533" t="s">
        <v>414</v>
      </c>
      <c r="D553" s="647"/>
      <c r="E553" s="647"/>
      <c r="F553" s="515" t="s">
        <v>23</v>
      </c>
      <c r="G553" s="170">
        <f t="shared" si="32"/>
        <v>0</v>
      </c>
      <c r="H553" s="170">
        <f t="shared" si="32"/>
        <v>0</v>
      </c>
      <c r="I553" s="123" t="str">
        <f>IF(G553&gt;0,H553/G553*100,"-")</f>
        <v>-</v>
      </c>
      <c r="J553" s="170">
        <f t="shared" si="33"/>
        <v>0</v>
      </c>
      <c r="K553" s="170">
        <f t="shared" si="33"/>
        <v>0</v>
      </c>
      <c r="L553" s="76">
        <f t="shared" si="33"/>
        <v>0</v>
      </c>
      <c r="M553" s="75" t="str">
        <f>IF(K553&gt;0,L553/K553*100,"-")</f>
        <v>-</v>
      </c>
      <c r="N553" s="689"/>
    </row>
    <row r="554" spans="1:14" ht="12.75" customHeight="1" outlineLevel="1">
      <c r="A554" s="96"/>
      <c r="B554" s="71"/>
      <c r="C554" s="532" t="s">
        <v>415</v>
      </c>
      <c r="D554" s="209"/>
      <c r="E554" s="209"/>
      <c r="F554" s="537"/>
      <c r="G554" s="445"/>
      <c r="H554" s="445"/>
      <c r="I554" s="538"/>
      <c r="J554" s="445"/>
      <c r="K554" s="170"/>
      <c r="L554" s="82"/>
      <c r="M554" s="75"/>
      <c r="N554" s="689"/>
    </row>
    <row r="555" spans="1:14" ht="10.5" customHeight="1" outlineLevel="1">
      <c r="A555" s="96"/>
      <c r="B555" s="71" t="s">
        <v>416</v>
      </c>
      <c r="C555" s="532" t="s">
        <v>320</v>
      </c>
      <c r="D555" s="209"/>
      <c r="E555" s="691" t="s">
        <v>417</v>
      </c>
      <c r="F555" s="539" t="s">
        <v>18</v>
      </c>
      <c r="G555" s="482">
        <v>18789741</v>
      </c>
      <c r="H555" s="482">
        <f>ROUNDUP(4263349+L555,0)</f>
        <v>4688437</v>
      </c>
      <c r="I555" s="540">
        <f>IF(G555&gt;0,H555/G555*100,"-")</f>
        <v>24.95211083537554</v>
      </c>
      <c r="J555" s="482">
        <v>3820000</v>
      </c>
      <c r="K555" s="482">
        <v>5028968</v>
      </c>
      <c r="L555" s="488">
        <v>425087.17</v>
      </c>
      <c r="M555" s="487">
        <f>IF(K555&gt;0,L555/K555*100,"-")</f>
        <v>8.45277142348092</v>
      </c>
      <c r="N555" s="689"/>
    </row>
    <row r="556" spans="1:14" ht="10.5" customHeight="1" outlineLevel="1">
      <c r="A556" s="96"/>
      <c r="B556" s="71"/>
      <c r="C556" s="532"/>
      <c r="D556" s="209"/>
      <c r="E556" s="691"/>
      <c r="F556" s="539" t="s">
        <v>236</v>
      </c>
      <c r="G556" s="482">
        <v>0</v>
      </c>
      <c r="H556" s="482">
        <f>ROUNDUP(0+L556,0)</f>
        <v>0</v>
      </c>
      <c r="I556" s="540" t="str">
        <f>IF(G556&gt;0,H556/G556*100,"-")</f>
        <v>-</v>
      </c>
      <c r="J556" s="482">
        <v>0</v>
      </c>
      <c r="K556" s="482">
        <v>0</v>
      </c>
      <c r="L556" s="489">
        <v>0</v>
      </c>
      <c r="M556" s="487" t="str">
        <f>IF(K556&gt;0,L556/K556*100,"-")</f>
        <v>-</v>
      </c>
      <c r="N556" s="689"/>
    </row>
    <row r="557" spans="1:14" ht="10.5" customHeight="1" outlineLevel="1">
      <c r="A557" s="96"/>
      <c r="B557" s="71"/>
      <c r="C557" s="532"/>
      <c r="D557" s="209"/>
      <c r="E557" s="691"/>
      <c r="F557" s="539" t="s">
        <v>23</v>
      </c>
      <c r="G557" s="482">
        <v>0</v>
      </c>
      <c r="H557" s="482">
        <f>ROUNDUP(0+L557,0)</f>
        <v>0</v>
      </c>
      <c r="I557" s="540" t="str">
        <f>IF(G557&gt;0,H557/G557*100,"-")</f>
        <v>-</v>
      </c>
      <c r="J557" s="482">
        <v>0</v>
      </c>
      <c r="K557" s="482">
        <v>0</v>
      </c>
      <c r="L557" s="489">
        <v>0</v>
      </c>
      <c r="M557" s="487" t="str">
        <f>IF(K557&gt;0,L557/K557*100,"-")</f>
        <v>-</v>
      </c>
      <c r="N557" s="689"/>
    </row>
    <row r="558" spans="1:14" ht="6.75" customHeight="1" outlineLevel="1">
      <c r="A558" s="96"/>
      <c r="B558" s="71"/>
      <c r="C558" s="532"/>
      <c r="D558" s="683"/>
      <c r="E558" s="541"/>
      <c r="F558" s="542"/>
      <c r="G558" s="492"/>
      <c r="H558" s="492"/>
      <c r="I558" s="543"/>
      <c r="J558" s="492"/>
      <c r="K558" s="482"/>
      <c r="L558" s="489"/>
      <c r="M558" s="487"/>
      <c r="N558" s="689"/>
    </row>
    <row r="559" spans="1:14" ht="10.5" customHeight="1" outlineLevel="1">
      <c r="A559" s="96"/>
      <c r="B559" s="71"/>
      <c r="C559" s="532"/>
      <c r="D559" s="683"/>
      <c r="E559" s="692" t="s">
        <v>274</v>
      </c>
      <c r="F559" s="539" t="s">
        <v>18</v>
      </c>
      <c r="G559" s="482">
        <v>550000</v>
      </c>
      <c r="H559" s="482">
        <f>ROUNDUP(0+L559,0)</f>
        <v>440147</v>
      </c>
      <c r="I559" s="540">
        <f>IF(G559&gt;0,H559/G559*100,"-")</f>
        <v>80.02672727272727</v>
      </c>
      <c r="J559" s="482">
        <v>0</v>
      </c>
      <c r="K559" s="482">
        <v>550000</v>
      </c>
      <c r="L559" s="488">
        <v>440146.77</v>
      </c>
      <c r="M559" s="487">
        <f>IF(K559&gt;0,L559/K559*100,"-")</f>
        <v>80.02668545454546</v>
      </c>
      <c r="N559" s="689"/>
    </row>
    <row r="560" spans="1:14" ht="10.5" customHeight="1" outlineLevel="1">
      <c r="A560" s="96"/>
      <c r="B560" s="71"/>
      <c r="C560" s="532"/>
      <c r="D560" s="683"/>
      <c r="E560" s="692"/>
      <c r="F560" s="539" t="s">
        <v>236</v>
      </c>
      <c r="G560" s="482">
        <v>0</v>
      </c>
      <c r="H560" s="482">
        <f>ROUNDUP(0+L560,0)</f>
        <v>0</v>
      </c>
      <c r="I560" s="540" t="str">
        <f>IF(G560&gt;0,H560/G560*100,"-")</f>
        <v>-</v>
      </c>
      <c r="J560" s="482">
        <v>0</v>
      </c>
      <c r="K560" s="482">
        <v>0</v>
      </c>
      <c r="L560" s="489">
        <v>0</v>
      </c>
      <c r="M560" s="487" t="str">
        <f>IF(K560&gt;0,L560/K560*100,"-")</f>
        <v>-</v>
      </c>
      <c r="N560" s="689"/>
    </row>
    <row r="561" spans="1:14" ht="10.5" customHeight="1" outlineLevel="1">
      <c r="A561" s="96"/>
      <c r="B561" s="71"/>
      <c r="C561" s="532"/>
      <c r="D561" s="683"/>
      <c r="E561" s="692"/>
      <c r="F561" s="539" t="s">
        <v>23</v>
      </c>
      <c r="G561" s="482">
        <v>0</v>
      </c>
      <c r="H561" s="482">
        <f>ROUNDUP(0+L561,0)</f>
        <v>0</v>
      </c>
      <c r="I561" s="540" t="str">
        <f>IF(G561&gt;0,H561/G561*100,"-")</f>
        <v>-</v>
      </c>
      <c r="J561" s="482">
        <v>0</v>
      </c>
      <c r="K561" s="482">
        <v>0</v>
      </c>
      <c r="L561" s="489">
        <v>0</v>
      </c>
      <c r="M561" s="487" t="str">
        <f>IF(K561&gt;0,L561/K561*100,"-")</f>
        <v>-</v>
      </c>
      <c r="N561" s="689"/>
    </row>
    <row r="562" spans="1:14" ht="3.75" customHeight="1" outlineLevel="1">
      <c r="A562" s="96"/>
      <c r="B562" s="78"/>
      <c r="C562" s="544"/>
      <c r="D562" s="683"/>
      <c r="E562" s="545"/>
      <c r="F562" s="127"/>
      <c r="G562" s="546"/>
      <c r="H562" s="546"/>
      <c r="I562" s="127"/>
      <c r="J562" s="546"/>
      <c r="K562" s="174"/>
      <c r="L562" s="109"/>
      <c r="M562" s="81"/>
      <c r="N562" s="690"/>
    </row>
    <row r="563" spans="1:14" ht="0.75" customHeight="1">
      <c r="A563" s="547"/>
      <c r="B563" s="548"/>
      <c r="C563" s="549"/>
      <c r="D563" s="547"/>
      <c r="E563" s="547"/>
      <c r="F563" s="548"/>
      <c r="G563" s="550"/>
      <c r="H563" s="550"/>
      <c r="I563" s="548"/>
      <c r="J563" s="550"/>
      <c r="K563" s="551"/>
      <c r="L563" s="552"/>
      <c r="M563" s="553"/>
      <c r="N563" s="554"/>
    </row>
    <row r="564" spans="1:14" ht="3.75" customHeight="1">
      <c r="A564" s="197"/>
      <c r="B564" s="201"/>
      <c r="C564" s="555"/>
      <c r="D564" s="197"/>
      <c r="E564" s="197"/>
      <c r="F564" s="201"/>
      <c r="G564" s="556"/>
      <c r="H564" s="556"/>
      <c r="I564" s="201"/>
      <c r="J564" s="556"/>
      <c r="K564" s="480"/>
      <c r="L564" s="557"/>
      <c r="M564" s="203"/>
      <c r="N564" s="464"/>
    </row>
    <row r="565" spans="1:14" ht="11.25" customHeight="1">
      <c r="A565" s="26" t="s">
        <v>141</v>
      </c>
      <c r="B565" s="585" t="s">
        <v>418</v>
      </c>
      <c r="C565" s="586"/>
      <c r="D565" s="27"/>
      <c r="E565" s="27"/>
      <c r="F565" s="28"/>
      <c r="G565" s="163">
        <f>SUM(G566:G568)</f>
        <v>34282064</v>
      </c>
      <c r="H565" s="163">
        <f>SUM(H566:H568)</f>
        <v>29588381</v>
      </c>
      <c r="I565" s="30">
        <f>IF(G565&gt;0,H565/G565*100,"-")</f>
        <v>86.30863357585471</v>
      </c>
      <c r="J565" s="163">
        <f>SUM(J566:J568)</f>
        <v>3628000</v>
      </c>
      <c r="K565" s="163">
        <f>SUM(K566:K568)</f>
        <v>3628000</v>
      </c>
      <c r="L565" s="29">
        <f>SUM(L566:L568)</f>
        <v>842316.25</v>
      </c>
      <c r="M565" s="30">
        <f>IF(K565&gt;0,L565/K565*100,"-")</f>
        <v>23.217096196251376</v>
      </c>
      <c r="N565" s="464"/>
    </row>
    <row r="566" spans="1:14" ht="11.25" customHeight="1">
      <c r="A566" s="28"/>
      <c r="B566" s="31"/>
      <c r="C566" s="465"/>
      <c r="D566" s="27"/>
      <c r="E566" s="27"/>
      <c r="F566" s="32" t="s">
        <v>18</v>
      </c>
      <c r="G566" s="164">
        <f aca="true" t="shared" si="34" ref="G566:H568">G578+G572</f>
        <v>34282064</v>
      </c>
      <c r="H566" s="164">
        <f t="shared" si="34"/>
        <v>29588381</v>
      </c>
      <c r="I566" s="34">
        <f>IF(G566&gt;0,H566/G566*100,"-")</f>
        <v>86.30863357585471</v>
      </c>
      <c r="J566" s="164">
        <f aca="true" t="shared" si="35" ref="J566:L568">J578+J572</f>
        <v>3628000</v>
      </c>
      <c r="K566" s="164">
        <f t="shared" si="35"/>
        <v>3628000</v>
      </c>
      <c r="L566" s="33">
        <f t="shared" si="35"/>
        <v>842316.25</v>
      </c>
      <c r="M566" s="34">
        <f>IF(K566&gt;0,L566/K566*100,"-")</f>
        <v>23.217096196251376</v>
      </c>
      <c r="N566" s="464"/>
    </row>
    <row r="567" spans="1:14" ht="11.25" customHeight="1">
      <c r="A567" s="28"/>
      <c r="B567" s="31"/>
      <c r="C567" s="465"/>
      <c r="D567" s="27"/>
      <c r="E567" s="27"/>
      <c r="F567" s="32" t="s">
        <v>236</v>
      </c>
      <c r="G567" s="164">
        <f t="shared" si="34"/>
        <v>0</v>
      </c>
      <c r="H567" s="164">
        <f t="shared" si="34"/>
        <v>0</v>
      </c>
      <c r="I567" s="34" t="str">
        <f>IF(G567&gt;0,H567/G567*100,"-")</f>
        <v>-</v>
      </c>
      <c r="J567" s="164">
        <f t="shared" si="35"/>
        <v>0</v>
      </c>
      <c r="K567" s="164">
        <f t="shared" si="35"/>
        <v>0</v>
      </c>
      <c r="L567" s="33">
        <f t="shared" si="35"/>
        <v>0</v>
      </c>
      <c r="M567" s="34" t="str">
        <f>IF(K567&gt;0,L567/K567*100,"-")</f>
        <v>-</v>
      </c>
      <c r="N567" s="464"/>
    </row>
    <row r="568" spans="1:14" ht="11.25" customHeight="1">
      <c r="A568" s="28"/>
      <c r="B568" s="31"/>
      <c r="C568" s="465"/>
      <c r="D568" s="27"/>
      <c r="E568" s="27"/>
      <c r="F568" s="32" t="s">
        <v>23</v>
      </c>
      <c r="G568" s="164">
        <f t="shared" si="34"/>
        <v>0</v>
      </c>
      <c r="H568" s="164">
        <f t="shared" si="34"/>
        <v>0</v>
      </c>
      <c r="I568" s="34" t="str">
        <f>IF(G568&gt;0,H568/G568*100,"-")</f>
        <v>-</v>
      </c>
      <c r="J568" s="164">
        <f t="shared" si="35"/>
        <v>0</v>
      </c>
      <c r="K568" s="164">
        <f t="shared" si="35"/>
        <v>0</v>
      </c>
      <c r="L568" s="33">
        <f t="shared" si="35"/>
        <v>0</v>
      </c>
      <c r="M568" s="34" t="str">
        <f>IF(K568&gt;0,L568/K568*100,"-")</f>
        <v>-</v>
      </c>
      <c r="N568" s="464"/>
    </row>
    <row r="569" spans="1:14" ht="3.75" customHeight="1">
      <c r="A569" s="61"/>
      <c r="B569" s="62"/>
      <c r="C569" s="466"/>
      <c r="D569" s="63"/>
      <c r="E569" s="63"/>
      <c r="F569" s="61"/>
      <c r="G569" s="165"/>
      <c r="H569" s="165"/>
      <c r="I569" s="65"/>
      <c r="J569" s="165"/>
      <c r="K569" s="165"/>
      <c r="L569" s="64"/>
      <c r="M569" s="65"/>
      <c r="N569" s="467"/>
    </row>
    <row r="570" spans="1:14" ht="3.75" customHeight="1" outlineLevel="1">
      <c r="A570" s="468"/>
      <c r="B570" s="67"/>
      <c r="C570" s="469"/>
      <c r="D570" s="66"/>
      <c r="E570" s="66"/>
      <c r="F570" s="67"/>
      <c r="G570" s="167"/>
      <c r="H570" s="167"/>
      <c r="I570" s="70"/>
      <c r="J570" s="167"/>
      <c r="K570" s="166"/>
      <c r="L570" s="69"/>
      <c r="M570" s="70"/>
      <c r="N570" s="498"/>
    </row>
    <row r="571" spans="1:14" ht="10.5" customHeight="1" outlineLevel="1">
      <c r="A571" s="572" t="s">
        <v>419</v>
      </c>
      <c r="B571" s="71" t="s">
        <v>29</v>
      </c>
      <c r="C571" s="471" t="s">
        <v>420</v>
      </c>
      <c r="D571" s="569" t="s">
        <v>421</v>
      </c>
      <c r="E571" s="568" t="s">
        <v>422</v>
      </c>
      <c r="F571" s="72" t="s">
        <v>30</v>
      </c>
      <c r="G571" s="168">
        <f>SUM(G572:G574)</f>
        <v>25189473</v>
      </c>
      <c r="H571" s="168">
        <f>SUM(H572:H574)</f>
        <v>22825290</v>
      </c>
      <c r="I571" s="36">
        <f>IF(G571&gt;0,H571/G571*100,"-")</f>
        <v>90.61440070619977</v>
      </c>
      <c r="J571" s="168">
        <f>SUM(J572:J574)</f>
        <v>1628000</v>
      </c>
      <c r="K571" s="168">
        <f>SUM(K572:K574)</f>
        <v>1628000</v>
      </c>
      <c r="L571" s="35">
        <f>SUM(L572:L574)</f>
        <v>171816.25</v>
      </c>
      <c r="M571" s="36">
        <f>IF(K571&gt;0,L571/K571*100,"-")</f>
        <v>10.553823710073711</v>
      </c>
      <c r="N571" s="676" t="s">
        <v>423</v>
      </c>
    </row>
    <row r="572" spans="1:14" ht="10.5" customHeight="1" outlineLevel="1">
      <c r="A572" s="572"/>
      <c r="B572" s="71" t="s">
        <v>24</v>
      </c>
      <c r="C572" s="472" t="s">
        <v>424</v>
      </c>
      <c r="D572" s="569"/>
      <c r="E572" s="569"/>
      <c r="F572" s="73" t="s">
        <v>18</v>
      </c>
      <c r="G572" s="169">
        <v>25189473</v>
      </c>
      <c r="H572" s="170">
        <f>ROUNDUP(22653473+L572,0)</f>
        <v>22825290</v>
      </c>
      <c r="I572" s="75">
        <f>IF(G572&gt;0,H572/G572*100,"-")</f>
        <v>90.61440070619977</v>
      </c>
      <c r="J572" s="169">
        <v>1628000</v>
      </c>
      <c r="K572" s="169">
        <v>1628000</v>
      </c>
      <c r="L572" s="76">
        <v>171816.25</v>
      </c>
      <c r="M572" s="75">
        <f>IF(K572&gt;0,L572/K572*100,"-")</f>
        <v>10.553823710073711</v>
      </c>
      <c r="N572" s="676"/>
    </row>
    <row r="573" spans="1:14" ht="10.5" customHeight="1" outlineLevel="1">
      <c r="A573" s="572"/>
      <c r="B573" s="71"/>
      <c r="C573" s="471" t="s">
        <v>425</v>
      </c>
      <c r="D573" s="569"/>
      <c r="E573" s="569"/>
      <c r="F573" s="73" t="s">
        <v>236</v>
      </c>
      <c r="G573" s="169">
        <v>0</v>
      </c>
      <c r="H573" s="169">
        <f>ROUNDUP(0+L573,0)</f>
        <v>0</v>
      </c>
      <c r="I573" s="75" t="str">
        <f>IF(G573&gt;0,H573/G573*100,"-")</f>
        <v>-</v>
      </c>
      <c r="J573" s="169">
        <v>0</v>
      </c>
      <c r="K573" s="169">
        <v>0</v>
      </c>
      <c r="L573" s="82">
        <v>0</v>
      </c>
      <c r="M573" s="75" t="str">
        <f>IF(K573&gt;0,L573/K573*100,"-")</f>
        <v>-</v>
      </c>
      <c r="N573" s="676"/>
    </row>
    <row r="574" spans="1:14" ht="10.5" customHeight="1" outlineLevel="1">
      <c r="A574" s="572"/>
      <c r="B574" s="71"/>
      <c r="C574" s="471" t="s">
        <v>426</v>
      </c>
      <c r="D574" s="569"/>
      <c r="E574" s="569"/>
      <c r="F574" s="73" t="s">
        <v>23</v>
      </c>
      <c r="G574" s="169">
        <v>0</v>
      </c>
      <c r="H574" s="169">
        <f>ROUNDUP(0+L574,0)</f>
        <v>0</v>
      </c>
      <c r="I574" s="75" t="str">
        <f>IF(G574&gt;0,H574/G574*100,"-")</f>
        <v>-</v>
      </c>
      <c r="J574" s="169">
        <v>0</v>
      </c>
      <c r="K574" s="169">
        <v>0</v>
      </c>
      <c r="L574" s="82">
        <v>0</v>
      </c>
      <c r="M574" s="75" t="str">
        <f>IF(K574&gt;0,L574/K574*100,"-")</f>
        <v>-</v>
      </c>
      <c r="N574" s="676"/>
    </row>
    <row r="575" spans="1:14" ht="3.75" customHeight="1" outlineLevel="1">
      <c r="A575" s="141"/>
      <c r="B575" s="78"/>
      <c r="C575" s="558"/>
      <c r="D575" s="77"/>
      <c r="E575" s="77"/>
      <c r="F575" s="78"/>
      <c r="G575" s="259"/>
      <c r="H575" s="259"/>
      <c r="I575" s="78"/>
      <c r="J575" s="259"/>
      <c r="K575" s="171"/>
      <c r="L575" s="80"/>
      <c r="M575" s="559"/>
      <c r="N575" s="474"/>
    </row>
    <row r="576" spans="1:14" ht="3.75" customHeight="1" outlineLevel="1">
      <c r="A576" s="468"/>
      <c r="B576" s="67"/>
      <c r="C576" s="469"/>
      <c r="D576" s="66"/>
      <c r="E576" s="66"/>
      <c r="F576" s="67"/>
      <c r="G576" s="167"/>
      <c r="H576" s="167"/>
      <c r="I576" s="70"/>
      <c r="J576" s="167"/>
      <c r="K576" s="166"/>
      <c r="L576" s="69"/>
      <c r="M576" s="70"/>
      <c r="N576" s="498"/>
    </row>
    <row r="577" spans="1:14" ht="10.5" customHeight="1" outlineLevel="1">
      <c r="A577" s="572" t="s">
        <v>427</v>
      </c>
      <c r="B577" s="71" t="s">
        <v>29</v>
      </c>
      <c r="C577" s="471" t="s">
        <v>428</v>
      </c>
      <c r="D577" s="569" t="s">
        <v>291</v>
      </c>
      <c r="E577" s="568" t="s">
        <v>429</v>
      </c>
      <c r="F577" s="72" t="s">
        <v>30</v>
      </c>
      <c r="G577" s="168">
        <f>SUM(G578:G580)</f>
        <v>9092591</v>
      </c>
      <c r="H577" s="168">
        <f>SUM(H578:H580)</f>
        <v>6763091</v>
      </c>
      <c r="I577" s="36">
        <f>IF(G577&gt;0,H577/G577*100,"-")</f>
        <v>74.38023991181392</v>
      </c>
      <c r="J577" s="168">
        <f>SUM(J578:J580)</f>
        <v>2000000</v>
      </c>
      <c r="K577" s="168">
        <f>SUM(K578:K580)</f>
        <v>2000000</v>
      </c>
      <c r="L577" s="35">
        <f>SUM(L578:L580)</f>
        <v>670500</v>
      </c>
      <c r="M577" s="36">
        <f>IF(K577&gt;0,L577/K577*100,"-")</f>
        <v>33.525</v>
      </c>
      <c r="N577" s="676" t="s">
        <v>430</v>
      </c>
    </row>
    <row r="578" spans="1:14" ht="10.5" customHeight="1" outlineLevel="1">
      <c r="A578" s="572"/>
      <c r="B578" s="71" t="s">
        <v>24</v>
      </c>
      <c r="C578" s="472" t="s">
        <v>431</v>
      </c>
      <c r="D578" s="569"/>
      <c r="E578" s="569"/>
      <c r="F578" s="73" t="s">
        <v>18</v>
      </c>
      <c r="G578" s="169">
        <v>9092591</v>
      </c>
      <c r="H578" s="169">
        <f>ROUNDUP(6092591+L578,0)</f>
        <v>6763091</v>
      </c>
      <c r="I578" s="75">
        <f>IF(G578&gt;0,H578/G578*100,"-")</f>
        <v>74.38023991181392</v>
      </c>
      <c r="J578" s="169">
        <v>2000000</v>
      </c>
      <c r="K578" s="169">
        <v>2000000</v>
      </c>
      <c r="L578" s="76">
        <v>670500</v>
      </c>
      <c r="M578" s="75">
        <f>IF(K578&gt;0,L578/K578*100,"-")</f>
        <v>33.525</v>
      </c>
      <c r="N578" s="676"/>
    </row>
    <row r="579" spans="1:14" ht="10.5" customHeight="1" outlineLevel="1">
      <c r="A579" s="572"/>
      <c r="B579" s="71"/>
      <c r="C579" s="472"/>
      <c r="D579" s="569"/>
      <c r="E579" s="569"/>
      <c r="F579" s="73" t="s">
        <v>236</v>
      </c>
      <c r="G579" s="169">
        <v>0</v>
      </c>
      <c r="H579" s="169">
        <f>ROUNDUP(0+L579,0)</f>
        <v>0</v>
      </c>
      <c r="I579" s="75" t="str">
        <f>IF(G579&gt;0,H579/G579*100,"-")</f>
        <v>-</v>
      </c>
      <c r="J579" s="169">
        <v>0</v>
      </c>
      <c r="K579" s="169">
        <v>0</v>
      </c>
      <c r="L579" s="82">
        <v>0</v>
      </c>
      <c r="M579" s="75" t="str">
        <f>IF(K579&gt;0,L579/K579*100,"-")</f>
        <v>-</v>
      </c>
      <c r="N579" s="676"/>
    </row>
    <row r="580" spans="1:14" ht="10.5" customHeight="1" outlineLevel="1">
      <c r="A580" s="572"/>
      <c r="B580" s="71"/>
      <c r="C580" s="472"/>
      <c r="D580" s="569"/>
      <c r="E580" s="569"/>
      <c r="F580" s="73" t="s">
        <v>23</v>
      </c>
      <c r="G580" s="169">
        <v>0</v>
      </c>
      <c r="H580" s="169">
        <f>ROUNDUP(0+L580,0)</f>
        <v>0</v>
      </c>
      <c r="I580" s="75" t="str">
        <f>IF(G580&gt;0,H580/G580*100,"-")</f>
        <v>-</v>
      </c>
      <c r="J580" s="169">
        <v>0</v>
      </c>
      <c r="K580" s="169">
        <v>0</v>
      </c>
      <c r="L580" s="82">
        <v>0</v>
      </c>
      <c r="M580" s="75" t="str">
        <f>IF(K580&gt;0,L580/K580*100,"-")</f>
        <v>-</v>
      </c>
      <c r="N580" s="676"/>
    </row>
    <row r="581" spans="1:14" ht="3.75" customHeight="1" outlineLevel="1">
      <c r="A581" s="141"/>
      <c r="B581" s="78"/>
      <c r="C581" s="558"/>
      <c r="D581" s="77"/>
      <c r="E581" s="77"/>
      <c r="F581" s="78"/>
      <c r="G581" s="259"/>
      <c r="H581" s="259"/>
      <c r="I581" s="78"/>
      <c r="J581" s="259"/>
      <c r="K581" s="171"/>
      <c r="L581" s="80"/>
      <c r="M581" s="559"/>
      <c r="N581" s="474"/>
    </row>
    <row r="582" spans="1:14" ht="3.75" customHeight="1">
      <c r="A582" s="547"/>
      <c r="B582" s="548"/>
      <c r="C582" s="549"/>
      <c r="D582" s="547"/>
      <c r="E582" s="547"/>
      <c r="F582" s="548"/>
      <c r="G582" s="550"/>
      <c r="H582" s="550"/>
      <c r="I582" s="548"/>
      <c r="J582" s="550"/>
      <c r="K582" s="551"/>
      <c r="L582" s="552"/>
      <c r="M582" s="553"/>
      <c r="N582" s="463"/>
    </row>
    <row r="583" spans="1:14" ht="11.25" customHeight="1">
      <c r="A583" s="26" t="s">
        <v>144</v>
      </c>
      <c r="B583" s="585" t="s">
        <v>432</v>
      </c>
      <c r="C583" s="586"/>
      <c r="D583" s="27"/>
      <c r="E583" s="27"/>
      <c r="F583" s="28"/>
      <c r="G583" s="163">
        <f>SUM(G584:G586)</f>
        <v>84161760</v>
      </c>
      <c r="H583" s="344">
        <f>SUM(H584:H586)</f>
        <v>4634592</v>
      </c>
      <c r="I583" s="30">
        <f>IF(G583&gt;0,H583/G583*100,"-")</f>
        <v>5.506766968751604</v>
      </c>
      <c r="J583" s="163">
        <f>SUM(J584:J586)</f>
        <v>9523052</v>
      </c>
      <c r="K583" s="163">
        <f>SUM(K584:K586)</f>
        <v>18262853</v>
      </c>
      <c r="L583" s="29">
        <f>SUM(L584:L586)</f>
        <v>561744.03</v>
      </c>
      <c r="M583" s="30">
        <f>IF(K583&gt;0,L583/K583*100,"-")</f>
        <v>3.0758832149609923</v>
      </c>
      <c r="N583" s="464"/>
    </row>
    <row r="584" spans="1:14" ht="11.25" customHeight="1">
      <c r="A584" s="28"/>
      <c r="B584" s="31"/>
      <c r="C584" s="465"/>
      <c r="D584" s="27"/>
      <c r="E584" s="27"/>
      <c r="F584" s="32" t="s">
        <v>18</v>
      </c>
      <c r="G584" s="164">
        <f aca="true" t="shared" si="36" ref="G584:H586">G590+G604+G610+G616+G622+G647+G640+G653+G659+G665+G671+G677+G683+G707+G689+G701+G695+G634+G628</f>
        <v>79762208</v>
      </c>
      <c r="H584" s="164">
        <f t="shared" si="36"/>
        <v>4634592</v>
      </c>
      <c r="I584" s="34">
        <f>IF(G584&gt;0,H584/G584*100,"-")</f>
        <v>5.810511163382037</v>
      </c>
      <c r="J584" s="164">
        <f aca="true" t="shared" si="37" ref="J584:L586">J590+J604+J610+J616+J622+J647+J640+J653+J659+J665+J671+J677+J683+J707+J689+J701+J695+J634+J628</f>
        <v>9423500</v>
      </c>
      <c r="K584" s="164">
        <f t="shared" si="37"/>
        <v>17863301</v>
      </c>
      <c r="L584" s="33">
        <f t="shared" si="37"/>
        <v>561744.03</v>
      </c>
      <c r="M584" s="34">
        <f>IF(K584&gt;0,L584/K584*100,"-")</f>
        <v>3.1446821055078233</v>
      </c>
      <c r="N584" s="464"/>
    </row>
    <row r="585" spans="1:14" ht="11.25" customHeight="1">
      <c r="A585" s="28"/>
      <c r="B585" s="31"/>
      <c r="C585" s="465"/>
      <c r="D585" s="27"/>
      <c r="E585" s="27"/>
      <c r="F585" s="32" t="s">
        <v>236</v>
      </c>
      <c r="G585" s="164">
        <f t="shared" si="36"/>
        <v>4000000</v>
      </c>
      <c r="H585" s="164">
        <f t="shared" si="36"/>
        <v>0</v>
      </c>
      <c r="I585" s="34">
        <f>IF(G585&gt;0,H585/G585*100,"-")</f>
        <v>0</v>
      </c>
      <c r="J585" s="164">
        <f t="shared" si="37"/>
        <v>0</v>
      </c>
      <c r="K585" s="164">
        <f t="shared" si="37"/>
        <v>0</v>
      </c>
      <c r="L585" s="33">
        <f t="shared" si="37"/>
        <v>0</v>
      </c>
      <c r="M585" s="34" t="str">
        <f>IF(K585&gt;0,L585/K585*100,"-")</f>
        <v>-</v>
      </c>
      <c r="N585" s="464"/>
    </row>
    <row r="586" spans="1:14" ht="11.25" customHeight="1">
      <c r="A586" s="28"/>
      <c r="B586" s="31"/>
      <c r="C586" s="465"/>
      <c r="D586" s="27"/>
      <c r="E586" s="27"/>
      <c r="F586" s="32" t="s">
        <v>23</v>
      </c>
      <c r="G586" s="164">
        <f t="shared" si="36"/>
        <v>399552</v>
      </c>
      <c r="H586" s="164">
        <f t="shared" si="36"/>
        <v>0</v>
      </c>
      <c r="I586" s="34">
        <f>IF(G586&gt;0,H586/G586*100,"-")</f>
        <v>0</v>
      </c>
      <c r="J586" s="164">
        <f t="shared" si="37"/>
        <v>99552</v>
      </c>
      <c r="K586" s="164">
        <f t="shared" si="37"/>
        <v>399552</v>
      </c>
      <c r="L586" s="33">
        <f t="shared" si="37"/>
        <v>0</v>
      </c>
      <c r="M586" s="34">
        <f>IF(K586&gt;0,L586/K586*100,"-")</f>
        <v>0</v>
      </c>
      <c r="N586" s="464"/>
    </row>
    <row r="587" spans="1:14" ht="3.75" customHeight="1">
      <c r="A587" s="61"/>
      <c r="B587" s="62"/>
      <c r="C587" s="466"/>
      <c r="D587" s="63"/>
      <c r="E587" s="63"/>
      <c r="F587" s="61"/>
      <c r="G587" s="164"/>
      <c r="H587" s="164"/>
      <c r="I587" s="65"/>
      <c r="J587" s="164"/>
      <c r="K587" s="165"/>
      <c r="L587" s="64"/>
      <c r="M587" s="65"/>
      <c r="N587" s="467"/>
    </row>
    <row r="588" spans="1:14" ht="3.75" customHeight="1" outlineLevel="1">
      <c r="A588" s="468"/>
      <c r="B588" s="67"/>
      <c r="C588" s="469"/>
      <c r="D588" s="495"/>
      <c r="E588" s="495"/>
      <c r="F588" s="67"/>
      <c r="G588" s="167"/>
      <c r="H588" s="167"/>
      <c r="I588" s="70"/>
      <c r="J588" s="167"/>
      <c r="K588" s="166"/>
      <c r="L588" s="69"/>
      <c r="M588" s="70"/>
      <c r="N588" s="484"/>
    </row>
    <row r="589" spans="1:14" ht="22.5" outlineLevel="1">
      <c r="A589" s="572" t="s">
        <v>433</v>
      </c>
      <c r="B589" s="71" t="s">
        <v>29</v>
      </c>
      <c r="C589" s="532" t="s">
        <v>434</v>
      </c>
      <c r="D589" s="647" t="s">
        <v>297</v>
      </c>
      <c r="E589" s="647"/>
      <c r="F589" s="536" t="s">
        <v>30</v>
      </c>
      <c r="G589" s="175">
        <f>SUM(G590:G592)</f>
        <v>2779617</v>
      </c>
      <c r="H589" s="175">
        <f>SUM(H590:H592)</f>
        <v>9020</v>
      </c>
      <c r="I589" s="129">
        <f>IF(G589&gt;0,H589/G589*100,"-")</f>
        <v>0.324505138657592</v>
      </c>
      <c r="J589" s="175">
        <f>SUM(J590:J592)</f>
        <v>1500000</v>
      </c>
      <c r="K589" s="175">
        <f>SUM(K590:K592)</f>
        <v>2770597</v>
      </c>
      <c r="L589" s="35">
        <f>SUM(L590:L592)</f>
        <v>0</v>
      </c>
      <c r="M589" s="36">
        <f>IF(K589&gt;0,L589/K589*100,"-")</f>
        <v>0</v>
      </c>
      <c r="N589" s="676" t="s">
        <v>435</v>
      </c>
    </row>
    <row r="590" spans="1:14" ht="11.25" outlineLevel="1">
      <c r="A590" s="572"/>
      <c r="B590" s="71"/>
      <c r="C590" s="560" t="s">
        <v>436</v>
      </c>
      <c r="D590" s="647"/>
      <c r="E590" s="647"/>
      <c r="F590" s="515" t="s">
        <v>18</v>
      </c>
      <c r="G590" s="170">
        <f aca="true" t="shared" si="38" ref="G590:H592">G594+G598</f>
        <v>2779617</v>
      </c>
      <c r="H590" s="170">
        <f t="shared" si="38"/>
        <v>9020</v>
      </c>
      <c r="I590" s="123">
        <f>IF(G590&gt;0,H590/G590*100,"-")</f>
        <v>0.324505138657592</v>
      </c>
      <c r="J590" s="170">
        <f aca="true" t="shared" si="39" ref="J590:L592">J594+J598</f>
        <v>1500000</v>
      </c>
      <c r="K590" s="170">
        <f t="shared" si="39"/>
        <v>2770597</v>
      </c>
      <c r="L590" s="76">
        <f t="shared" si="39"/>
        <v>0</v>
      </c>
      <c r="M590" s="75">
        <f>IF(K590&gt;0,L590/K590*100,"-")</f>
        <v>0</v>
      </c>
      <c r="N590" s="676"/>
    </row>
    <row r="591" spans="1:14" ht="22.5" outlineLevel="1">
      <c r="A591" s="572"/>
      <c r="B591" s="71" t="s">
        <v>416</v>
      </c>
      <c r="C591" s="560" t="s">
        <v>437</v>
      </c>
      <c r="D591" s="647"/>
      <c r="E591" s="647"/>
      <c r="F591" s="515" t="s">
        <v>236</v>
      </c>
      <c r="G591" s="170">
        <f t="shared" si="38"/>
        <v>0</v>
      </c>
      <c r="H591" s="170">
        <f t="shared" si="38"/>
        <v>0</v>
      </c>
      <c r="I591" s="123" t="str">
        <f>IF(G591&gt;0,H591/G591*100,"-")</f>
        <v>-</v>
      </c>
      <c r="J591" s="170">
        <f t="shared" si="39"/>
        <v>0</v>
      </c>
      <c r="K591" s="170">
        <f t="shared" si="39"/>
        <v>0</v>
      </c>
      <c r="L591" s="76">
        <f t="shared" si="39"/>
        <v>0</v>
      </c>
      <c r="M591" s="75" t="str">
        <f>IF(K591&gt;0,L591/K591*100,"-")</f>
        <v>-</v>
      </c>
      <c r="N591" s="676"/>
    </row>
    <row r="592" spans="1:14" ht="10.5" customHeight="1" outlineLevel="1">
      <c r="A592" s="572"/>
      <c r="B592" s="71"/>
      <c r="C592" s="560"/>
      <c r="D592" s="647"/>
      <c r="E592" s="647"/>
      <c r="F592" s="515" t="s">
        <v>23</v>
      </c>
      <c r="G592" s="170">
        <f t="shared" si="38"/>
        <v>0</v>
      </c>
      <c r="H592" s="170">
        <f t="shared" si="38"/>
        <v>0</v>
      </c>
      <c r="I592" s="123" t="str">
        <f>IF(G592&gt;0,H592/G592*100,"-")</f>
        <v>-</v>
      </c>
      <c r="J592" s="170">
        <f t="shared" si="39"/>
        <v>0</v>
      </c>
      <c r="K592" s="170">
        <f t="shared" si="39"/>
        <v>0</v>
      </c>
      <c r="L592" s="76">
        <f t="shared" si="39"/>
        <v>0</v>
      </c>
      <c r="M592" s="75" t="str">
        <f>IF(K592&gt;0,L592/K592*100,"-")</f>
        <v>-</v>
      </c>
      <c r="N592" s="676"/>
    </row>
    <row r="593" spans="1:14" ht="6.75" customHeight="1" outlineLevel="1">
      <c r="A593" s="96"/>
      <c r="B593" s="71"/>
      <c r="C593" s="532"/>
      <c r="D593" s="209"/>
      <c r="E593" s="209"/>
      <c r="F593" s="537"/>
      <c r="G593" s="445"/>
      <c r="H593" s="445"/>
      <c r="I593" s="538"/>
      <c r="J593" s="445"/>
      <c r="K593" s="170"/>
      <c r="L593" s="82"/>
      <c r="M593" s="75"/>
      <c r="N593" s="676"/>
    </row>
    <row r="594" spans="1:14" ht="10.5" customHeight="1" outlineLevel="1">
      <c r="A594" s="96"/>
      <c r="B594" s="71"/>
      <c r="C594" s="532"/>
      <c r="D594" s="209"/>
      <c r="E594" s="691" t="s">
        <v>438</v>
      </c>
      <c r="F594" s="539" t="s">
        <v>18</v>
      </c>
      <c r="G594" s="482">
        <v>1779617</v>
      </c>
      <c r="H594" s="482">
        <f>ROUNDUP(9020+L594,0)</f>
        <v>9020</v>
      </c>
      <c r="I594" s="540">
        <f>IF(G594&gt;0,H594/G594*100,"-")</f>
        <v>0.5068506313437104</v>
      </c>
      <c r="J594" s="482">
        <v>1500000</v>
      </c>
      <c r="K594" s="482">
        <v>1770597</v>
      </c>
      <c r="L594" s="488">
        <v>0</v>
      </c>
      <c r="M594" s="487">
        <f>IF(K594&gt;0,L594/K594*100,"-")</f>
        <v>0</v>
      </c>
      <c r="N594" s="676"/>
    </row>
    <row r="595" spans="1:14" ht="10.5" customHeight="1" outlineLevel="1">
      <c r="A595" s="96"/>
      <c r="B595" s="71"/>
      <c r="C595" s="532"/>
      <c r="D595" s="209"/>
      <c r="E595" s="691"/>
      <c r="F595" s="539" t="s">
        <v>236</v>
      </c>
      <c r="G595" s="482">
        <v>0</v>
      </c>
      <c r="H595" s="482">
        <f>ROUNDUP(0+L595,0)</f>
        <v>0</v>
      </c>
      <c r="I595" s="540" t="str">
        <f>IF(G595&gt;0,H595/G595*100,"-")</f>
        <v>-</v>
      </c>
      <c r="J595" s="482">
        <v>0</v>
      </c>
      <c r="K595" s="482">
        <v>0</v>
      </c>
      <c r="L595" s="489">
        <v>0</v>
      </c>
      <c r="M595" s="487" t="str">
        <f>IF(K595&gt;0,L595/K595*100,"-")</f>
        <v>-</v>
      </c>
      <c r="N595" s="676"/>
    </row>
    <row r="596" spans="1:14" ht="10.5" customHeight="1" outlineLevel="1">
      <c r="A596" s="96"/>
      <c r="B596" s="71"/>
      <c r="C596" s="532"/>
      <c r="D596" s="209"/>
      <c r="E596" s="691"/>
      <c r="F596" s="539" t="s">
        <v>23</v>
      </c>
      <c r="G596" s="482">
        <v>0</v>
      </c>
      <c r="H596" s="482">
        <f>ROUNDUP(0+L596,0)</f>
        <v>0</v>
      </c>
      <c r="I596" s="540" t="str">
        <f>IF(G596&gt;0,H596/G596*100,"-")</f>
        <v>-</v>
      </c>
      <c r="J596" s="482">
        <v>0</v>
      </c>
      <c r="K596" s="482">
        <v>0</v>
      </c>
      <c r="L596" s="489">
        <v>0</v>
      </c>
      <c r="M596" s="487" t="str">
        <f>IF(K596&gt;0,L596/K596*100,"-")</f>
        <v>-</v>
      </c>
      <c r="N596" s="676"/>
    </row>
    <row r="597" spans="1:14" ht="6.75" customHeight="1" outlineLevel="1">
      <c r="A597" s="96"/>
      <c r="B597" s="71"/>
      <c r="C597" s="532"/>
      <c r="D597" s="209"/>
      <c r="E597" s="209"/>
      <c r="F597" s="542"/>
      <c r="G597" s="492"/>
      <c r="H597" s="492"/>
      <c r="I597" s="543"/>
      <c r="J597" s="492"/>
      <c r="K597" s="482"/>
      <c r="L597" s="489"/>
      <c r="M597" s="487"/>
      <c r="N597" s="676"/>
    </row>
    <row r="598" spans="1:14" ht="10.5" customHeight="1" outlineLevel="1">
      <c r="A598" s="96"/>
      <c r="B598" s="71"/>
      <c r="C598" s="532"/>
      <c r="D598" s="209"/>
      <c r="E598" s="691" t="s">
        <v>274</v>
      </c>
      <c r="F598" s="539" t="s">
        <v>18</v>
      </c>
      <c r="G598" s="482">
        <v>1000000</v>
      </c>
      <c r="H598" s="482">
        <f>ROUNDUP(0+L598,0)</f>
        <v>0</v>
      </c>
      <c r="I598" s="540">
        <f>IF(G598&gt;0,H598/G598*100,"-")</f>
        <v>0</v>
      </c>
      <c r="J598" s="482">
        <v>0</v>
      </c>
      <c r="K598" s="482">
        <v>1000000</v>
      </c>
      <c r="L598" s="488">
        <v>0</v>
      </c>
      <c r="M598" s="487">
        <f>IF(K598&gt;0,L598/K598*100,"-")</f>
        <v>0</v>
      </c>
      <c r="N598" s="676"/>
    </row>
    <row r="599" spans="1:14" ht="10.5" customHeight="1" outlineLevel="1">
      <c r="A599" s="96"/>
      <c r="B599" s="71"/>
      <c r="C599" s="532"/>
      <c r="D599" s="209"/>
      <c r="E599" s="691"/>
      <c r="F599" s="539" t="s">
        <v>236</v>
      </c>
      <c r="G599" s="482">
        <v>0</v>
      </c>
      <c r="H599" s="482">
        <f>ROUNDUP(0+L599,0)</f>
        <v>0</v>
      </c>
      <c r="I599" s="540" t="str">
        <f>IF(G599&gt;0,H599/G599*100,"-")</f>
        <v>-</v>
      </c>
      <c r="J599" s="482">
        <v>0</v>
      </c>
      <c r="K599" s="482">
        <v>0</v>
      </c>
      <c r="L599" s="489">
        <v>0</v>
      </c>
      <c r="M599" s="487" t="str">
        <f>IF(K599&gt;0,L599/K599*100,"-")</f>
        <v>-</v>
      </c>
      <c r="N599" s="676"/>
    </row>
    <row r="600" spans="1:14" ht="10.5" customHeight="1" outlineLevel="1">
      <c r="A600" s="96"/>
      <c r="B600" s="71"/>
      <c r="C600" s="532"/>
      <c r="D600" s="209"/>
      <c r="E600" s="691"/>
      <c r="F600" s="539" t="s">
        <v>23</v>
      </c>
      <c r="G600" s="482">
        <v>0</v>
      </c>
      <c r="H600" s="482">
        <f>ROUNDUP(0+L600,0)</f>
        <v>0</v>
      </c>
      <c r="I600" s="540" t="str">
        <f>IF(G600&gt;0,H600/G600*100,"-")</f>
        <v>-</v>
      </c>
      <c r="J600" s="482">
        <v>0</v>
      </c>
      <c r="K600" s="482">
        <v>0</v>
      </c>
      <c r="L600" s="489">
        <v>0</v>
      </c>
      <c r="M600" s="487" t="str">
        <f>IF(K600&gt;0,L600/K600*100,"-")</f>
        <v>-</v>
      </c>
      <c r="N600" s="676"/>
    </row>
    <row r="601" spans="1:14" ht="3.75" customHeight="1" outlineLevel="1">
      <c r="A601" s="96"/>
      <c r="B601" s="78"/>
      <c r="C601" s="544"/>
      <c r="D601" s="209"/>
      <c r="E601" s="209"/>
      <c r="F601" s="127"/>
      <c r="G601" s="546"/>
      <c r="H601" s="546"/>
      <c r="I601" s="127"/>
      <c r="J601" s="546"/>
      <c r="K601" s="174"/>
      <c r="L601" s="80"/>
      <c r="M601" s="81"/>
      <c r="N601" s="693"/>
    </row>
    <row r="602" spans="1:14" ht="3.75" customHeight="1" outlineLevel="1">
      <c r="A602" s="468"/>
      <c r="B602" s="67"/>
      <c r="C602" s="534"/>
      <c r="D602" s="132"/>
      <c r="E602" s="132"/>
      <c r="F602" s="131"/>
      <c r="G602" s="483"/>
      <c r="H602" s="483"/>
      <c r="I602" s="133"/>
      <c r="J602" s="483"/>
      <c r="K602" s="176"/>
      <c r="L602" s="69"/>
      <c r="M602" s="70"/>
      <c r="N602" s="500"/>
    </row>
    <row r="603" spans="1:14" ht="22.5" outlineLevel="1">
      <c r="A603" s="572" t="s">
        <v>439</v>
      </c>
      <c r="B603" s="71" t="s">
        <v>29</v>
      </c>
      <c r="C603" s="562" t="s">
        <v>440</v>
      </c>
      <c r="D603" s="647" t="s">
        <v>441</v>
      </c>
      <c r="E603" s="647" t="s">
        <v>442</v>
      </c>
      <c r="F603" s="536" t="s">
        <v>30</v>
      </c>
      <c r="G603" s="175">
        <f>SUM(G604:G606)</f>
        <v>4827846</v>
      </c>
      <c r="H603" s="175">
        <f>SUM(H604:H606)</f>
        <v>567351</v>
      </c>
      <c r="I603" s="129">
        <f>IF(G603&gt;0,H603/G603*100,"-")</f>
        <v>11.751638308264182</v>
      </c>
      <c r="J603" s="175">
        <f>SUM(J604:J606)</f>
        <v>2700000</v>
      </c>
      <c r="K603" s="175">
        <f>SUM(K604:K606)</f>
        <v>2700000</v>
      </c>
      <c r="L603" s="35">
        <f>SUM(L604:L606)</f>
        <v>439504.6</v>
      </c>
      <c r="M603" s="36">
        <f>IF(K603&gt;0,L603/K603*100,"-")</f>
        <v>16.27794814814815</v>
      </c>
      <c r="N603" s="676" t="s">
        <v>443</v>
      </c>
    </row>
    <row r="604" spans="1:14" ht="11.25" outlineLevel="1">
      <c r="A604" s="572"/>
      <c r="B604" s="71"/>
      <c r="C604" s="563" t="s">
        <v>444</v>
      </c>
      <c r="D604" s="647"/>
      <c r="E604" s="647"/>
      <c r="F604" s="515" t="s">
        <v>18</v>
      </c>
      <c r="G604" s="170">
        <v>4827846</v>
      </c>
      <c r="H604" s="170">
        <f>ROUNDUP(127846+L604,0)</f>
        <v>567351</v>
      </c>
      <c r="I604" s="123">
        <f>IF(G604&gt;0,H604/G604*100,"-")</f>
        <v>11.751638308264182</v>
      </c>
      <c r="J604" s="170">
        <v>2700000</v>
      </c>
      <c r="K604" s="170">
        <v>2700000</v>
      </c>
      <c r="L604" s="76">
        <v>439504.6</v>
      </c>
      <c r="M604" s="75">
        <f>IF(K604&gt;0,L604/K604*100,"-")</f>
        <v>16.27794814814815</v>
      </c>
      <c r="N604" s="676"/>
    </row>
    <row r="605" spans="1:14" ht="22.5" outlineLevel="1">
      <c r="A605" s="572"/>
      <c r="B605" s="71" t="s">
        <v>24</v>
      </c>
      <c r="C605" s="563" t="s">
        <v>445</v>
      </c>
      <c r="D605" s="647"/>
      <c r="E605" s="647"/>
      <c r="F605" s="515" t="s">
        <v>236</v>
      </c>
      <c r="G605" s="170">
        <v>0</v>
      </c>
      <c r="H605" s="170">
        <f>ROUNDUP(0+L605,0)</f>
        <v>0</v>
      </c>
      <c r="I605" s="123" t="str">
        <f>IF(G605&gt;0,H605/G605*100,"-")</f>
        <v>-</v>
      </c>
      <c r="J605" s="170">
        <v>0</v>
      </c>
      <c r="K605" s="170">
        <v>0</v>
      </c>
      <c r="L605" s="82">
        <v>0</v>
      </c>
      <c r="M605" s="75" t="str">
        <f>IF(K605&gt;0,L605/K605*100,"-")</f>
        <v>-</v>
      </c>
      <c r="N605" s="676"/>
    </row>
    <row r="606" spans="1:14" ht="11.25" customHeight="1" outlineLevel="1">
      <c r="A606" s="572"/>
      <c r="B606" s="366"/>
      <c r="C606" s="532"/>
      <c r="D606" s="647"/>
      <c r="E606" s="647"/>
      <c r="F606" s="515" t="s">
        <v>23</v>
      </c>
      <c r="G606" s="170">
        <v>0</v>
      </c>
      <c r="H606" s="170">
        <f>ROUNDUP(0+L606,0)</f>
        <v>0</v>
      </c>
      <c r="I606" s="123" t="str">
        <f>IF(G606&gt;0,H606/G606*100,"-")</f>
        <v>-</v>
      </c>
      <c r="J606" s="170">
        <v>0</v>
      </c>
      <c r="K606" s="170">
        <v>0</v>
      </c>
      <c r="L606" s="82">
        <v>0</v>
      </c>
      <c r="M606" s="75" t="str">
        <f>IF(K606&gt;0,L606/K606*100,"-")</f>
        <v>-</v>
      </c>
      <c r="N606" s="676"/>
    </row>
    <row r="607" spans="1:14" ht="3.75" customHeight="1" outlineLevel="1">
      <c r="A607" s="141"/>
      <c r="B607" s="78"/>
      <c r="C607" s="544"/>
      <c r="D607" s="564"/>
      <c r="E607" s="564"/>
      <c r="F607" s="127"/>
      <c r="G607" s="546"/>
      <c r="H607" s="546"/>
      <c r="I607" s="127"/>
      <c r="J607" s="546"/>
      <c r="K607" s="174"/>
      <c r="L607" s="80"/>
      <c r="M607" s="81"/>
      <c r="N607" s="561"/>
    </row>
    <row r="608" spans="1:14" ht="3.75" customHeight="1" outlineLevel="1">
      <c r="A608" s="468"/>
      <c r="B608" s="67"/>
      <c r="C608" s="534"/>
      <c r="D608" s="132"/>
      <c r="E608" s="132"/>
      <c r="F608" s="131"/>
      <c r="G608" s="483"/>
      <c r="H608" s="483"/>
      <c r="I608" s="133"/>
      <c r="J608" s="483"/>
      <c r="K608" s="176"/>
      <c r="L608" s="69"/>
      <c r="M608" s="70"/>
      <c r="N608" s="500"/>
    </row>
    <row r="609" spans="1:14" ht="22.5" outlineLevel="1">
      <c r="A609" s="572" t="s">
        <v>446</v>
      </c>
      <c r="B609" s="71" t="s">
        <v>29</v>
      </c>
      <c r="C609" s="562" t="s">
        <v>447</v>
      </c>
      <c r="D609" s="647" t="s">
        <v>448</v>
      </c>
      <c r="E609" s="647" t="s">
        <v>449</v>
      </c>
      <c r="F609" s="536" t="s">
        <v>30</v>
      </c>
      <c r="G609" s="175">
        <f>SUM(G610:G612)</f>
        <v>23355293</v>
      </c>
      <c r="H609" s="175">
        <f>SUM(H610:H612)</f>
        <v>355293</v>
      </c>
      <c r="I609" s="129">
        <f>IF(G609&gt;0,H609/G609*100,"-")</f>
        <v>1.5212525914361255</v>
      </c>
      <c r="J609" s="175">
        <f>SUM(J610:J612)</f>
        <v>0</v>
      </c>
      <c r="K609" s="175">
        <f>SUM(K610:K612)</f>
        <v>0</v>
      </c>
      <c r="L609" s="35">
        <f>SUM(L610:L612)</f>
        <v>0</v>
      </c>
      <c r="M609" s="36" t="str">
        <f>IF(K609&gt;0,L609/K609*100,"-")</f>
        <v>-</v>
      </c>
      <c r="N609" s="676" t="s">
        <v>450</v>
      </c>
    </row>
    <row r="610" spans="1:14" ht="22.5" outlineLevel="1">
      <c r="A610" s="572"/>
      <c r="B610" s="71" t="s">
        <v>24</v>
      </c>
      <c r="C610" s="560" t="s">
        <v>451</v>
      </c>
      <c r="D610" s="647"/>
      <c r="E610" s="647"/>
      <c r="F610" s="515" t="s">
        <v>18</v>
      </c>
      <c r="G610" s="170">
        <v>23355293</v>
      </c>
      <c r="H610" s="170">
        <f>ROUNDUP(355293+L610,0)</f>
        <v>355293</v>
      </c>
      <c r="I610" s="123">
        <f>IF(G610&gt;0,H610/G610*100,"-")</f>
        <v>1.5212525914361255</v>
      </c>
      <c r="J610" s="170">
        <v>0</v>
      </c>
      <c r="K610" s="170">
        <v>0</v>
      </c>
      <c r="L610" s="76">
        <v>0</v>
      </c>
      <c r="M610" s="75" t="str">
        <f>IF(K610&gt;0,L610/K610*100,"-")</f>
        <v>-</v>
      </c>
      <c r="N610" s="676"/>
    </row>
    <row r="611" spans="1:14" ht="11.25" outlineLevel="1">
      <c r="A611" s="572"/>
      <c r="B611" s="71"/>
      <c r="C611" s="532" t="s">
        <v>452</v>
      </c>
      <c r="D611" s="647"/>
      <c r="E611" s="647"/>
      <c r="F611" s="515" t="s">
        <v>236</v>
      </c>
      <c r="G611" s="170">
        <v>0</v>
      </c>
      <c r="H611" s="170">
        <f>ROUNDUP(0+L611,0)</f>
        <v>0</v>
      </c>
      <c r="I611" s="123" t="str">
        <f>IF(G611&gt;0,H611/G611*100,"-")</f>
        <v>-</v>
      </c>
      <c r="J611" s="170">
        <v>0</v>
      </c>
      <c r="K611" s="170">
        <v>0</v>
      </c>
      <c r="L611" s="82">
        <v>0</v>
      </c>
      <c r="M611" s="75" t="str">
        <f>IF(K611&gt;0,L611/K611*100,"-")</f>
        <v>-</v>
      </c>
      <c r="N611" s="676"/>
    </row>
    <row r="612" spans="1:14" ht="11.25" customHeight="1" outlineLevel="1">
      <c r="A612" s="572"/>
      <c r="B612" s="366"/>
      <c r="C612" s="532"/>
      <c r="D612" s="647"/>
      <c r="E612" s="647"/>
      <c r="F612" s="515" t="s">
        <v>23</v>
      </c>
      <c r="G612" s="170">
        <v>0</v>
      </c>
      <c r="H612" s="170">
        <f>ROUNDUP(0+L612,0)</f>
        <v>0</v>
      </c>
      <c r="I612" s="123" t="str">
        <f>IF(G612&gt;0,H612/G612*100,"-")</f>
        <v>-</v>
      </c>
      <c r="J612" s="170">
        <v>0</v>
      </c>
      <c r="K612" s="170">
        <v>0</v>
      </c>
      <c r="L612" s="82">
        <v>0</v>
      </c>
      <c r="M612" s="75" t="str">
        <f>IF(K612&gt;0,L612/K612*100,"-")</f>
        <v>-</v>
      </c>
      <c r="N612" s="676"/>
    </row>
    <row r="613" spans="1:14" ht="3.75" customHeight="1" outlineLevel="1">
      <c r="A613" s="141"/>
      <c r="B613" s="78"/>
      <c r="C613" s="544"/>
      <c r="D613" s="564"/>
      <c r="E613" s="564"/>
      <c r="F613" s="127"/>
      <c r="G613" s="546"/>
      <c r="H613" s="546"/>
      <c r="I613" s="127"/>
      <c r="J613" s="546"/>
      <c r="K613" s="174"/>
      <c r="L613" s="80"/>
      <c r="M613" s="81"/>
      <c r="N613" s="561"/>
    </row>
    <row r="614" spans="1:14" ht="3.75" customHeight="1" outlineLevel="1">
      <c r="A614" s="468"/>
      <c r="B614" s="67"/>
      <c r="C614" s="534"/>
      <c r="D614" s="132"/>
      <c r="E614" s="132"/>
      <c r="F614" s="131"/>
      <c r="G614" s="483"/>
      <c r="H614" s="483"/>
      <c r="I614" s="133"/>
      <c r="J614" s="483"/>
      <c r="K614" s="176"/>
      <c r="L614" s="69"/>
      <c r="M614" s="70"/>
      <c r="N614" s="500"/>
    </row>
    <row r="615" spans="1:14" ht="22.5" outlineLevel="1">
      <c r="A615" s="572" t="s">
        <v>453</v>
      </c>
      <c r="B615" s="71" t="s">
        <v>29</v>
      </c>
      <c r="C615" s="562" t="s">
        <v>454</v>
      </c>
      <c r="D615" s="647" t="s">
        <v>251</v>
      </c>
      <c r="E615" s="647" t="s">
        <v>442</v>
      </c>
      <c r="F615" s="536" t="s">
        <v>30</v>
      </c>
      <c r="G615" s="175">
        <f>SUM(G616:G618)</f>
        <v>2645967</v>
      </c>
      <c r="H615" s="175">
        <f>SUM(H616:H618)</f>
        <v>206197</v>
      </c>
      <c r="I615" s="129">
        <f>IF(G615&gt;0,H615/G615*100,"-")</f>
        <v>7.792878747165025</v>
      </c>
      <c r="J615" s="175">
        <f>SUM(J616:J618)</f>
        <v>0</v>
      </c>
      <c r="K615" s="175">
        <f>SUM(K616:K618)</f>
        <v>0</v>
      </c>
      <c r="L615" s="35">
        <f>SUM(L616:L618)</f>
        <v>0</v>
      </c>
      <c r="M615" s="36" t="str">
        <f>IF(K615&gt;0,L615/K615*100,"-")</f>
        <v>-</v>
      </c>
      <c r="N615" s="676" t="s">
        <v>455</v>
      </c>
    </row>
    <row r="616" spans="1:14" ht="22.5" outlineLevel="1">
      <c r="A616" s="572"/>
      <c r="B616" s="71" t="s">
        <v>24</v>
      </c>
      <c r="C616" s="560" t="s">
        <v>445</v>
      </c>
      <c r="D616" s="647"/>
      <c r="E616" s="647"/>
      <c r="F616" s="515" t="s">
        <v>18</v>
      </c>
      <c r="G616" s="170">
        <v>2645967</v>
      </c>
      <c r="H616" s="170">
        <f>ROUNDUP(206196.63+L616,0)</f>
        <v>206197</v>
      </c>
      <c r="I616" s="123">
        <f>IF(G616&gt;0,H616/G616*100,"-")</f>
        <v>7.792878747165025</v>
      </c>
      <c r="J616" s="170">
        <v>0</v>
      </c>
      <c r="K616" s="170">
        <v>0</v>
      </c>
      <c r="L616" s="76">
        <v>0</v>
      </c>
      <c r="M616" s="75" t="str">
        <f>IF(K616&gt;0,L616/K616*100,"-")</f>
        <v>-</v>
      </c>
      <c r="N616" s="676"/>
    </row>
    <row r="617" spans="1:14" ht="11.25" customHeight="1" outlineLevel="1">
      <c r="A617" s="572"/>
      <c r="B617" s="71"/>
      <c r="C617" s="563"/>
      <c r="D617" s="647"/>
      <c r="E617" s="647"/>
      <c r="F617" s="515" t="s">
        <v>236</v>
      </c>
      <c r="G617" s="170">
        <v>0</v>
      </c>
      <c r="H617" s="170">
        <f>ROUNDUP(0+L617,0)</f>
        <v>0</v>
      </c>
      <c r="I617" s="123" t="str">
        <f>IF(G617&gt;0,H617/G617*100,"-")</f>
        <v>-</v>
      </c>
      <c r="J617" s="170">
        <v>0</v>
      </c>
      <c r="K617" s="170">
        <v>0</v>
      </c>
      <c r="L617" s="82">
        <v>0</v>
      </c>
      <c r="M617" s="75" t="str">
        <f>IF(K617&gt;0,L617/K617*100,"-")</f>
        <v>-</v>
      </c>
      <c r="N617" s="676"/>
    </row>
    <row r="618" spans="1:14" ht="11.25" customHeight="1" outlineLevel="1">
      <c r="A618" s="572"/>
      <c r="B618" s="366"/>
      <c r="C618" s="532"/>
      <c r="D618" s="647"/>
      <c r="E618" s="647"/>
      <c r="F618" s="515" t="s">
        <v>23</v>
      </c>
      <c r="G618" s="170">
        <v>0</v>
      </c>
      <c r="H618" s="170">
        <f>ROUNDUP(0+L618,0)</f>
        <v>0</v>
      </c>
      <c r="I618" s="123" t="str">
        <f>IF(G618&gt;0,H618/G618*100,"-")</f>
        <v>-</v>
      </c>
      <c r="J618" s="170">
        <v>0</v>
      </c>
      <c r="K618" s="170">
        <v>0</v>
      </c>
      <c r="L618" s="82">
        <v>0</v>
      </c>
      <c r="M618" s="75" t="str">
        <f>IF(K618&gt;0,L618/K618*100,"-")</f>
        <v>-</v>
      </c>
      <c r="N618" s="676"/>
    </row>
    <row r="619" spans="1:14" ht="3.75" customHeight="1" outlineLevel="1">
      <c r="A619" s="141"/>
      <c r="B619" s="78"/>
      <c r="C619" s="544"/>
      <c r="D619" s="564"/>
      <c r="E619" s="564"/>
      <c r="F619" s="127"/>
      <c r="G619" s="546"/>
      <c r="H619" s="546"/>
      <c r="I619" s="127"/>
      <c r="J619" s="546"/>
      <c r="K619" s="174"/>
      <c r="L619" s="80"/>
      <c r="M619" s="81"/>
      <c r="N619" s="561"/>
    </row>
    <row r="620" spans="1:14" ht="3.75" customHeight="1" outlineLevel="1">
      <c r="A620" s="468"/>
      <c r="B620" s="67"/>
      <c r="C620" s="534"/>
      <c r="D620" s="132"/>
      <c r="E620" s="132"/>
      <c r="F620" s="131"/>
      <c r="G620" s="483"/>
      <c r="H620" s="483"/>
      <c r="I620" s="133"/>
      <c r="J620" s="483"/>
      <c r="K620" s="176"/>
      <c r="L620" s="69"/>
      <c r="M620" s="70"/>
      <c r="N620" s="500"/>
    </row>
    <row r="621" spans="1:14" ht="22.5" outlineLevel="1">
      <c r="A621" s="572" t="s">
        <v>456</v>
      </c>
      <c r="B621" s="71" t="s">
        <v>29</v>
      </c>
      <c r="C621" s="562" t="s">
        <v>457</v>
      </c>
      <c r="D621" s="647" t="s">
        <v>335</v>
      </c>
      <c r="E621" s="647" t="s">
        <v>458</v>
      </c>
      <c r="F621" s="536" t="s">
        <v>30</v>
      </c>
      <c r="G621" s="175">
        <f>SUM(G622:G624)</f>
        <v>5451770</v>
      </c>
      <c r="H621" s="175">
        <f>SUM(H622:H624)</f>
        <v>36770</v>
      </c>
      <c r="I621" s="129">
        <f>IF(G621&gt;0,H621/G621*100,"-")</f>
        <v>0.6744598543225411</v>
      </c>
      <c r="J621" s="175">
        <f>SUM(J622:J624)</f>
        <v>0</v>
      </c>
      <c r="K621" s="175">
        <f>SUM(K622:K624)</f>
        <v>5415000</v>
      </c>
      <c r="L621" s="35">
        <f>SUM(L622:L624)</f>
        <v>0</v>
      </c>
      <c r="M621" s="36">
        <f>IF(K621&gt;0,L621/K621*100,"-")</f>
        <v>0</v>
      </c>
      <c r="N621" s="676" t="s">
        <v>459</v>
      </c>
    </row>
    <row r="622" spans="1:14" ht="11.25" outlineLevel="1">
      <c r="A622" s="572"/>
      <c r="B622" s="71"/>
      <c r="C622" s="560" t="s">
        <v>460</v>
      </c>
      <c r="D622" s="647"/>
      <c r="E622" s="647"/>
      <c r="F622" s="515" t="s">
        <v>18</v>
      </c>
      <c r="G622" s="170">
        <v>2851770</v>
      </c>
      <c r="H622" s="170">
        <f>ROUNDUP(36770+L622,0)</f>
        <v>36770</v>
      </c>
      <c r="I622" s="123">
        <f>IF(G622&gt;0,H622/G622*100,"-")</f>
        <v>1.289374669065177</v>
      </c>
      <c r="J622" s="170">
        <v>0</v>
      </c>
      <c r="K622" s="170">
        <v>5415000</v>
      </c>
      <c r="L622" s="76">
        <v>0</v>
      </c>
      <c r="M622" s="75">
        <f>IF(K622&gt;0,L622/K622*100,"-")</f>
        <v>0</v>
      </c>
      <c r="N622" s="676"/>
    </row>
    <row r="623" spans="1:14" ht="22.5" outlineLevel="1">
      <c r="A623" s="572"/>
      <c r="B623" s="71" t="s">
        <v>24</v>
      </c>
      <c r="C623" s="563" t="s">
        <v>461</v>
      </c>
      <c r="D623" s="647"/>
      <c r="E623" s="647"/>
      <c r="F623" s="515" t="s">
        <v>236</v>
      </c>
      <c r="G623" s="170">
        <v>2600000</v>
      </c>
      <c r="H623" s="170">
        <f>ROUNDUP(0+L623,0)</f>
        <v>0</v>
      </c>
      <c r="I623" s="123">
        <f>IF(G623&gt;0,H623/G623*100,"-")</f>
        <v>0</v>
      </c>
      <c r="J623" s="170">
        <v>0</v>
      </c>
      <c r="K623" s="170">
        <v>0</v>
      </c>
      <c r="L623" s="82">
        <v>0</v>
      </c>
      <c r="M623" s="75" t="str">
        <f>IF(K623&gt;0,L623/K623*100,"-")</f>
        <v>-</v>
      </c>
      <c r="N623" s="676"/>
    </row>
    <row r="624" spans="1:14" ht="11.25" customHeight="1" outlineLevel="1">
      <c r="A624" s="572"/>
      <c r="B624" s="366"/>
      <c r="C624" s="532"/>
      <c r="D624" s="647"/>
      <c r="E624" s="647"/>
      <c r="F624" s="515" t="s">
        <v>23</v>
      </c>
      <c r="G624" s="170">
        <v>0</v>
      </c>
      <c r="H624" s="170">
        <f>ROUNDUP(0+L624,0)</f>
        <v>0</v>
      </c>
      <c r="I624" s="123" t="str">
        <f>IF(G624&gt;0,H624/G624*100,"-")</f>
        <v>-</v>
      </c>
      <c r="J624" s="170">
        <v>0</v>
      </c>
      <c r="K624" s="170">
        <v>0</v>
      </c>
      <c r="L624" s="82">
        <v>0</v>
      </c>
      <c r="M624" s="75" t="str">
        <f>IF(K624&gt;0,L624/K624*100,"-")</f>
        <v>-</v>
      </c>
      <c r="N624" s="676"/>
    </row>
    <row r="625" spans="1:14" ht="3.75" customHeight="1" outlineLevel="1">
      <c r="A625" s="141"/>
      <c r="B625" s="78"/>
      <c r="C625" s="544"/>
      <c r="D625" s="564"/>
      <c r="E625" s="564"/>
      <c r="F625" s="127"/>
      <c r="G625" s="546"/>
      <c r="H625" s="546"/>
      <c r="I625" s="127"/>
      <c r="J625" s="546"/>
      <c r="K625" s="174"/>
      <c r="L625" s="80"/>
      <c r="M625" s="81"/>
      <c r="N625" s="561"/>
    </row>
    <row r="626" spans="1:14" ht="3.75" customHeight="1" outlineLevel="1">
      <c r="A626" s="468"/>
      <c r="B626" s="67"/>
      <c r="C626" s="534"/>
      <c r="D626" s="132"/>
      <c r="E626" s="132"/>
      <c r="F626" s="131"/>
      <c r="G626" s="483"/>
      <c r="H626" s="483"/>
      <c r="I626" s="133"/>
      <c r="J626" s="483"/>
      <c r="K626" s="176"/>
      <c r="L626" s="69"/>
      <c r="M626" s="70"/>
      <c r="N626" s="500"/>
    </row>
    <row r="627" spans="1:14" ht="22.5" outlineLevel="1">
      <c r="A627" s="572" t="s">
        <v>462</v>
      </c>
      <c r="B627" s="71" t="s">
        <v>29</v>
      </c>
      <c r="C627" s="562" t="s">
        <v>463</v>
      </c>
      <c r="D627" s="647" t="s">
        <v>361</v>
      </c>
      <c r="E627" s="647" t="s">
        <v>458</v>
      </c>
      <c r="F627" s="536" t="s">
        <v>30</v>
      </c>
      <c r="G627" s="175">
        <f>SUM(G628:G630)</f>
        <v>2804293</v>
      </c>
      <c r="H627" s="175">
        <f>SUM(H628:H630)</f>
        <v>0</v>
      </c>
      <c r="I627" s="129">
        <f>IF(G627&gt;0,H627/G627*100,"-")</f>
        <v>0</v>
      </c>
      <c r="J627" s="175">
        <f>SUM(J628:J630)</f>
        <v>0</v>
      </c>
      <c r="K627" s="175">
        <f>SUM(K628:K630)</f>
        <v>113000</v>
      </c>
      <c r="L627" s="35">
        <f>SUM(L628:L630)</f>
        <v>0</v>
      </c>
      <c r="M627" s="36">
        <f>IF(K627&gt;0,L627/K627*100,"-")</f>
        <v>0</v>
      </c>
      <c r="N627" s="676" t="s">
        <v>464</v>
      </c>
    </row>
    <row r="628" spans="1:14" ht="11.25" outlineLevel="1">
      <c r="A628" s="572"/>
      <c r="B628" s="71"/>
      <c r="C628" s="560" t="s">
        <v>465</v>
      </c>
      <c r="D628" s="647"/>
      <c r="E628" s="647"/>
      <c r="F628" s="515" t="s">
        <v>18</v>
      </c>
      <c r="G628" s="170">
        <v>2804293</v>
      </c>
      <c r="H628" s="170">
        <f>ROUNDUP(0+L628,0)</f>
        <v>0</v>
      </c>
      <c r="I628" s="123">
        <f>IF(G628&gt;0,H628/G628*100,"-")</f>
        <v>0</v>
      </c>
      <c r="J628" s="170">
        <v>0</v>
      </c>
      <c r="K628" s="170">
        <v>113000</v>
      </c>
      <c r="L628" s="76">
        <v>0</v>
      </c>
      <c r="M628" s="75">
        <f>IF(K628&gt;0,L628/K628*100,"-")</f>
        <v>0</v>
      </c>
      <c r="N628" s="676"/>
    </row>
    <row r="629" spans="1:14" ht="22.5" outlineLevel="1">
      <c r="A629" s="572"/>
      <c r="B629" s="71" t="s">
        <v>24</v>
      </c>
      <c r="C629" s="563" t="s">
        <v>461</v>
      </c>
      <c r="D629" s="647"/>
      <c r="E629" s="647"/>
      <c r="F629" s="515" t="s">
        <v>236</v>
      </c>
      <c r="G629" s="170">
        <v>0</v>
      </c>
      <c r="H629" s="170">
        <f>ROUNDUP(0+L629,0)</f>
        <v>0</v>
      </c>
      <c r="I629" s="123" t="str">
        <f>IF(G629&gt;0,H629/G629*100,"-")</f>
        <v>-</v>
      </c>
      <c r="J629" s="170">
        <v>0</v>
      </c>
      <c r="K629" s="170">
        <v>0</v>
      </c>
      <c r="L629" s="82">
        <v>0</v>
      </c>
      <c r="M629" s="75" t="str">
        <f>IF(K629&gt;0,L629/K629*100,"-")</f>
        <v>-</v>
      </c>
      <c r="N629" s="676"/>
    </row>
    <row r="630" spans="1:14" ht="10.5" customHeight="1" outlineLevel="1">
      <c r="A630" s="572"/>
      <c r="B630" s="366"/>
      <c r="C630" s="532"/>
      <c r="D630" s="647"/>
      <c r="E630" s="647"/>
      <c r="F630" s="515" t="s">
        <v>23</v>
      </c>
      <c r="G630" s="170">
        <v>0</v>
      </c>
      <c r="H630" s="170">
        <f>ROUNDUP(0+L630,0)</f>
        <v>0</v>
      </c>
      <c r="I630" s="123" t="str">
        <f>IF(G630&gt;0,H630/G630*100,"-")</f>
        <v>-</v>
      </c>
      <c r="J630" s="170">
        <v>0</v>
      </c>
      <c r="K630" s="170">
        <v>0</v>
      </c>
      <c r="L630" s="82">
        <v>0</v>
      </c>
      <c r="M630" s="75" t="str">
        <f>IF(K630&gt;0,L630/K630*100,"-")</f>
        <v>-</v>
      </c>
      <c r="N630" s="676"/>
    </row>
    <row r="631" spans="1:14" ht="3.75" customHeight="1" outlineLevel="1">
      <c r="A631" s="141"/>
      <c r="B631" s="78"/>
      <c r="C631" s="544"/>
      <c r="D631" s="564"/>
      <c r="E631" s="564"/>
      <c r="F631" s="127"/>
      <c r="G631" s="546"/>
      <c r="H631" s="546"/>
      <c r="I631" s="127"/>
      <c r="J631" s="546"/>
      <c r="K631" s="174"/>
      <c r="L631" s="80"/>
      <c r="M631" s="81"/>
      <c r="N631" s="561"/>
    </row>
    <row r="632" spans="1:14" ht="3.75" customHeight="1" outlineLevel="1">
      <c r="A632" s="468"/>
      <c r="B632" s="67"/>
      <c r="C632" s="534"/>
      <c r="D632" s="132"/>
      <c r="E632" s="132"/>
      <c r="F632" s="131"/>
      <c r="G632" s="483"/>
      <c r="H632" s="483"/>
      <c r="I632" s="133"/>
      <c r="J632" s="483"/>
      <c r="K632" s="176"/>
      <c r="L632" s="69"/>
      <c r="M632" s="70"/>
      <c r="N632" s="500"/>
    </row>
    <row r="633" spans="1:14" ht="22.5" outlineLevel="1">
      <c r="A633" s="572" t="s">
        <v>466</v>
      </c>
      <c r="B633" s="71" t="s">
        <v>29</v>
      </c>
      <c r="C633" s="562" t="s">
        <v>467</v>
      </c>
      <c r="D633" s="648" t="s">
        <v>335</v>
      </c>
      <c r="E633" s="647" t="s">
        <v>468</v>
      </c>
      <c r="F633" s="536" t="s">
        <v>30</v>
      </c>
      <c r="G633" s="175">
        <f>SUM(G634:G636)</f>
        <v>2937276</v>
      </c>
      <c r="H633" s="175">
        <f>SUM(H634:H636)</f>
        <v>64107</v>
      </c>
      <c r="I633" s="129">
        <f>IF(G633&gt;0,H633/G633*100,"-")</f>
        <v>2.1825323871505433</v>
      </c>
      <c r="J633" s="175">
        <f>SUM(J634:J636)</f>
        <v>0</v>
      </c>
      <c r="K633" s="175">
        <f>SUM(K634:K636)</f>
        <v>2912799</v>
      </c>
      <c r="L633" s="35">
        <f>SUM(L634:L636)</f>
        <v>39629.59</v>
      </c>
      <c r="M633" s="36">
        <f>IF(K633&gt;0,L633/K633*100,"-")</f>
        <v>1.3605329444290526</v>
      </c>
      <c r="N633" s="676" t="s">
        <v>464</v>
      </c>
    </row>
    <row r="634" spans="1:14" ht="11.25" outlineLevel="1">
      <c r="A634" s="572"/>
      <c r="B634" s="71"/>
      <c r="C634" s="560" t="s">
        <v>469</v>
      </c>
      <c r="D634" s="647"/>
      <c r="E634" s="647"/>
      <c r="F634" s="515" t="s">
        <v>18</v>
      </c>
      <c r="G634" s="170">
        <v>1537276</v>
      </c>
      <c r="H634" s="170">
        <f>ROUNDUP(24477+L634,0)</f>
        <v>64107</v>
      </c>
      <c r="I634" s="123">
        <f>IF(G634&gt;0,H634/G634*100,"-")</f>
        <v>4.17016853187066</v>
      </c>
      <c r="J634" s="170">
        <v>0</v>
      </c>
      <c r="K634" s="170">
        <v>2912799</v>
      </c>
      <c r="L634" s="76">
        <v>39629.59</v>
      </c>
      <c r="M634" s="75">
        <f>IF(K634&gt;0,L634/K634*100,"-")</f>
        <v>1.3605329444290526</v>
      </c>
      <c r="N634" s="676"/>
    </row>
    <row r="635" spans="1:14" ht="22.5" outlineLevel="1">
      <c r="A635" s="572"/>
      <c r="B635" s="71" t="s">
        <v>24</v>
      </c>
      <c r="C635" s="563" t="s">
        <v>461</v>
      </c>
      <c r="D635" s="647"/>
      <c r="E635" s="647"/>
      <c r="F635" s="515" t="s">
        <v>236</v>
      </c>
      <c r="G635" s="170">
        <v>1400000</v>
      </c>
      <c r="H635" s="170">
        <f>ROUNDUP(0+L635,0)</f>
        <v>0</v>
      </c>
      <c r="I635" s="123">
        <f>IF(G635&gt;0,H635/G635*100,"-")</f>
        <v>0</v>
      </c>
      <c r="J635" s="170">
        <v>0</v>
      </c>
      <c r="K635" s="170">
        <v>0</v>
      </c>
      <c r="L635" s="82">
        <v>0</v>
      </c>
      <c r="M635" s="75" t="str">
        <f>IF(K635&gt;0,L635/K635*100,"-")</f>
        <v>-</v>
      </c>
      <c r="N635" s="676"/>
    </row>
    <row r="636" spans="1:14" ht="11.25" customHeight="1" outlineLevel="1">
      <c r="A636" s="572"/>
      <c r="B636" s="366"/>
      <c r="C636" s="532"/>
      <c r="D636" s="647"/>
      <c r="E636" s="647"/>
      <c r="F636" s="515" t="s">
        <v>23</v>
      </c>
      <c r="G636" s="170">
        <v>0</v>
      </c>
      <c r="H636" s="170">
        <f>ROUNDUP(0+L636,0)</f>
        <v>0</v>
      </c>
      <c r="I636" s="123" t="str">
        <f>IF(G636&gt;0,H636/G636*100,"-")</f>
        <v>-</v>
      </c>
      <c r="J636" s="170">
        <v>0</v>
      </c>
      <c r="K636" s="170">
        <v>0</v>
      </c>
      <c r="L636" s="82">
        <v>0</v>
      </c>
      <c r="M636" s="75" t="str">
        <f>IF(K636&gt;0,L636/K636*100,"-")</f>
        <v>-</v>
      </c>
      <c r="N636" s="676"/>
    </row>
    <row r="637" spans="1:14" ht="3.75" customHeight="1" outlineLevel="1">
      <c r="A637" s="141"/>
      <c r="B637" s="78"/>
      <c r="C637" s="544"/>
      <c r="D637" s="564"/>
      <c r="E637" s="564"/>
      <c r="F637" s="127"/>
      <c r="G637" s="546"/>
      <c r="H637" s="546"/>
      <c r="I637" s="127"/>
      <c r="J637" s="546"/>
      <c r="K637" s="174"/>
      <c r="L637" s="80"/>
      <c r="M637" s="81"/>
      <c r="N637" s="561"/>
    </row>
    <row r="638" spans="1:14" ht="3.75" customHeight="1" outlineLevel="1">
      <c r="A638" s="468"/>
      <c r="B638" s="67"/>
      <c r="C638" s="534"/>
      <c r="D638" s="132"/>
      <c r="E638" s="132"/>
      <c r="F638" s="131"/>
      <c r="G638" s="483"/>
      <c r="H638" s="483"/>
      <c r="I638" s="133"/>
      <c r="J638" s="483"/>
      <c r="K638" s="176"/>
      <c r="L638" s="69"/>
      <c r="M638" s="70"/>
      <c r="N638" s="500"/>
    </row>
    <row r="639" spans="1:14" ht="22.5" outlineLevel="1">
      <c r="A639" s="572" t="s">
        <v>470</v>
      </c>
      <c r="B639" s="71" t="s">
        <v>29</v>
      </c>
      <c r="C639" s="532" t="s">
        <v>471</v>
      </c>
      <c r="D639" s="647" t="s">
        <v>335</v>
      </c>
      <c r="E639" s="647" t="s">
        <v>472</v>
      </c>
      <c r="F639" s="536" t="s">
        <v>30</v>
      </c>
      <c r="G639" s="175">
        <f>SUM(G640:G642)</f>
        <v>1158007</v>
      </c>
      <c r="H639" s="175">
        <f>SUM(H640:H642)</f>
        <v>62876</v>
      </c>
      <c r="I639" s="129">
        <f>IF(G639&gt;0,H639/G639*100,"-")</f>
        <v>5.429673568467202</v>
      </c>
      <c r="J639" s="175">
        <f>SUM(J640:J642)</f>
        <v>800000</v>
      </c>
      <c r="K639" s="175">
        <f>SUM(K640:K642)</f>
        <v>1104931</v>
      </c>
      <c r="L639" s="35">
        <f>SUM(L640:L642)</f>
        <v>9800</v>
      </c>
      <c r="M639" s="36">
        <f>IF(K639&gt;0,L639/K639*100,"-")</f>
        <v>0.886933211214094</v>
      </c>
      <c r="N639" s="676" t="s">
        <v>473</v>
      </c>
    </row>
    <row r="640" spans="1:14" ht="22.5" outlineLevel="1">
      <c r="A640" s="572"/>
      <c r="B640" s="366"/>
      <c r="C640" s="532" t="s">
        <v>474</v>
      </c>
      <c r="D640" s="647"/>
      <c r="E640" s="647"/>
      <c r="F640" s="515" t="s">
        <v>18</v>
      </c>
      <c r="G640" s="170">
        <v>1158007</v>
      </c>
      <c r="H640" s="170">
        <f>ROUNDUP(53075.58+L640,0)</f>
        <v>62876</v>
      </c>
      <c r="I640" s="123">
        <f>IF(G640&gt;0,H640/G640*100,"-")</f>
        <v>5.429673568467202</v>
      </c>
      <c r="J640" s="170">
        <v>800000</v>
      </c>
      <c r="K640" s="170">
        <v>1104931</v>
      </c>
      <c r="L640" s="76">
        <v>9800</v>
      </c>
      <c r="M640" s="75">
        <f>IF(K640&gt;0,L640/K640*100,"-")</f>
        <v>0.886933211214094</v>
      </c>
      <c r="N640" s="676"/>
    </row>
    <row r="641" spans="1:14" ht="22.5" outlineLevel="1">
      <c r="A641" s="572"/>
      <c r="B641" s="84"/>
      <c r="C641" s="532" t="s">
        <v>475</v>
      </c>
      <c r="D641" s="647"/>
      <c r="E641" s="647"/>
      <c r="F641" s="515" t="s">
        <v>236</v>
      </c>
      <c r="G641" s="170">
        <v>0</v>
      </c>
      <c r="H641" s="170">
        <f>ROUNDUP(0+L641,0)</f>
        <v>0</v>
      </c>
      <c r="I641" s="123" t="str">
        <f>IF(G641&gt;0,H641/G641*100,"-")</f>
        <v>-</v>
      </c>
      <c r="J641" s="170">
        <v>0</v>
      </c>
      <c r="K641" s="170">
        <v>0</v>
      </c>
      <c r="L641" s="82">
        <v>0</v>
      </c>
      <c r="M641" s="75" t="str">
        <f>IF(K641&gt;0,L641/K641*100,"-")</f>
        <v>-</v>
      </c>
      <c r="N641" s="676"/>
    </row>
    <row r="642" spans="1:14" ht="11.25" outlineLevel="1">
      <c r="A642" s="572"/>
      <c r="B642" s="84"/>
      <c r="C642" s="532" t="s">
        <v>476</v>
      </c>
      <c r="D642" s="647"/>
      <c r="E642" s="647"/>
      <c r="F642" s="515" t="s">
        <v>23</v>
      </c>
      <c r="G642" s="170">
        <v>0</v>
      </c>
      <c r="H642" s="170">
        <f>ROUNDUP(0+L642,0)</f>
        <v>0</v>
      </c>
      <c r="I642" s="123" t="str">
        <f>IF(G642&gt;0,H642/G642*100,"-")</f>
        <v>-</v>
      </c>
      <c r="J642" s="170">
        <v>0</v>
      </c>
      <c r="K642" s="170">
        <v>0</v>
      </c>
      <c r="L642" s="82">
        <v>0</v>
      </c>
      <c r="M642" s="75" t="str">
        <f>IF(K642&gt;0,L642/K642*100,"-")</f>
        <v>-</v>
      </c>
      <c r="N642" s="676"/>
    </row>
    <row r="643" spans="1:14" ht="22.5" outlineLevel="1">
      <c r="A643" s="572"/>
      <c r="B643" s="71" t="s">
        <v>24</v>
      </c>
      <c r="C643" s="532" t="s">
        <v>477</v>
      </c>
      <c r="D643" s="209"/>
      <c r="E643" s="209"/>
      <c r="F643" s="537"/>
      <c r="G643" s="445"/>
      <c r="H643" s="445"/>
      <c r="I643" s="538"/>
      <c r="J643" s="445"/>
      <c r="K643" s="170"/>
      <c r="L643" s="82"/>
      <c r="M643" s="75"/>
      <c r="N643" s="477"/>
    </row>
    <row r="644" spans="1:14" ht="3.75" customHeight="1" outlineLevel="1">
      <c r="A644" s="141"/>
      <c r="B644" s="78"/>
      <c r="C644" s="544"/>
      <c r="D644" s="564"/>
      <c r="E644" s="564"/>
      <c r="F644" s="127"/>
      <c r="G644" s="546"/>
      <c r="H644" s="546"/>
      <c r="I644" s="127"/>
      <c r="J644" s="546"/>
      <c r="K644" s="174"/>
      <c r="L644" s="80"/>
      <c r="M644" s="81"/>
      <c r="N644" s="561"/>
    </row>
    <row r="645" spans="1:14" ht="3.75" customHeight="1" outlineLevel="1">
      <c r="A645" s="468"/>
      <c r="B645" s="67"/>
      <c r="C645" s="534"/>
      <c r="D645" s="132"/>
      <c r="E645" s="132"/>
      <c r="F645" s="131"/>
      <c r="G645" s="483"/>
      <c r="H645" s="483"/>
      <c r="I645" s="133"/>
      <c r="J645" s="483"/>
      <c r="K645" s="176"/>
      <c r="L645" s="69"/>
      <c r="M645" s="70"/>
      <c r="N645" s="500"/>
    </row>
    <row r="646" spans="1:14" ht="11.25" outlineLevel="1">
      <c r="A646" s="572" t="s">
        <v>478</v>
      </c>
      <c r="B646" s="71" t="s">
        <v>29</v>
      </c>
      <c r="C646" s="562" t="s">
        <v>479</v>
      </c>
      <c r="D646" s="647" t="s">
        <v>361</v>
      </c>
      <c r="E646" s="647" t="s">
        <v>480</v>
      </c>
      <c r="F646" s="536" t="s">
        <v>30</v>
      </c>
      <c r="G646" s="175">
        <f>SUM(G647:G649)</f>
        <v>650000</v>
      </c>
      <c r="H646" s="175">
        <f>SUM(H647:H649)</f>
        <v>547</v>
      </c>
      <c r="I646" s="129">
        <f>IF(G646&gt;0,H646/G646*100,"-")</f>
        <v>0.08415384615384615</v>
      </c>
      <c r="J646" s="175">
        <f>SUM(J647:J649)</f>
        <v>5000</v>
      </c>
      <c r="K646" s="175">
        <f>SUM(K647:K649)</f>
        <v>5000</v>
      </c>
      <c r="L646" s="35">
        <f>SUM(L647:L649)</f>
        <v>546.17</v>
      </c>
      <c r="M646" s="36">
        <f>IF(K646&gt;0,L646/K646*100,"-")</f>
        <v>10.923399999999999</v>
      </c>
      <c r="N646" s="676" t="s">
        <v>481</v>
      </c>
    </row>
    <row r="647" spans="1:14" ht="11.25" customHeight="1" outlineLevel="1">
      <c r="A647" s="572"/>
      <c r="B647" s="71"/>
      <c r="C647" s="563"/>
      <c r="D647" s="647"/>
      <c r="E647" s="647"/>
      <c r="F647" s="515" t="s">
        <v>18</v>
      </c>
      <c r="G647" s="170">
        <v>650000</v>
      </c>
      <c r="H647" s="170">
        <f>ROUNDUP(0+L647,0)</f>
        <v>547</v>
      </c>
      <c r="I647" s="123">
        <f>IF(G647&gt;0,H647/G647*100,"-")</f>
        <v>0.08415384615384615</v>
      </c>
      <c r="J647" s="170">
        <v>5000</v>
      </c>
      <c r="K647" s="170">
        <v>5000</v>
      </c>
      <c r="L647" s="76">
        <v>546.17</v>
      </c>
      <c r="M647" s="75">
        <f>IF(K647&gt;0,L647/K647*100,"-")</f>
        <v>10.923399999999999</v>
      </c>
      <c r="N647" s="676"/>
    </row>
    <row r="648" spans="1:14" ht="22.5" outlineLevel="1">
      <c r="A648" s="572"/>
      <c r="B648" s="71" t="s">
        <v>24</v>
      </c>
      <c r="C648" s="563" t="s">
        <v>482</v>
      </c>
      <c r="D648" s="647"/>
      <c r="E648" s="647"/>
      <c r="F648" s="515" t="s">
        <v>236</v>
      </c>
      <c r="G648" s="170">
        <v>0</v>
      </c>
      <c r="H648" s="170">
        <f>ROUNDUP(0+L648,0)</f>
        <v>0</v>
      </c>
      <c r="I648" s="123" t="str">
        <f>IF(G648&gt;0,H648/G648*100,"-")</f>
        <v>-</v>
      </c>
      <c r="J648" s="170">
        <v>0</v>
      </c>
      <c r="K648" s="170">
        <v>0</v>
      </c>
      <c r="L648" s="82">
        <v>0</v>
      </c>
      <c r="M648" s="75" t="str">
        <f>IF(K648&gt;0,L648/K648*100,"-")</f>
        <v>-</v>
      </c>
      <c r="N648" s="676"/>
    </row>
    <row r="649" spans="1:14" ht="11.25" customHeight="1" outlineLevel="1">
      <c r="A649" s="572"/>
      <c r="B649" s="366"/>
      <c r="C649" s="532" t="s">
        <v>483</v>
      </c>
      <c r="D649" s="647"/>
      <c r="E649" s="647"/>
      <c r="F649" s="515" t="s">
        <v>23</v>
      </c>
      <c r="G649" s="170">
        <v>0</v>
      </c>
      <c r="H649" s="170">
        <f>ROUNDUP(0+L649,0)</f>
        <v>0</v>
      </c>
      <c r="I649" s="123" t="str">
        <f>IF(G649&gt;0,H649/G649*100,"-")</f>
        <v>-</v>
      </c>
      <c r="J649" s="170">
        <v>0</v>
      </c>
      <c r="K649" s="170">
        <v>0</v>
      </c>
      <c r="L649" s="82">
        <v>0</v>
      </c>
      <c r="M649" s="75" t="str">
        <f>IF(K649&gt;0,L649/K649*100,"-")</f>
        <v>-</v>
      </c>
      <c r="N649" s="676"/>
    </row>
    <row r="650" spans="1:14" ht="3.75" customHeight="1" outlineLevel="1">
      <c r="A650" s="141"/>
      <c r="B650" s="78"/>
      <c r="C650" s="544"/>
      <c r="D650" s="564"/>
      <c r="E650" s="564"/>
      <c r="F650" s="127"/>
      <c r="G650" s="546"/>
      <c r="H650" s="546"/>
      <c r="I650" s="127"/>
      <c r="J650" s="546"/>
      <c r="K650" s="174"/>
      <c r="L650" s="80"/>
      <c r="M650" s="81"/>
      <c r="N650" s="561"/>
    </row>
    <row r="651" spans="1:14" ht="3.75" customHeight="1" outlineLevel="1">
      <c r="A651" s="468"/>
      <c r="B651" s="67"/>
      <c r="C651" s="534"/>
      <c r="D651" s="132"/>
      <c r="E651" s="132"/>
      <c r="F651" s="131"/>
      <c r="G651" s="483"/>
      <c r="H651" s="483"/>
      <c r="I651" s="133"/>
      <c r="J651" s="483"/>
      <c r="K651" s="176"/>
      <c r="L651" s="69"/>
      <c r="M651" s="70"/>
      <c r="N651" s="500"/>
    </row>
    <row r="652" spans="1:14" ht="11.25" outlineLevel="1">
      <c r="A652" s="572" t="s">
        <v>484</v>
      </c>
      <c r="B652" s="71" t="s">
        <v>29</v>
      </c>
      <c r="C652" s="562" t="s">
        <v>485</v>
      </c>
      <c r="D652" s="647" t="s">
        <v>361</v>
      </c>
      <c r="E652" s="647" t="s">
        <v>480</v>
      </c>
      <c r="F652" s="536" t="s">
        <v>30</v>
      </c>
      <c r="G652" s="175">
        <f>SUM(G653:G655)</f>
        <v>1030000</v>
      </c>
      <c r="H652" s="175">
        <f>SUM(H653:H655)</f>
        <v>888</v>
      </c>
      <c r="I652" s="129">
        <f>IF(G652&gt;0,H652/G652*100,"-")</f>
        <v>0.0862135922330097</v>
      </c>
      <c r="J652" s="175">
        <f>SUM(J653:J655)</f>
        <v>260000</v>
      </c>
      <c r="K652" s="175">
        <f>SUM(K653:K655)</f>
        <v>250000</v>
      </c>
      <c r="L652" s="35">
        <f>SUM(L653:L655)</f>
        <v>887.45</v>
      </c>
      <c r="M652" s="36">
        <f>IF(K652&gt;0,L652/K652*100,"-")</f>
        <v>0.35498</v>
      </c>
      <c r="N652" s="676" t="s">
        <v>486</v>
      </c>
    </row>
    <row r="653" spans="1:14" ht="22.5" outlineLevel="1">
      <c r="A653" s="572"/>
      <c r="B653" s="71" t="s">
        <v>24</v>
      </c>
      <c r="C653" s="563" t="s">
        <v>482</v>
      </c>
      <c r="D653" s="647"/>
      <c r="E653" s="647"/>
      <c r="F653" s="515" t="s">
        <v>18</v>
      </c>
      <c r="G653" s="170">
        <v>1030000</v>
      </c>
      <c r="H653" s="170">
        <f>ROUNDUP(0+L653,0)</f>
        <v>888</v>
      </c>
      <c r="I653" s="123">
        <f>IF(G653&gt;0,H653/G653*100,"-")</f>
        <v>0.0862135922330097</v>
      </c>
      <c r="J653" s="170">
        <v>260000</v>
      </c>
      <c r="K653" s="170">
        <v>250000</v>
      </c>
      <c r="L653" s="76">
        <v>887.45</v>
      </c>
      <c r="M653" s="75">
        <f>IF(K653&gt;0,L653/K653*100,"-")</f>
        <v>0.35498</v>
      </c>
      <c r="N653" s="676"/>
    </row>
    <row r="654" spans="1:14" ht="11.25" outlineLevel="1">
      <c r="A654" s="572"/>
      <c r="B654" s="71"/>
      <c r="C654" s="563" t="s">
        <v>483</v>
      </c>
      <c r="D654" s="647"/>
      <c r="E654" s="647"/>
      <c r="F654" s="515" t="s">
        <v>236</v>
      </c>
      <c r="G654" s="170">
        <v>0</v>
      </c>
      <c r="H654" s="170">
        <f>ROUNDUP(0+L654,0)</f>
        <v>0</v>
      </c>
      <c r="I654" s="123" t="str">
        <f>IF(G654&gt;0,H654/G654*100,"-")</f>
        <v>-</v>
      </c>
      <c r="J654" s="170">
        <v>0</v>
      </c>
      <c r="K654" s="170">
        <v>0</v>
      </c>
      <c r="L654" s="82">
        <v>0</v>
      </c>
      <c r="M654" s="75" t="str">
        <f>IF(K654&gt;0,L654/K654*100,"-")</f>
        <v>-</v>
      </c>
      <c r="N654" s="676"/>
    </row>
    <row r="655" spans="1:14" ht="11.25" customHeight="1" outlineLevel="1">
      <c r="A655" s="572"/>
      <c r="C655" s="563"/>
      <c r="D655" s="647"/>
      <c r="E655" s="647"/>
      <c r="F655" s="515" t="s">
        <v>23</v>
      </c>
      <c r="G655" s="170">
        <v>0</v>
      </c>
      <c r="H655" s="170">
        <f>ROUNDUP(0+L655,0)</f>
        <v>0</v>
      </c>
      <c r="I655" s="123" t="str">
        <f>IF(G655&gt;0,H655/G655*100,"-")</f>
        <v>-</v>
      </c>
      <c r="J655" s="170">
        <v>0</v>
      </c>
      <c r="K655" s="170">
        <v>0</v>
      </c>
      <c r="L655" s="82">
        <v>0</v>
      </c>
      <c r="M655" s="75" t="str">
        <f>IF(K655&gt;0,L655/K655*100,"-")</f>
        <v>-</v>
      </c>
      <c r="N655" s="676"/>
    </row>
    <row r="656" spans="1:14" ht="3.75" customHeight="1" outlineLevel="1">
      <c r="A656" s="141"/>
      <c r="B656" s="78"/>
      <c r="C656" s="544"/>
      <c r="D656" s="564"/>
      <c r="E656" s="564"/>
      <c r="F656" s="127"/>
      <c r="G656" s="546"/>
      <c r="H656" s="546"/>
      <c r="I656" s="127"/>
      <c r="J656" s="546"/>
      <c r="K656" s="174"/>
      <c r="L656" s="80"/>
      <c r="M656" s="81"/>
      <c r="N656" s="561"/>
    </row>
    <row r="657" spans="1:14" ht="3.75" customHeight="1" outlineLevel="1">
      <c r="A657" s="468"/>
      <c r="B657" s="67"/>
      <c r="C657" s="534"/>
      <c r="D657" s="132"/>
      <c r="E657" s="132"/>
      <c r="F657" s="131"/>
      <c r="G657" s="483"/>
      <c r="H657" s="483"/>
      <c r="I657" s="133"/>
      <c r="J657" s="483"/>
      <c r="K657" s="176"/>
      <c r="L657" s="69"/>
      <c r="M657" s="70"/>
      <c r="N657" s="500"/>
    </row>
    <row r="658" spans="1:14" ht="11.25" outlineLevel="1">
      <c r="A658" s="572" t="s">
        <v>487</v>
      </c>
      <c r="B658" s="71" t="s">
        <v>29</v>
      </c>
      <c r="C658" s="562" t="s">
        <v>488</v>
      </c>
      <c r="D658" s="647" t="s">
        <v>335</v>
      </c>
      <c r="E658" s="647" t="s">
        <v>480</v>
      </c>
      <c r="F658" s="536" t="s">
        <v>30</v>
      </c>
      <c r="G658" s="175">
        <f>SUM(G659:G661)</f>
        <v>1130487</v>
      </c>
      <c r="H658" s="175">
        <f>SUM(H659:H661)</f>
        <v>65603</v>
      </c>
      <c r="I658" s="129">
        <f>IF(G658&gt;0,H658/G658*100,"-")</f>
        <v>5.803074250300976</v>
      </c>
      <c r="J658" s="175">
        <f>SUM(J659:J661)</f>
        <v>2500000</v>
      </c>
      <c r="K658" s="175">
        <f>SUM(K659:K661)</f>
        <v>1080000</v>
      </c>
      <c r="L658" s="35">
        <f>SUM(L659:L661)</f>
        <v>15115.01</v>
      </c>
      <c r="M658" s="36">
        <f>IF(K658&gt;0,L658/K658*100,"-")</f>
        <v>1.399537962962963</v>
      </c>
      <c r="N658" s="676" t="s">
        <v>489</v>
      </c>
    </row>
    <row r="659" spans="1:14" ht="22.5" outlineLevel="1">
      <c r="A659" s="572"/>
      <c r="B659" s="71" t="s">
        <v>24</v>
      </c>
      <c r="C659" s="563" t="s">
        <v>482</v>
      </c>
      <c r="D659" s="647"/>
      <c r="E659" s="647"/>
      <c r="F659" s="515" t="s">
        <v>18</v>
      </c>
      <c r="G659" s="170">
        <v>1130487</v>
      </c>
      <c r="H659" s="170">
        <f>ROUNDUP(50487+L659,0)</f>
        <v>65603</v>
      </c>
      <c r="I659" s="123">
        <f>IF(G659&gt;0,H659/G659*100,"-")</f>
        <v>5.803074250300976</v>
      </c>
      <c r="J659" s="170">
        <v>2500000</v>
      </c>
      <c r="K659" s="170">
        <v>1080000</v>
      </c>
      <c r="L659" s="76">
        <v>15115.01</v>
      </c>
      <c r="M659" s="75">
        <f>IF(K659&gt;0,L659/K659*100,"-")</f>
        <v>1.399537962962963</v>
      </c>
      <c r="N659" s="676"/>
    </row>
    <row r="660" spans="1:14" ht="11.25" outlineLevel="1">
      <c r="A660" s="572"/>
      <c r="B660" s="71"/>
      <c r="C660" s="563" t="s">
        <v>483</v>
      </c>
      <c r="D660" s="647"/>
      <c r="E660" s="647"/>
      <c r="F660" s="515" t="s">
        <v>236</v>
      </c>
      <c r="G660" s="170">
        <v>0</v>
      </c>
      <c r="H660" s="170">
        <f>ROUNDUP(0+L660,0)</f>
        <v>0</v>
      </c>
      <c r="I660" s="123" t="str">
        <f>IF(G660&gt;0,H660/G660*100,"-")</f>
        <v>-</v>
      </c>
      <c r="J660" s="170">
        <v>0</v>
      </c>
      <c r="K660" s="170">
        <v>0</v>
      </c>
      <c r="L660" s="82">
        <v>0</v>
      </c>
      <c r="M660" s="75" t="str">
        <f>IF(K660&gt;0,L660/K660*100,"-")</f>
        <v>-</v>
      </c>
      <c r="N660" s="676"/>
    </row>
    <row r="661" spans="1:14" ht="11.25" customHeight="1" outlineLevel="1">
      <c r="A661" s="572"/>
      <c r="B661" s="71"/>
      <c r="C661" s="563"/>
      <c r="D661" s="647"/>
      <c r="E661" s="647"/>
      <c r="F661" s="515" t="s">
        <v>23</v>
      </c>
      <c r="G661" s="170">
        <v>0</v>
      </c>
      <c r="H661" s="170">
        <f>ROUNDUP(0+L661,0)</f>
        <v>0</v>
      </c>
      <c r="I661" s="123" t="str">
        <f>IF(G661&gt;0,H661/G661*100,"-")</f>
        <v>-</v>
      </c>
      <c r="J661" s="170">
        <v>0</v>
      </c>
      <c r="K661" s="170">
        <v>0</v>
      </c>
      <c r="L661" s="82">
        <v>0</v>
      </c>
      <c r="M661" s="75" t="str">
        <f>IF(K661&gt;0,L661/K661*100,"-")</f>
        <v>-</v>
      </c>
      <c r="N661" s="676"/>
    </row>
    <row r="662" spans="1:14" ht="3.75" customHeight="1" outlineLevel="1">
      <c r="A662" s="141"/>
      <c r="B662" s="78"/>
      <c r="C662" s="544"/>
      <c r="D662" s="564"/>
      <c r="E662" s="564"/>
      <c r="F662" s="127"/>
      <c r="G662" s="546"/>
      <c r="H662" s="546"/>
      <c r="I662" s="127"/>
      <c r="J662" s="546"/>
      <c r="K662" s="174"/>
      <c r="L662" s="80"/>
      <c r="M662" s="81"/>
      <c r="N662" s="561"/>
    </row>
    <row r="663" spans="1:14" ht="3.75" customHeight="1" outlineLevel="1">
      <c r="A663" s="468"/>
      <c r="B663" s="67"/>
      <c r="C663" s="534"/>
      <c r="D663" s="132"/>
      <c r="E663" s="132"/>
      <c r="F663" s="131"/>
      <c r="G663" s="483"/>
      <c r="H663" s="483"/>
      <c r="I663" s="133"/>
      <c r="J663" s="483"/>
      <c r="K663" s="176"/>
      <c r="L663" s="69"/>
      <c r="M663" s="70"/>
      <c r="N663" s="694" t="s">
        <v>490</v>
      </c>
    </row>
    <row r="664" spans="1:14" ht="22.5" outlineLevel="1">
      <c r="A664" s="572" t="s">
        <v>491</v>
      </c>
      <c r="B664" s="71" t="s">
        <v>29</v>
      </c>
      <c r="C664" s="532" t="s">
        <v>492</v>
      </c>
      <c r="D664" s="647" t="s">
        <v>493</v>
      </c>
      <c r="E664" s="647" t="s">
        <v>480</v>
      </c>
      <c r="F664" s="536" t="s">
        <v>30</v>
      </c>
      <c r="G664" s="175">
        <f>SUM(G665:G667)</f>
        <v>2098580</v>
      </c>
      <c r="H664" s="175">
        <f>SUM(H665:H667)</f>
        <v>498580</v>
      </c>
      <c r="I664" s="129">
        <f>IF(G664&gt;0,H664/G664*100,"-")</f>
        <v>23.757969674732436</v>
      </c>
      <c r="J664" s="175">
        <f>SUM(J665:J667)</f>
        <v>1000000</v>
      </c>
      <c r="K664" s="175">
        <f>SUM(K665:K667)</f>
        <v>0</v>
      </c>
      <c r="L664" s="35">
        <f>SUM(L665:L667)</f>
        <v>0</v>
      </c>
      <c r="M664" s="36" t="str">
        <f>IF(K664&gt;0,L664/K664*100,"-")</f>
        <v>-</v>
      </c>
      <c r="N664" s="678"/>
    </row>
    <row r="665" spans="1:14" ht="22.5" outlineLevel="1">
      <c r="A665" s="572"/>
      <c r="B665" s="366"/>
      <c r="C665" s="532" t="s">
        <v>494</v>
      </c>
      <c r="D665" s="647"/>
      <c r="E665" s="647"/>
      <c r="F665" s="515" t="s">
        <v>18</v>
      </c>
      <c r="G665" s="170">
        <v>2098580</v>
      </c>
      <c r="H665" s="170">
        <f>ROUNDUP(498579.17+L665,0)</f>
        <v>498580</v>
      </c>
      <c r="I665" s="123">
        <f>IF(G665&gt;0,H665/G665*100,"-")</f>
        <v>23.757969674732436</v>
      </c>
      <c r="J665" s="170">
        <v>1000000</v>
      </c>
      <c r="K665" s="170">
        <v>0</v>
      </c>
      <c r="L665" s="76">
        <v>0</v>
      </c>
      <c r="M665" s="75" t="str">
        <f>IF(K665&gt;0,L665/K665*100,"-")</f>
        <v>-</v>
      </c>
      <c r="N665" s="678"/>
    </row>
    <row r="666" spans="1:14" ht="22.5" outlineLevel="1">
      <c r="A666" s="572"/>
      <c r="B666" s="71" t="s">
        <v>24</v>
      </c>
      <c r="C666" s="532" t="s">
        <v>495</v>
      </c>
      <c r="D666" s="647"/>
      <c r="E666" s="647"/>
      <c r="F666" s="515" t="s">
        <v>236</v>
      </c>
      <c r="G666" s="170">
        <v>0</v>
      </c>
      <c r="H666" s="170">
        <f>ROUNDUP(0+L666,0)</f>
        <v>0</v>
      </c>
      <c r="I666" s="123" t="str">
        <f>IF(G666&gt;0,H666/G666*100,"-")</f>
        <v>-</v>
      </c>
      <c r="J666" s="170">
        <v>0</v>
      </c>
      <c r="K666" s="170">
        <v>0</v>
      </c>
      <c r="L666" s="82">
        <v>0</v>
      </c>
      <c r="M666" s="75" t="str">
        <f>IF(K666&gt;0,L666/K666*100,"-")</f>
        <v>-</v>
      </c>
      <c r="N666" s="678"/>
    </row>
    <row r="667" spans="1:14" ht="11.25" outlineLevel="1">
      <c r="A667" s="572"/>
      <c r="B667" s="366"/>
      <c r="C667" s="532" t="s">
        <v>483</v>
      </c>
      <c r="D667" s="647"/>
      <c r="E667" s="647"/>
      <c r="F667" s="515" t="s">
        <v>23</v>
      </c>
      <c r="G667" s="170">
        <v>0</v>
      </c>
      <c r="H667" s="170">
        <f>ROUNDUP(0+L667,0)</f>
        <v>0</v>
      </c>
      <c r="I667" s="123" t="str">
        <f>IF(G667&gt;0,H667/G667*100,"-")</f>
        <v>-</v>
      </c>
      <c r="J667" s="170">
        <v>0</v>
      </c>
      <c r="K667" s="170">
        <v>0</v>
      </c>
      <c r="L667" s="82">
        <v>0</v>
      </c>
      <c r="M667" s="75" t="str">
        <f>IF(K667&gt;0,L667/K667*100,"-")</f>
        <v>-</v>
      </c>
      <c r="N667" s="678"/>
    </row>
    <row r="668" spans="1:14" ht="3.75" customHeight="1" outlineLevel="1">
      <c r="A668" s="141"/>
      <c r="B668" s="78"/>
      <c r="C668" s="544"/>
      <c r="D668" s="564"/>
      <c r="E668" s="564"/>
      <c r="F668" s="127"/>
      <c r="G668" s="546"/>
      <c r="H668" s="546"/>
      <c r="I668" s="127"/>
      <c r="J668" s="546"/>
      <c r="K668" s="174"/>
      <c r="L668" s="80"/>
      <c r="M668" s="81"/>
      <c r="N668" s="680"/>
    </row>
    <row r="669" spans="1:14" ht="3.75" customHeight="1" outlineLevel="1">
      <c r="A669" s="468"/>
      <c r="B669" s="67"/>
      <c r="C669" s="534"/>
      <c r="D669" s="132"/>
      <c r="E669" s="132"/>
      <c r="F669" s="131"/>
      <c r="G669" s="483"/>
      <c r="H669" s="483"/>
      <c r="I669" s="133"/>
      <c r="J669" s="483"/>
      <c r="K669" s="176"/>
      <c r="L669" s="69"/>
      <c r="M669" s="70"/>
      <c r="N669" s="500"/>
    </row>
    <row r="670" spans="1:14" ht="22.5" outlineLevel="1">
      <c r="A670" s="572" t="s">
        <v>496</v>
      </c>
      <c r="B670" s="71" t="s">
        <v>29</v>
      </c>
      <c r="C670" s="532" t="s">
        <v>497</v>
      </c>
      <c r="D670" s="647" t="s">
        <v>335</v>
      </c>
      <c r="E670" s="647" t="s">
        <v>480</v>
      </c>
      <c r="F670" s="536" t="s">
        <v>30</v>
      </c>
      <c r="G670" s="175">
        <f>SUM(G671:G673)</f>
        <v>616745</v>
      </c>
      <c r="H670" s="175">
        <f>SUM(H671:H673)</f>
        <v>14398</v>
      </c>
      <c r="I670" s="129">
        <f>IF(G670&gt;0,H670/G670*100,"-")</f>
        <v>2.3345142644042514</v>
      </c>
      <c r="J670" s="175">
        <f>SUM(J671:J673)</f>
        <v>300000</v>
      </c>
      <c r="K670" s="175">
        <f>SUM(K671:K673)</f>
        <v>602347</v>
      </c>
      <c r="L670" s="35">
        <f>SUM(L671:L673)</f>
        <v>0</v>
      </c>
      <c r="M670" s="36">
        <f>IF(K670&gt;0,L670/K670*100,"-")</f>
        <v>0</v>
      </c>
      <c r="N670" s="676" t="s">
        <v>498</v>
      </c>
    </row>
    <row r="671" spans="1:14" ht="11.25" outlineLevel="1">
      <c r="A671" s="572"/>
      <c r="B671" s="366"/>
      <c r="C671" s="532" t="s">
        <v>499</v>
      </c>
      <c r="D671" s="647"/>
      <c r="E671" s="647"/>
      <c r="F671" s="515" t="s">
        <v>18</v>
      </c>
      <c r="G671" s="170">
        <v>316745</v>
      </c>
      <c r="H671" s="170">
        <f>ROUNDUP(14397.93+L671,0)</f>
        <v>14398</v>
      </c>
      <c r="I671" s="123">
        <f>IF(G671&gt;0,H671/G671*100,"-")</f>
        <v>4.545612401142876</v>
      </c>
      <c r="J671" s="170">
        <v>300000</v>
      </c>
      <c r="K671" s="170">
        <v>302347</v>
      </c>
      <c r="L671" s="76">
        <v>0</v>
      </c>
      <c r="M671" s="75">
        <f>IF(K671&gt;0,L671/K671*100,"-")</f>
        <v>0</v>
      </c>
      <c r="N671" s="676"/>
    </row>
    <row r="672" spans="1:14" ht="22.5" outlineLevel="1">
      <c r="A672" s="572"/>
      <c r="B672" s="71" t="s">
        <v>24</v>
      </c>
      <c r="C672" s="532" t="s">
        <v>495</v>
      </c>
      <c r="D672" s="647"/>
      <c r="E672" s="647"/>
      <c r="F672" s="515" t="s">
        <v>236</v>
      </c>
      <c r="G672" s="170">
        <v>0</v>
      </c>
      <c r="H672" s="170">
        <f>ROUNDUP(0+L672,0)</f>
        <v>0</v>
      </c>
      <c r="I672" s="123" t="str">
        <f>IF(G672&gt;0,H672/G672*100,"-")</f>
        <v>-</v>
      </c>
      <c r="J672" s="170">
        <v>0</v>
      </c>
      <c r="K672" s="170">
        <v>0</v>
      </c>
      <c r="L672" s="82">
        <v>0</v>
      </c>
      <c r="M672" s="75" t="str">
        <f>IF(K672&gt;0,L672/K672*100,"-")</f>
        <v>-</v>
      </c>
      <c r="N672" s="676"/>
    </row>
    <row r="673" spans="1:14" ht="11.25" outlineLevel="1">
      <c r="A673" s="572"/>
      <c r="B673" s="366"/>
      <c r="C673" s="532" t="s">
        <v>483</v>
      </c>
      <c r="D673" s="647"/>
      <c r="E673" s="647"/>
      <c r="F673" s="515" t="s">
        <v>23</v>
      </c>
      <c r="G673" s="170">
        <v>300000</v>
      </c>
      <c r="H673" s="170">
        <f>ROUNDUP(0+L673,0)</f>
        <v>0</v>
      </c>
      <c r="I673" s="123">
        <f>IF(G673&gt;0,H673/G673*100,"-")</f>
        <v>0</v>
      </c>
      <c r="J673" s="170">
        <v>0</v>
      </c>
      <c r="K673" s="170">
        <v>300000</v>
      </c>
      <c r="L673" s="82">
        <v>0</v>
      </c>
      <c r="M673" s="75">
        <f>IF(K673&gt;0,L673/K673*100,"-")</f>
        <v>0</v>
      </c>
      <c r="N673" s="676"/>
    </row>
    <row r="674" spans="1:14" ht="3.75" customHeight="1" outlineLevel="1">
      <c r="A674" s="141"/>
      <c r="B674" s="78"/>
      <c r="C674" s="544"/>
      <c r="D674" s="564"/>
      <c r="E674" s="564"/>
      <c r="F674" s="127"/>
      <c r="G674" s="546"/>
      <c r="H674" s="546"/>
      <c r="I674" s="127"/>
      <c r="J674" s="546"/>
      <c r="K674" s="174"/>
      <c r="L674" s="80"/>
      <c r="M674" s="81"/>
      <c r="N674" s="561"/>
    </row>
    <row r="675" spans="1:14" ht="3.75" customHeight="1" outlineLevel="1">
      <c r="A675" s="468"/>
      <c r="B675" s="67"/>
      <c r="C675" s="534"/>
      <c r="D675" s="132"/>
      <c r="E675" s="132"/>
      <c r="F675" s="131"/>
      <c r="G675" s="483"/>
      <c r="H675" s="483"/>
      <c r="I675" s="133"/>
      <c r="J675" s="483"/>
      <c r="K675" s="176"/>
      <c r="L675" s="69"/>
      <c r="M675" s="70"/>
      <c r="N675" s="500"/>
    </row>
    <row r="676" spans="1:14" ht="33.75" outlineLevel="1">
      <c r="A676" s="572" t="s">
        <v>500</v>
      </c>
      <c r="B676" s="71" t="s">
        <v>29</v>
      </c>
      <c r="C676" s="562" t="s">
        <v>501</v>
      </c>
      <c r="D676" s="647" t="s">
        <v>371</v>
      </c>
      <c r="E676" s="647" t="s">
        <v>480</v>
      </c>
      <c r="F676" s="536" t="s">
        <v>30</v>
      </c>
      <c r="G676" s="175">
        <f>SUM(G677:G679)</f>
        <v>5258673</v>
      </c>
      <c r="H676" s="175">
        <f>SUM(H677:H679)</f>
        <v>2437743</v>
      </c>
      <c r="I676" s="129">
        <f>IF(G676&gt;0,H676/G676*100,"-")</f>
        <v>46.356618865633976</v>
      </c>
      <c r="J676" s="175">
        <f>SUM(J677:J679)</f>
        <v>48500</v>
      </c>
      <c r="K676" s="175">
        <f>SUM(K677:K679)</f>
        <v>51620</v>
      </c>
      <c r="L676" s="35">
        <f>SUM(L677:L679)</f>
        <v>689.44</v>
      </c>
      <c r="M676" s="36">
        <f>IF(K676&gt;0,L676/K676*100,"-")</f>
        <v>1.3356063541263077</v>
      </c>
      <c r="N676" s="676" t="s">
        <v>502</v>
      </c>
    </row>
    <row r="677" spans="1:14" ht="11.25" outlineLevel="1">
      <c r="A677" s="572"/>
      <c r="C677" s="560" t="s">
        <v>503</v>
      </c>
      <c r="D677" s="647"/>
      <c r="E677" s="647"/>
      <c r="F677" s="515" t="s">
        <v>18</v>
      </c>
      <c r="G677" s="170">
        <v>5258673</v>
      </c>
      <c r="H677" s="170">
        <f>ROUNDUP(2437053+L677,0)</f>
        <v>2437743</v>
      </c>
      <c r="I677" s="123">
        <f>IF(G677&gt;0,H677/G677*100,"-")</f>
        <v>46.356618865633976</v>
      </c>
      <c r="J677" s="170">
        <v>48500</v>
      </c>
      <c r="K677" s="170">
        <v>51620</v>
      </c>
      <c r="L677" s="76">
        <v>689.44</v>
      </c>
      <c r="M677" s="75">
        <f>IF(K677&gt;0,L677/K677*100,"-")</f>
        <v>1.3356063541263077</v>
      </c>
      <c r="N677" s="676"/>
    </row>
    <row r="678" spans="1:14" ht="22.5" outlineLevel="1">
      <c r="A678" s="572"/>
      <c r="B678" s="71" t="s">
        <v>24</v>
      </c>
      <c r="C678" s="532" t="s">
        <v>495</v>
      </c>
      <c r="D678" s="647"/>
      <c r="E678" s="647"/>
      <c r="F678" s="515" t="s">
        <v>236</v>
      </c>
      <c r="G678" s="170">
        <v>0</v>
      </c>
      <c r="H678" s="170">
        <f>ROUNDUP(0+L678,0)</f>
        <v>0</v>
      </c>
      <c r="I678" s="123" t="str">
        <f>IF(G678&gt;0,H678/G678*100,"-")</f>
        <v>-</v>
      </c>
      <c r="J678" s="170">
        <v>0</v>
      </c>
      <c r="K678" s="170">
        <v>0</v>
      </c>
      <c r="L678" s="82">
        <v>0</v>
      </c>
      <c r="M678" s="75" t="str">
        <f>IF(K678&gt;0,L678/K678*100,"-")</f>
        <v>-</v>
      </c>
      <c r="N678" s="676"/>
    </row>
    <row r="679" spans="1:14" ht="11.25" outlineLevel="1">
      <c r="A679" s="572"/>
      <c r="C679" s="532" t="s">
        <v>483</v>
      </c>
      <c r="D679" s="647"/>
      <c r="E679" s="647"/>
      <c r="F679" s="515" t="s">
        <v>23</v>
      </c>
      <c r="G679" s="170">
        <v>0</v>
      </c>
      <c r="H679" s="170">
        <f>ROUNDUP(0+L679,0)</f>
        <v>0</v>
      </c>
      <c r="I679" s="123" t="str">
        <f>IF(G679&gt;0,H679/G679*100,"-")</f>
        <v>-</v>
      </c>
      <c r="J679" s="170">
        <v>0</v>
      </c>
      <c r="K679" s="170">
        <v>0</v>
      </c>
      <c r="L679" s="82">
        <v>0</v>
      </c>
      <c r="M679" s="75" t="str">
        <f>IF(K679&gt;0,L679/K679*100,"-")</f>
        <v>-</v>
      </c>
      <c r="N679" s="676"/>
    </row>
    <row r="680" spans="1:14" ht="3.75" customHeight="1" outlineLevel="1">
      <c r="A680" s="141"/>
      <c r="B680" s="78"/>
      <c r="C680" s="544"/>
      <c r="D680" s="564"/>
      <c r="E680" s="564"/>
      <c r="F680" s="127"/>
      <c r="G680" s="546"/>
      <c r="H680" s="546"/>
      <c r="I680" s="127"/>
      <c r="J680" s="546"/>
      <c r="K680" s="174"/>
      <c r="L680" s="80"/>
      <c r="M680" s="81"/>
      <c r="N680" s="561"/>
    </row>
    <row r="681" spans="1:14" ht="3.75" customHeight="1" outlineLevel="1">
      <c r="A681" s="468"/>
      <c r="B681" s="67"/>
      <c r="C681" s="534"/>
      <c r="D681" s="132"/>
      <c r="E681" s="132"/>
      <c r="F681" s="131"/>
      <c r="G681" s="483"/>
      <c r="H681" s="483"/>
      <c r="I681" s="133"/>
      <c r="J681" s="483"/>
      <c r="K681" s="176"/>
      <c r="L681" s="69"/>
      <c r="M681" s="70"/>
      <c r="N681" s="500"/>
    </row>
    <row r="682" spans="1:14" ht="22.5" outlineLevel="1">
      <c r="A682" s="572" t="s">
        <v>504</v>
      </c>
      <c r="B682" s="71" t="s">
        <v>29</v>
      </c>
      <c r="C682" s="532" t="s">
        <v>505</v>
      </c>
      <c r="D682" s="647" t="s">
        <v>506</v>
      </c>
      <c r="E682" s="647" t="s">
        <v>480</v>
      </c>
      <c r="F682" s="536" t="s">
        <v>30</v>
      </c>
      <c r="G682" s="175">
        <f>SUM(G683:G685)</f>
        <v>2321607</v>
      </c>
      <c r="H682" s="175">
        <f>SUM(H683:H685)</f>
        <v>12055</v>
      </c>
      <c r="I682" s="129">
        <f>IF(G682&gt;0,H682/G682*100,"-")</f>
        <v>0.5192523971542126</v>
      </c>
      <c r="J682" s="175">
        <f>SUM(J683:J685)</f>
        <v>109552</v>
      </c>
      <c r="K682" s="175">
        <f>SUM(K683:K685)</f>
        <v>109552</v>
      </c>
      <c r="L682" s="35">
        <f>SUM(L683:L685)</f>
        <v>0</v>
      </c>
      <c r="M682" s="36">
        <f>IF(K682&gt;0,L682/K682*100,"-")</f>
        <v>0</v>
      </c>
      <c r="N682" s="676" t="s">
        <v>507</v>
      </c>
    </row>
    <row r="683" spans="1:14" ht="11.25" customHeight="1" outlineLevel="1">
      <c r="A683" s="572"/>
      <c r="B683" s="71"/>
      <c r="C683" s="563" t="s">
        <v>508</v>
      </c>
      <c r="D683" s="647"/>
      <c r="E683" s="647"/>
      <c r="F683" s="515" t="s">
        <v>18</v>
      </c>
      <c r="G683" s="170">
        <v>2222055</v>
      </c>
      <c r="H683" s="170">
        <f>ROUNDUP(12054.79+L683,0)</f>
        <v>12055</v>
      </c>
      <c r="I683" s="123">
        <f>IF(G683&gt;0,H683/G683*100,"-")</f>
        <v>0.5425158243157798</v>
      </c>
      <c r="J683" s="170">
        <v>10000</v>
      </c>
      <c r="K683" s="170">
        <v>10000</v>
      </c>
      <c r="L683" s="76">
        <v>0</v>
      </c>
      <c r="M683" s="75">
        <f>IF(K683&gt;0,L683/K683*100,"-")</f>
        <v>0</v>
      </c>
      <c r="N683" s="676"/>
    </row>
    <row r="684" spans="1:14" ht="22.5" outlineLevel="1">
      <c r="A684" s="572"/>
      <c r="B684" s="71" t="s">
        <v>24</v>
      </c>
      <c r="C684" s="532" t="s">
        <v>495</v>
      </c>
      <c r="D684" s="647"/>
      <c r="E684" s="647"/>
      <c r="F684" s="515" t="s">
        <v>236</v>
      </c>
      <c r="G684" s="170">
        <v>0</v>
      </c>
      <c r="H684" s="170">
        <f>ROUNDUP(0+L684,0)</f>
        <v>0</v>
      </c>
      <c r="I684" s="123" t="str">
        <f>IF(G684&gt;0,H684/G684*100,"-")</f>
        <v>-</v>
      </c>
      <c r="J684" s="170">
        <v>0</v>
      </c>
      <c r="K684" s="170">
        <v>0</v>
      </c>
      <c r="L684" s="82">
        <v>0</v>
      </c>
      <c r="M684" s="75" t="str">
        <f>IF(K684&gt;0,L684/K684*100,"-")</f>
        <v>-</v>
      </c>
      <c r="N684" s="676"/>
    </row>
    <row r="685" spans="1:14" ht="11.25" customHeight="1" outlineLevel="1">
      <c r="A685" s="572"/>
      <c r="B685" s="71"/>
      <c r="C685" s="532" t="s">
        <v>483</v>
      </c>
      <c r="D685" s="647"/>
      <c r="E685" s="647"/>
      <c r="F685" s="515" t="s">
        <v>23</v>
      </c>
      <c r="G685" s="170">
        <v>99552</v>
      </c>
      <c r="H685" s="170">
        <f>ROUNDUP(0+L685,0)</f>
        <v>0</v>
      </c>
      <c r="I685" s="123">
        <f>IF(G685&gt;0,H685/G685*100,"-")</f>
        <v>0</v>
      </c>
      <c r="J685" s="170">
        <v>99552</v>
      </c>
      <c r="K685" s="170">
        <v>99552</v>
      </c>
      <c r="L685" s="82">
        <v>0</v>
      </c>
      <c r="M685" s="75">
        <f>IF(K685&gt;0,L685/K685*100,"-")</f>
        <v>0</v>
      </c>
      <c r="N685" s="676"/>
    </row>
    <row r="686" spans="1:14" ht="3.75" customHeight="1" outlineLevel="1">
      <c r="A686" s="141"/>
      <c r="B686" s="78"/>
      <c r="C686" s="544"/>
      <c r="D686" s="564"/>
      <c r="E686" s="564"/>
      <c r="F686" s="127"/>
      <c r="G686" s="546"/>
      <c r="H686" s="546"/>
      <c r="I686" s="127"/>
      <c r="J686" s="546"/>
      <c r="K686" s="174"/>
      <c r="L686" s="80"/>
      <c r="M686" s="81"/>
      <c r="N686" s="561"/>
    </row>
    <row r="687" spans="1:14" ht="3.75" customHeight="1" outlineLevel="1">
      <c r="A687" s="468"/>
      <c r="B687" s="67"/>
      <c r="C687" s="534"/>
      <c r="D687" s="132"/>
      <c r="E687" s="132"/>
      <c r="F687" s="131"/>
      <c r="G687" s="483"/>
      <c r="H687" s="483"/>
      <c r="I687" s="133"/>
      <c r="J687" s="483"/>
      <c r="K687" s="176"/>
      <c r="L687" s="69"/>
      <c r="M687" s="70"/>
      <c r="N687" s="500"/>
    </row>
    <row r="688" spans="1:14" ht="11.25" outlineLevel="1">
      <c r="A688" s="572" t="s">
        <v>509</v>
      </c>
      <c r="B688" s="71" t="s">
        <v>29</v>
      </c>
      <c r="C688" s="562" t="s">
        <v>510</v>
      </c>
      <c r="D688" s="647" t="s">
        <v>361</v>
      </c>
      <c r="E688" s="647" t="s">
        <v>480</v>
      </c>
      <c r="F688" s="536" t="s">
        <v>30</v>
      </c>
      <c r="G688" s="175">
        <f>SUM(G689:G691)</f>
        <v>470000</v>
      </c>
      <c r="H688" s="175">
        <f>SUM(H689:H691)</f>
        <v>0</v>
      </c>
      <c r="I688" s="129">
        <f>IF(G688&gt;0,H688/G688*100,"-")</f>
        <v>0</v>
      </c>
      <c r="J688" s="175">
        <f>SUM(J689:J691)</f>
        <v>0</v>
      </c>
      <c r="K688" s="175">
        <f>SUM(K689:K691)</f>
        <v>70000</v>
      </c>
      <c r="L688" s="35">
        <f>SUM(L689:L691)</f>
        <v>0</v>
      </c>
      <c r="M688" s="36">
        <f>IF(K688&gt;0,L688/K688*100,"-")</f>
        <v>0</v>
      </c>
      <c r="N688" s="676" t="s">
        <v>511</v>
      </c>
    </row>
    <row r="689" spans="1:14" ht="11.25" outlineLevel="1">
      <c r="A689" s="572"/>
      <c r="B689" s="71" t="s">
        <v>24</v>
      </c>
      <c r="C689" s="560" t="s">
        <v>512</v>
      </c>
      <c r="D689" s="647"/>
      <c r="E689" s="647"/>
      <c r="F689" s="515" t="s">
        <v>18</v>
      </c>
      <c r="G689" s="170">
        <v>470000</v>
      </c>
      <c r="H689" s="170">
        <f>ROUNDUP(0+L689,0)</f>
        <v>0</v>
      </c>
      <c r="I689" s="123">
        <f>IF(G689&gt;0,H689/G689*100,"-")</f>
        <v>0</v>
      </c>
      <c r="J689" s="170">
        <v>0</v>
      </c>
      <c r="K689" s="170">
        <v>70000</v>
      </c>
      <c r="L689" s="76">
        <v>0</v>
      </c>
      <c r="M689" s="75">
        <f>IF(K689&gt;0,L689/K689*100,"-")</f>
        <v>0</v>
      </c>
      <c r="N689" s="676"/>
    </row>
    <row r="690" spans="1:14" ht="11.25" customHeight="1" outlineLevel="1">
      <c r="A690" s="572"/>
      <c r="B690" s="71"/>
      <c r="C690" s="563"/>
      <c r="D690" s="647"/>
      <c r="E690" s="647"/>
      <c r="F690" s="515" t="s">
        <v>236</v>
      </c>
      <c r="G690" s="170">
        <v>0</v>
      </c>
      <c r="H690" s="170">
        <f>ROUNDUP(0+L690,0)</f>
        <v>0</v>
      </c>
      <c r="I690" s="123" t="str">
        <f>IF(G690&gt;0,H690/G690*100,"-")</f>
        <v>-</v>
      </c>
      <c r="J690" s="170">
        <v>0</v>
      </c>
      <c r="K690" s="170">
        <v>0</v>
      </c>
      <c r="L690" s="82">
        <v>0</v>
      </c>
      <c r="M690" s="75" t="str">
        <f>IF(K690&gt;0,L690/K690*100,"-")</f>
        <v>-</v>
      </c>
      <c r="N690" s="676"/>
    </row>
    <row r="691" spans="1:14" ht="11.25" customHeight="1" outlineLevel="1">
      <c r="A691" s="572"/>
      <c r="B691" s="366"/>
      <c r="C691" s="532"/>
      <c r="D691" s="647"/>
      <c r="E691" s="647"/>
      <c r="F691" s="515" t="s">
        <v>23</v>
      </c>
      <c r="G691" s="170">
        <v>0</v>
      </c>
      <c r="H691" s="170">
        <f>ROUNDUP(0+L691,0)</f>
        <v>0</v>
      </c>
      <c r="I691" s="123" t="str">
        <f>IF(G691&gt;0,H691/G691*100,"-")</f>
        <v>-</v>
      </c>
      <c r="J691" s="170">
        <v>0</v>
      </c>
      <c r="K691" s="170">
        <v>0</v>
      </c>
      <c r="L691" s="82">
        <v>0</v>
      </c>
      <c r="M691" s="75" t="str">
        <f>IF(K691&gt;0,L691/K691*100,"-")</f>
        <v>-</v>
      </c>
      <c r="N691" s="676"/>
    </row>
    <row r="692" spans="1:14" ht="4.5" customHeight="1" outlineLevel="1">
      <c r="A692" s="141"/>
      <c r="B692" s="78"/>
      <c r="C692" s="544"/>
      <c r="D692" s="564"/>
      <c r="E692" s="564"/>
      <c r="F692" s="127"/>
      <c r="G692" s="546"/>
      <c r="H692" s="546"/>
      <c r="I692" s="127"/>
      <c r="J692" s="546"/>
      <c r="K692" s="174"/>
      <c r="L692" s="80"/>
      <c r="M692" s="81"/>
      <c r="N692" s="561"/>
    </row>
    <row r="693" spans="1:14" ht="3.75" customHeight="1" outlineLevel="1">
      <c r="A693" s="468"/>
      <c r="B693" s="67"/>
      <c r="C693" s="534"/>
      <c r="D693" s="132"/>
      <c r="E693" s="132"/>
      <c r="F693" s="131"/>
      <c r="G693" s="483"/>
      <c r="H693" s="483"/>
      <c r="I693" s="133"/>
      <c r="J693" s="483"/>
      <c r="K693" s="176"/>
      <c r="L693" s="69"/>
      <c r="M693" s="70"/>
      <c r="N693" s="500"/>
    </row>
    <row r="694" spans="1:14" ht="22.5" outlineLevel="1">
      <c r="A694" s="572" t="s">
        <v>513</v>
      </c>
      <c r="B694" s="71" t="s">
        <v>29</v>
      </c>
      <c r="C694" s="562" t="s">
        <v>514</v>
      </c>
      <c r="D694" s="647" t="s">
        <v>515</v>
      </c>
      <c r="E694" s="647" t="s">
        <v>442</v>
      </c>
      <c r="F694" s="536" t="s">
        <v>30</v>
      </c>
      <c r="G694" s="175">
        <f>SUM(G695:G697)</f>
        <v>10847970</v>
      </c>
      <c r="H694" s="175">
        <f>SUM(H695:H697)</f>
        <v>47970</v>
      </c>
      <c r="I694" s="129">
        <f>IF(G694&gt;0,H694/G694*100,"-")</f>
        <v>0.4422025503389113</v>
      </c>
      <c r="J694" s="175">
        <f>SUM(J695:J697)</f>
        <v>0</v>
      </c>
      <c r="K694" s="175">
        <f>SUM(K695:K697)</f>
        <v>0</v>
      </c>
      <c r="L694" s="35">
        <f>SUM(L695:L697)</f>
        <v>0</v>
      </c>
      <c r="M694" s="36" t="str">
        <f>IF(K694&gt;0,L694/K694*100,"-")</f>
        <v>-</v>
      </c>
      <c r="N694" s="676" t="s">
        <v>516</v>
      </c>
    </row>
    <row r="695" spans="1:14" ht="22.5" outlineLevel="1">
      <c r="A695" s="572"/>
      <c r="B695" s="71" t="s">
        <v>24</v>
      </c>
      <c r="C695" s="532" t="s">
        <v>445</v>
      </c>
      <c r="D695" s="647"/>
      <c r="E695" s="647"/>
      <c r="F695" s="515" t="s">
        <v>18</v>
      </c>
      <c r="G695" s="170">
        <v>10847970</v>
      </c>
      <c r="H695" s="170">
        <f>ROUNDUP(47970+L695,0)</f>
        <v>47970</v>
      </c>
      <c r="I695" s="123">
        <f>IF(G695&gt;0,H695/G695*100,"-")</f>
        <v>0.4422025503389113</v>
      </c>
      <c r="J695" s="170">
        <v>0</v>
      </c>
      <c r="K695" s="170">
        <v>0</v>
      </c>
      <c r="L695" s="76">
        <v>0</v>
      </c>
      <c r="M695" s="75" t="str">
        <f>IF(K695&gt;0,L695/K695*100,"-")</f>
        <v>-</v>
      </c>
      <c r="N695" s="676"/>
    </row>
    <row r="696" spans="1:14" ht="11.25" customHeight="1" outlineLevel="1">
      <c r="A696" s="572"/>
      <c r="B696" s="71"/>
      <c r="C696" s="532"/>
      <c r="D696" s="647"/>
      <c r="E696" s="647"/>
      <c r="F696" s="515" t="s">
        <v>236</v>
      </c>
      <c r="G696" s="170">
        <v>0</v>
      </c>
      <c r="H696" s="170">
        <f>ROUNDUP(0+L696,0)</f>
        <v>0</v>
      </c>
      <c r="I696" s="123" t="str">
        <f>IF(G696&gt;0,H696/G696*100,"-")</f>
        <v>-</v>
      </c>
      <c r="J696" s="170">
        <v>0</v>
      </c>
      <c r="K696" s="170">
        <v>0</v>
      </c>
      <c r="L696" s="82">
        <v>0</v>
      </c>
      <c r="M696" s="75" t="str">
        <f>IF(K696&gt;0,L696/K696*100,"-")</f>
        <v>-</v>
      </c>
      <c r="N696" s="676"/>
    </row>
    <row r="697" spans="1:14" ht="11.25" customHeight="1" outlineLevel="1">
      <c r="A697" s="572"/>
      <c r="B697" s="71"/>
      <c r="C697" s="532"/>
      <c r="D697" s="647"/>
      <c r="E697" s="647"/>
      <c r="F697" s="515" t="s">
        <v>23</v>
      </c>
      <c r="G697" s="170">
        <v>0</v>
      </c>
      <c r="H697" s="170">
        <f>ROUNDUP(0+L697,0)</f>
        <v>0</v>
      </c>
      <c r="I697" s="123" t="str">
        <f>IF(G697&gt;0,H697/G697*100,"-")</f>
        <v>-</v>
      </c>
      <c r="J697" s="170">
        <v>0</v>
      </c>
      <c r="K697" s="170">
        <v>0</v>
      </c>
      <c r="L697" s="82">
        <v>0</v>
      </c>
      <c r="M697" s="75" t="str">
        <f>IF(K697&gt;0,L697/K697*100,"-")</f>
        <v>-</v>
      </c>
      <c r="N697" s="676"/>
    </row>
    <row r="698" spans="1:14" ht="3.75" customHeight="1" outlineLevel="1">
      <c r="A698" s="141"/>
      <c r="B698" s="78"/>
      <c r="C698" s="544"/>
      <c r="D698" s="564"/>
      <c r="E698" s="564"/>
      <c r="F698" s="127"/>
      <c r="G698" s="546"/>
      <c r="H698" s="546"/>
      <c r="I698" s="127"/>
      <c r="J698" s="546"/>
      <c r="K698" s="174"/>
      <c r="L698" s="80"/>
      <c r="M698" s="81"/>
      <c r="N698" s="561"/>
    </row>
    <row r="699" spans="1:14" ht="3.75" customHeight="1" outlineLevel="1">
      <c r="A699" s="468"/>
      <c r="B699" s="67"/>
      <c r="C699" s="534"/>
      <c r="D699" s="132"/>
      <c r="E699" s="132"/>
      <c r="F699" s="131"/>
      <c r="G699" s="483"/>
      <c r="H699" s="483"/>
      <c r="I699" s="133"/>
      <c r="J699" s="483"/>
      <c r="K699" s="176"/>
      <c r="L699" s="69"/>
      <c r="M699" s="70"/>
      <c r="N699" s="500"/>
    </row>
    <row r="700" spans="1:14" ht="22.5" outlineLevel="1">
      <c r="A700" s="572" t="s">
        <v>517</v>
      </c>
      <c r="B700" s="71" t="s">
        <v>29</v>
      </c>
      <c r="C700" s="562" t="s">
        <v>518</v>
      </c>
      <c r="D700" s="647" t="s">
        <v>371</v>
      </c>
      <c r="E700" s="647" t="s">
        <v>442</v>
      </c>
      <c r="F700" s="536" t="s">
        <v>30</v>
      </c>
      <c r="G700" s="175">
        <f>SUM(G701:G703)</f>
        <v>6522342</v>
      </c>
      <c r="H700" s="175">
        <f>SUM(H701:H703)</f>
        <v>22342</v>
      </c>
      <c r="I700" s="129">
        <f>IF(G700&gt;0,H700/G700*100,"-")</f>
        <v>0.34254566841174533</v>
      </c>
      <c r="J700" s="175">
        <f>SUM(J701:J703)</f>
        <v>0</v>
      </c>
      <c r="K700" s="175">
        <f>SUM(K701:K703)</f>
        <v>0</v>
      </c>
      <c r="L700" s="35">
        <f>SUM(L701:L703)</f>
        <v>0</v>
      </c>
      <c r="M700" s="36" t="str">
        <f>IF(K700&gt;0,L700/K700*100,"-")</f>
        <v>-</v>
      </c>
      <c r="N700" s="676" t="s">
        <v>519</v>
      </c>
    </row>
    <row r="701" spans="1:14" ht="22.5" outlineLevel="1">
      <c r="A701" s="572"/>
      <c r="B701" s="71" t="s">
        <v>24</v>
      </c>
      <c r="C701" s="532" t="s">
        <v>445</v>
      </c>
      <c r="D701" s="647"/>
      <c r="E701" s="647"/>
      <c r="F701" s="515" t="s">
        <v>18</v>
      </c>
      <c r="G701" s="170">
        <v>6522342</v>
      </c>
      <c r="H701" s="170">
        <f>ROUNDUP(22342+L701,0)</f>
        <v>22342</v>
      </c>
      <c r="I701" s="123">
        <f>IF(G701&gt;0,H701/G701*100,"-")</f>
        <v>0.34254566841174533</v>
      </c>
      <c r="J701" s="170">
        <v>0</v>
      </c>
      <c r="K701" s="170">
        <v>0</v>
      </c>
      <c r="L701" s="76">
        <v>0</v>
      </c>
      <c r="M701" s="75" t="str">
        <f>IF(K701&gt;0,L701/K701*100,"-")</f>
        <v>-</v>
      </c>
      <c r="N701" s="676"/>
    </row>
    <row r="702" spans="1:14" ht="11.25" customHeight="1" outlineLevel="1">
      <c r="A702" s="572"/>
      <c r="B702" s="71"/>
      <c r="C702" s="532"/>
      <c r="D702" s="647"/>
      <c r="E702" s="647"/>
      <c r="F702" s="515" t="s">
        <v>236</v>
      </c>
      <c r="G702" s="170">
        <v>0</v>
      </c>
      <c r="H702" s="170">
        <f>ROUNDUP(0+L702,0)</f>
        <v>0</v>
      </c>
      <c r="I702" s="123" t="str">
        <f>IF(G702&gt;0,H702/G702*100,"-")</f>
        <v>-</v>
      </c>
      <c r="J702" s="170">
        <v>0</v>
      </c>
      <c r="K702" s="170">
        <v>0</v>
      </c>
      <c r="L702" s="82">
        <v>0</v>
      </c>
      <c r="M702" s="75" t="str">
        <f>IF(K702&gt;0,L702/K702*100,"-")</f>
        <v>-</v>
      </c>
      <c r="N702" s="676"/>
    </row>
    <row r="703" spans="1:14" ht="11.25" customHeight="1" outlineLevel="1">
      <c r="A703" s="572"/>
      <c r="B703" s="71"/>
      <c r="C703" s="532"/>
      <c r="D703" s="647"/>
      <c r="E703" s="647"/>
      <c r="F703" s="515" t="s">
        <v>23</v>
      </c>
      <c r="G703" s="170">
        <v>0</v>
      </c>
      <c r="H703" s="170">
        <f>ROUNDUP(0+L703,0)</f>
        <v>0</v>
      </c>
      <c r="I703" s="123" t="str">
        <f>IF(G703&gt;0,H703/G703*100,"-")</f>
        <v>-</v>
      </c>
      <c r="J703" s="170">
        <v>0</v>
      </c>
      <c r="K703" s="170">
        <v>0</v>
      </c>
      <c r="L703" s="82">
        <v>0</v>
      </c>
      <c r="M703" s="75" t="str">
        <f>IF(K703&gt;0,L703/K703*100,"-")</f>
        <v>-</v>
      </c>
      <c r="N703" s="676"/>
    </row>
    <row r="704" spans="1:14" ht="3.75" customHeight="1" outlineLevel="1">
      <c r="A704" s="141"/>
      <c r="B704" s="78"/>
      <c r="C704" s="544"/>
      <c r="D704" s="564"/>
      <c r="E704" s="564"/>
      <c r="F704" s="127"/>
      <c r="G704" s="546"/>
      <c r="H704" s="546"/>
      <c r="I704" s="127"/>
      <c r="J704" s="546"/>
      <c r="K704" s="174"/>
      <c r="L704" s="80"/>
      <c r="M704" s="81"/>
      <c r="N704" s="561"/>
    </row>
    <row r="705" spans="1:14" ht="3.75" customHeight="1" outlineLevel="1">
      <c r="A705" s="468"/>
      <c r="B705" s="67"/>
      <c r="C705" s="534"/>
      <c r="D705" s="132"/>
      <c r="E705" s="132"/>
      <c r="F705" s="131"/>
      <c r="G705" s="483"/>
      <c r="H705" s="483"/>
      <c r="I705" s="133"/>
      <c r="J705" s="483"/>
      <c r="K705" s="176"/>
      <c r="L705" s="69"/>
      <c r="M705" s="70"/>
      <c r="N705" s="500"/>
    </row>
    <row r="706" spans="1:14" ht="22.5" outlineLevel="1">
      <c r="A706" s="572" t="s">
        <v>520</v>
      </c>
      <c r="B706" s="71" t="s">
        <v>29</v>
      </c>
      <c r="C706" s="562" t="s">
        <v>521</v>
      </c>
      <c r="D706" s="647" t="s">
        <v>522</v>
      </c>
      <c r="E706" s="647" t="s">
        <v>442</v>
      </c>
      <c r="F706" s="536" t="s">
        <v>30</v>
      </c>
      <c r="G706" s="175">
        <f>SUM(G707:G709)</f>
        <v>7255287</v>
      </c>
      <c r="H706" s="175">
        <f>SUM(H707:H709)</f>
        <v>232852</v>
      </c>
      <c r="I706" s="129">
        <f>IF(G706&gt;0,H706/G706*100,"-")</f>
        <v>3.2094112886230417</v>
      </c>
      <c r="J706" s="175">
        <f>SUM(J707:J709)</f>
        <v>300000</v>
      </c>
      <c r="K706" s="175">
        <f>SUM(K707:K709)</f>
        <v>1078007</v>
      </c>
      <c r="L706" s="35">
        <f>SUM(L707:L709)</f>
        <v>55571.77</v>
      </c>
      <c r="M706" s="36">
        <f>IF(K706&gt;0,L706/K706*100,"-")</f>
        <v>5.155047230676609</v>
      </c>
      <c r="N706" s="676" t="s">
        <v>523</v>
      </c>
    </row>
    <row r="707" spans="1:14" ht="11.25" outlineLevel="1">
      <c r="A707" s="572"/>
      <c r="B707" s="71"/>
      <c r="C707" s="560" t="s">
        <v>319</v>
      </c>
      <c r="D707" s="647"/>
      <c r="E707" s="647"/>
      <c r="F707" s="515" t="s">
        <v>18</v>
      </c>
      <c r="G707" s="170">
        <v>7255287</v>
      </c>
      <c r="H707" s="170">
        <f>ROUNDUP(177280+L707,0)</f>
        <v>232852</v>
      </c>
      <c r="I707" s="123">
        <f>IF(G707&gt;0,H707/G707*100,"-")</f>
        <v>3.2094112886230417</v>
      </c>
      <c r="J707" s="170">
        <v>300000</v>
      </c>
      <c r="K707" s="170">
        <v>1078007</v>
      </c>
      <c r="L707" s="76">
        <v>55571.77</v>
      </c>
      <c r="M707" s="75">
        <f>IF(K707&gt;0,L707/K707*100,"-")</f>
        <v>5.155047230676609</v>
      </c>
      <c r="N707" s="676"/>
    </row>
    <row r="708" spans="1:14" ht="22.5" outlineLevel="1">
      <c r="A708" s="572"/>
      <c r="B708" s="71" t="s">
        <v>24</v>
      </c>
      <c r="C708" s="532" t="s">
        <v>445</v>
      </c>
      <c r="D708" s="647"/>
      <c r="E708" s="647"/>
      <c r="F708" s="515" t="s">
        <v>236</v>
      </c>
      <c r="G708" s="170">
        <v>0</v>
      </c>
      <c r="H708" s="170">
        <f>ROUNDUP(0+L708,0)</f>
        <v>0</v>
      </c>
      <c r="I708" s="123" t="str">
        <f>IF(G708&gt;0,H708/G708*100,"-")</f>
        <v>-</v>
      </c>
      <c r="J708" s="170">
        <v>0</v>
      </c>
      <c r="K708" s="170">
        <v>0</v>
      </c>
      <c r="L708" s="82">
        <v>0</v>
      </c>
      <c r="M708" s="75" t="str">
        <f>IF(K708&gt;0,L708/K708*100,"-")</f>
        <v>-</v>
      </c>
      <c r="N708" s="676"/>
    </row>
    <row r="709" spans="1:14" ht="11.25" customHeight="1" outlineLevel="1">
      <c r="A709" s="572"/>
      <c r="B709" s="71"/>
      <c r="C709" s="532"/>
      <c r="D709" s="647"/>
      <c r="E709" s="647"/>
      <c r="F709" s="515" t="s">
        <v>23</v>
      </c>
      <c r="G709" s="170">
        <v>0</v>
      </c>
      <c r="H709" s="170">
        <f>ROUNDUP(0+L709,0)</f>
        <v>0</v>
      </c>
      <c r="I709" s="123" t="str">
        <f>IF(G709&gt;0,H709/G709*100,"-")</f>
        <v>-</v>
      </c>
      <c r="J709" s="170">
        <v>0</v>
      </c>
      <c r="K709" s="170">
        <v>0</v>
      </c>
      <c r="L709" s="82">
        <v>0</v>
      </c>
      <c r="M709" s="75" t="str">
        <f>IF(K709&gt;0,L709/K709*100,"-")</f>
        <v>-</v>
      </c>
      <c r="N709" s="676"/>
    </row>
    <row r="710" spans="1:14" ht="3.75" customHeight="1" outlineLevel="1">
      <c r="A710" s="141"/>
      <c r="B710" s="78"/>
      <c r="C710" s="544"/>
      <c r="D710" s="564"/>
      <c r="E710" s="564"/>
      <c r="F710" s="127"/>
      <c r="G710" s="546"/>
      <c r="H710" s="546"/>
      <c r="I710" s="127"/>
      <c r="J710" s="546"/>
      <c r="K710" s="174"/>
      <c r="L710" s="80"/>
      <c r="M710" s="81"/>
      <c r="N710" s="561"/>
    </row>
    <row r="711" spans="1:14" ht="3.75" customHeight="1">
      <c r="A711" s="197"/>
      <c r="B711" s="201"/>
      <c r="C711" s="555"/>
      <c r="D711" s="197"/>
      <c r="E711" s="197"/>
      <c r="F711" s="201"/>
      <c r="G711" s="556"/>
      <c r="H711" s="556"/>
      <c r="I711" s="201"/>
      <c r="J711" s="556"/>
      <c r="K711" s="480"/>
      <c r="L711" s="557"/>
      <c r="M711" s="203"/>
      <c r="N711" s="464"/>
    </row>
    <row r="712" spans="1:14" ht="11.25" customHeight="1">
      <c r="A712" s="26" t="s">
        <v>215</v>
      </c>
      <c r="B712" s="585" t="s">
        <v>65</v>
      </c>
      <c r="C712" s="586"/>
      <c r="D712" s="27"/>
      <c r="E712" s="27"/>
      <c r="F712" s="28"/>
      <c r="G712" s="163">
        <f>SUM(G713:G715)</f>
        <v>4600000</v>
      </c>
      <c r="H712" s="163">
        <f>SUM(H713:H715)</f>
        <v>13838</v>
      </c>
      <c r="I712" s="30">
        <f>IF(G712&gt;0,H712/G712*100,"-")</f>
        <v>0.30082608695652174</v>
      </c>
      <c r="J712" s="163">
        <f>SUM(J713:J715)</f>
        <v>600000</v>
      </c>
      <c r="K712" s="163">
        <f>SUM(K713:K715)</f>
        <v>600000</v>
      </c>
      <c r="L712" s="29">
        <f>SUM(L713:L715)</f>
        <v>13837.5</v>
      </c>
      <c r="M712" s="30">
        <f>IF(K712&gt;0,L712/K712*100,"-")</f>
        <v>2.30625</v>
      </c>
      <c r="N712" s="464"/>
    </row>
    <row r="713" spans="1:14" ht="11.25" customHeight="1">
      <c r="A713" s="28"/>
      <c r="B713" s="31"/>
      <c r="C713" s="465"/>
      <c r="D713" s="27"/>
      <c r="E713" s="27"/>
      <c r="F713" s="32" t="s">
        <v>18</v>
      </c>
      <c r="G713" s="164">
        <f aca="true" t="shared" si="40" ref="G713:H715">G719</f>
        <v>4600000</v>
      </c>
      <c r="H713" s="164">
        <f t="shared" si="40"/>
        <v>13838</v>
      </c>
      <c r="I713" s="34">
        <f>IF(G713&gt;0,H713/G713*100,"-")</f>
        <v>0.30082608695652174</v>
      </c>
      <c r="J713" s="164">
        <f>J719</f>
        <v>600000</v>
      </c>
      <c r="K713" s="164">
        <f>K719</f>
        <v>600000</v>
      </c>
      <c r="L713" s="33">
        <f>L719</f>
        <v>13837.5</v>
      </c>
      <c r="M713" s="34">
        <f>IF(K713&gt;0,L713/K713*100,"-")</f>
        <v>2.30625</v>
      </c>
      <c r="N713" s="464"/>
    </row>
    <row r="714" spans="1:14" ht="11.25" customHeight="1">
      <c r="A714" s="28"/>
      <c r="B714" s="31"/>
      <c r="C714" s="465"/>
      <c r="D714" s="27"/>
      <c r="E714" s="27"/>
      <c r="F714" s="32" t="s">
        <v>236</v>
      </c>
      <c r="G714" s="164">
        <f t="shared" si="40"/>
        <v>0</v>
      </c>
      <c r="H714" s="164">
        <f t="shared" si="40"/>
        <v>0</v>
      </c>
      <c r="I714" s="34" t="str">
        <f>IF(G714&gt;0,H714/G714*100,"-")</f>
        <v>-</v>
      </c>
      <c r="J714" s="164">
        <f aca="true" t="shared" si="41" ref="J714:L715">J720</f>
        <v>0</v>
      </c>
      <c r="K714" s="164">
        <f t="shared" si="41"/>
        <v>0</v>
      </c>
      <c r="L714" s="33">
        <f t="shared" si="41"/>
        <v>0</v>
      </c>
      <c r="M714" s="34" t="str">
        <f>IF(K714&gt;0,L714/K714*100,"-")</f>
        <v>-</v>
      </c>
      <c r="N714" s="464"/>
    </row>
    <row r="715" spans="1:14" ht="11.25" customHeight="1">
      <c r="A715" s="28"/>
      <c r="B715" s="31"/>
      <c r="C715" s="465"/>
      <c r="D715" s="27"/>
      <c r="E715" s="27"/>
      <c r="F715" s="32" t="s">
        <v>23</v>
      </c>
      <c r="G715" s="164">
        <f t="shared" si="40"/>
        <v>0</v>
      </c>
      <c r="H715" s="164">
        <f t="shared" si="40"/>
        <v>0</v>
      </c>
      <c r="I715" s="34" t="str">
        <f>IF(G715&gt;0,H715/G715*100,"-")</f>
        <v>-</v>
      </c>
      <c r="J715" s="164">
        <f t="shared" si="41"/>
        <v>0</v>
      </c>
      <c r="K715" s="164">
        <f t="shared" si="41"/>
        <v>0</v>
      </c>
      <c r="L715" s="33">
        <f t="shared" si="41"/>
        <v>0</v>
      </c>
      <c r="M715" s="34" t="str">
        <f>IF(K715&gt;0,L715/K715*100,"-")</f>
        <v>-</v>
      </c>
      <c r="N715" s="464"/>
    </row>
    <row r="716" spans="1:14" ht="3.75" customHeight="1">
      <c r="A716" s="61"/>
      <c r="B716" s="62"/>
      <c r="C716" s="466"/>
      <c r="D716" s="63"/>
      <c r="E716" s="63"/>
      <c r="F716" s="61"/>
      <c r="G716" s="165"/>
      <c r="H716" s="165"/>
      <c r="I716" s="65"/>
      <c r="J716" s="165"/>
      <c r="K716" s="165"/>
      <c r="L716" s="64"/>
      <c r="M716" s="65"/>
      <c r="N716" s="467"/>
    </row>
    <row r="717" spans="1:14" ht="3.75" customHeight="1" outlineLevel="1">
      <c r="A717" s="468"/>
      <c r="B717" s="67"/>
      <c r="C717" s="469"/>
      <c r="D717" s="66"/>
      <c r="E717" s="66"/>
      <c r="F717" s="67"/>
      <c r="G717" s="167"/>
      <c r="H717" s="167"/>
      <c r="I717" s="70"/>
      <c r="J717" s="167"/>
      <c r="K717" s="166"/>
      <c r="L717" s="69"/>
      <c r="M717" s="70"/>
      <c r="N717" s="498"/>
    </row>
    <row r="718" spans="1:14" ht="22.5" outlineLevel="1">
      <c r="A718" s="572" t="s">
        <v>524</v>
      </c>
      <c r="B718" s="71" t="s">
        <v>29</v>
      </c>
      <c r="C718" s="471" t="s">
        <v>525</v>
      </c>
      <c r="D718" s="569" t="s">
        <v>526</v>
      </c>
      <c r="E718" s="568" t="s">
        <v>480</v>
      </c>
      <c r="F718" s="72" t="s">
        <v>30</v>
      </c>
      <c r="G718" s="168">
        <f>SUM(G719:G721)</f>
        <v>4600000</v>
      </c>
      <c r="H718" s="168">
        <f>SUM(H719:H721)</f>
        <v>13838</v>
      </c>
      <c r="I718" s="36">
        <f>IF(G718&gt;0,H718/G718*100,"-")</f>
        <v>0.30082608695652174</v>
      </c>
      <c r="J718" s="168">
        <f>SUM(J719:J721)</f>
        <v>600000</v>
      </c>
      <c r="K718" s="168">
        <f>SUM(K719:K721)</f>
        <v>600000</v>
      </c>
      <c r="L718" s="35">
        <f>SUM(L719:L721)</f>
        <v>13837.5</v>
      </c>
      <c r="M718" s="36">
        <f>IF(K718&gt;0,L718/K718*100,"-")</f>
        <v>2.30625</v>
      </c>
      <c r="N718" s="676" t="s">
        <v>527</v>
      </c>
    </row>
    <row r="719" spans="1:14" ht="11.25" outlineLevel="1">
      <c r="A719" s="572"/>
      <c r="C719" s="565" t="s">
        <v>528</v>
      </c>
      <c r="D719" s="569"/>
      <c r="E719" s="569"/>
      <c r="F719" s="73" t="s">
        <v>18</v>
      </c>
      <c r="G719" s="169">
        <v>4600000</v>
      </c>
      <c r="H719" s="169">
        <f>ROUNDUP(0+L719,0)</f>
        <v>13838</v>
      </c>
      <c r="I719" s="75">
        <f>IF(G719&gt;0,H719/G719*100,"-")</f>
        <v>0.30082608695652174</v>
      </c>
      <c r="J719" s="169">
        <v>600000</v>
      </c>
      <c r="K719" s="169">
        <v>600000</v>
      </c>
      <c r="L719" s="76">
        <v>13837.5</v>
      </c>
      <c r="M719" s="75">
        <f>IF(K719&gt;0,L719/K719*100,"-")</f>
        <v>2.30625</v>
      </c>
      <c r="N719" s="676"/>
    </row>
    <row r="720" spans="1:14" ht="22.5" outlineLevel="1">
      <c r="A720" s="572"/>
      <c r="B720" s="71" t="s">
        <v>24</v>
      </c>
      <c r="C720" s="472" t="s">
        <v>529</v>
      </c>
      <c r="D720" s="569"/>
      <c r="E720" s="569"/>
      <c r="F720" s="73" t="s">
        <v>236</v>
      </c>
      <c r="G720" s="169">
        <v>0</v>
      </c>
      <c r="H720" s="169">
        <f>ROUNDUP(0+L720,0)</f>
        <v>0</v>
      </c>
      <c r="I720" s="75" t="str">
        <f>IF(G720&gt;0,H720/G720*100,"-")</f>
        <v>-</v>
      </c>
      <c r="J720" s="169">
        <v>0</v>
      </c>
      <c r="K720" s="169">
        <v>0</v>
      </c>
      <c r="L720" s="82">
        <v>0</v>
      </c>
      <c r="M720" s="75" t="str">
        <f>IF(K720&gt;0,L720/K720*100,"-")</f>
        <v>-</v>
      </c>
      <c r="N720" s="676"/>
    </row>
    <row r="721" spans="1:14" ht="11.25" outlineLevel="1">
      <c r="A721" s="572"/>
      <c r="B721" s="71"/>
      <c r="C721" s="471" t="s">
        <v>530</v>
      </c>
      <c r="D721" s="569"/>
      <c r="E721" s="569"/>
      <c r="F721" s="73" t="s">
        <v>23</v>
      </c>
      <c r="G721" s="169">
        <v>0</v>
      </c>
      <c r="H721" s="169">
        <f>ROUNDUP(0+L721,0)</f>
        <v>0</v>
      </c>
      <c r="I721" s="75" t="str">
        <f>IF(G721&gt;0,H721/G721*100,"-")</f>
        <v>-</v>
      </c>
      <c r="J721" s="169">
        <v>0</v>
      </c>
      <c r="K721" s="169">
        <v>0</v>
      </c>
      <c r="L721" s="82">
        <v>0</v>
      </c>
      <c r="M721" s="75" t="str">
        <f>IF(K721&gt;0,L721/K721*100,"-")</f>
        <v>-</v>
      </c>
      <c r="N721" s="676"/>
    </row>
    <row r="722" spans="1:14" ht="3.75" customHeight="1" outlineLevel="1">
      <c r="A722" s="141"/>
      <c r="B722" s="78"/>
      <c r="C722" s="558"/>
      <c r="D722" s="77"/>
      <c r="E722" s="77"/>
      <c r="F722" s="78"/>
      <c r="G722" s="259"/>
      <c r="H722" s="259"/>
      <c r="I722" s="78"/>
      <c r="J722" s="259"/>
      <c r="K722" s="171"/>
      <c r="L722" s="80"/>
      <c r="M722" s="559"/>
      <c r="N722" s="695"/>
    </row>
    <row r="723" spans="1:14" ht="3.75" customHeight="1">
      <c r="A723" s="547"/>
      <c r="B723" s="548"/>
      <c r="C723" s="549"/>
      <c r="D723" s="547"/>
      <c r="E723" s="547"/>
      <c r="F723" s="548"/>
      <c r="G723" s="551"/>
      <c r="H723" s="551"/>
      <c r="I723" s="278"/>
      <c r="J723" s="551"/>
      <c r="K723" s="551"/>
      <c r="L723" s="566"/>
      <c r="M723" s="278"/>
      <c r="N723" s="567"/>
    </row>
    <row r="724" spans="1:14" ht="11.25" customHeight="1">
      <c r="A724" s="26" t="s">
        <v>216</v>
      </c>
      <c r="B724" s="585" t="s">
        <v>531</v>
      </c>
      <c r="C724" s="586"/>
      <c r="D724" s="27"/>
      <c r="E724" s="27"/>
      <c r="F724" s="28"/>
      <c r="G724" s="163">
        <f>SUM(G725:G727)</f>
        <v>1096773</v>
      </c>
      <c r="H724" s="163">
        <f>SUM(H725:H727)</f>
        <v>640902</v>
      </c>
      <c r="I724" s="30">
        <f>IF(G724&gt;0,H724/G724*100,"-")</f>
        <v>58.43524594423823</v>
      </c>
      <c r="J724" s="163">
        <f>SUM(J725:J727)</f>
        <v>0</v>
      </c>
      <c r="K724" s="163">
        <f>SUM(K725:K727)</f>
        <v>170000</v>
      </c>
      <c r="L724" s="29">
        <f>SUM(L725:L727)</f>
        <v>14128.5</v>
      </c>
      <c r="M724" s="30">
        <f>IF(K724&gt;0,L724/K724*100,"-")</f>
        <v>8.310882352941176</v>
      </c>
      <c r="N724" s="464"/>
    </row>
    <row r="725" spans="1:14" ht="11.25" customHeight="1">
      <c r="A725" s="28"/>
      <c r="B725" s="31"/>
      <c r="C725" s="465"/>
      <c r="D725" s="27"/>
      <c r="E725" s="27"/>
      <c r="F725" s="32" t="s">
        <v>18</v>
      </c>
      <c r="G725" s="164">
        <f aca="true" t="shared" si="42" ref="G725:H727">G731</f>
        <v>1096773</v>
      </c>
      <c r="H725" s="164">
        <f t="shared" si="42"/>
        <v>640902</v>
      </c>
      <c r="I725" s="34">
        <f>IF(G725&gt;0,H725/G725*100,"-")</f>
        <v>58.43524594423823</v>
      </c>
      <c r="J725" s="164">
        <f>J731</f>
        <v>0</v>
      </c>
      <c r="K725" s="164">
        <f>K731</f>
        <v>170000</v>
      </c>
      <c r="L725" s="33">
        <f>L731</f>
        <v>14128.5</v>
      </c>
      <c r="M725" s="34">
        <f>IF(K725&gt;0,L725/K725*100,"-")</f>
        <v>8.310882352941176</v>
      </c>
      <c r="N725" s="464"/>
    </row>
    <row r="726" spans="1:14" ht="11.25" customHeight="1">
      <c r="A726" s="28"/>
      <c r="B726" s="31"/>
      <c r="C726" s="465"/>
      <c r="D726" s="27"/>
      <c r="E726" s="27"/>
      <c r="F726" s="32" t="s">
        <v>236</v>
      </c>
      <c r="G726" s="164">
        <f t="shared" si="42"/>
        <v>0</v>
      </c>
      <c r="H726" s="164">
        <f t="shared" si="42"/>
        <v>0</v>
      </c>
      <c r="I726" s="34" t="str">
        <f>IF(G726&gt;0,H726/G726*100,"-")</f>
        <v>-</v>
      </c>
      <c r="J726" s="164">
        <f aca="true" t="shared" si="43" ref="J726:L727">J732</f>
        <v>0</v>
      </c>
      <c r="K726" s="164">
        <f t="shared" si="43"/>
        <v>0</v>
      </c>
      <c r="L726" s="33">
        <f t="shared" si="43"/>
        <v>0</v>
      </c>
      <c r="M726" s="34" t="str">
        <f>IF(K726&gt;0,L726/K726*100,"-")</f>
        <v>-</v>
      </c>
      <c r="N726" s="464"/>
    </row>
    <row r="727" spans="1:14" ht="11.25" customHeight="1">
      <c r="A727" s="28"/>
      <c r="B727" s="31"/>
      <c r="C727" s="465"/>
      <c r="D727" s="27"/>
      <c r="E727" s="27"/>
      <c r="F727" s="32" t="s">
        <v>23</v>
      </c>
      <c r="G727" s="164">
        <f t="shared" si="42"/>
        <v>0</v>
      </c>
      <c r="H727" s="164">
        <f t="shared" si="42"/>
        <v>0</v>
      </c>
      <c r="I727" s="34" t="str">
        <f>IF(G727&gt;0,H727/G727*100,"-")</f>
        <v>-</v>
      </c>
      <c r="J727" s="164">
        <f t="shared" si="43"/>
        <v>0</v>
      </c>
      <c r="K727" s="164">
        <f t="shared" si="43"/>
        <v>0</v>
      </c>
      <c r="L727" s="33">
        <f t="shared" si="43"/>
        <v>0</v>
      </c>
      <c r="M727" s="34" t="str">
        <f>IF(K727&gt;0,L727/K727*100,"-")</f>
        <v>-</v>
      </c>
      <c r="N727" s="464"/>
    </row>
    <row r="728" spans="1:14" ht="3.75" customHeight="1">
      <c r="A728" s="61"/>
      <c r="B728" s="62"/>
      <c r="C728" s="466"/>
      <c r="D728" s="63"/>
      <c r="E728" s="63"/>
      <c r="F728" s="61"/>
      <c r="G728" s="165"/>
      <c r="H728" s="165"/>
      <c r="I728" s="65"/>
      <c r="J728" s="165"/>
      <c r="K728" s="165"/>
      <c r="L728" s="64"/>
      <c r="M728" s="65"/>
      <c r="N728" s="467"/>
    </row>
    <row r="729" spans="1:14" ht="3.75" customHeight="1" outlineLevel="1">
      <c r="A729" s="468"/>
      <c r="B729" s="67"/>
      <c r="C729" s="469"/>
      <c r="D729" s="66"/>
      <c r="E729" s="66"/>
      <c r="F729" s="67"/>
      <c r="G729" s="167"/>
      <c r="H729" s="167"/>
      <c r="I729" s="70"/>
      <c r="J729" s="167"/>
      <c r="K729" s="166"/>
      <c r="L729" s="69"/>
      <c r="M729" s="70"/>
      <c r="N729" s="498"/>
    </row>
    <row r="730" spans="1:14" ht="22.5" outlineLevel="1">
      <c r="A730" s="572" t="s">
        <v>532</v>
      </c>
      <c r="B730" s="71" t="s">
        <v>29</v>
      </c>
      <c r="C730" s="471" t="s">
        <v>533</v>
      </c>
      <c r="D730" s="569" t="s">
        <v>441</v>
      </c>
      <c r="E730" s="569" t="s">
        <v>534</v>
      </c>
      <c r="F730" s="72" t="s">
        <v>30</v>
      </c>
      <c r="G730" s="168">
        <f>SUM(G731:G733)</f>
        <v>1096773</v>
      </c>
      <c r="H730" s="168">
        <f>SUM(H731:H733)</f>
        <v>640902</v>
      </c>
      <c r="I730" s="36">
        <f>IF(G730&gt;0,H730/G730*100,"-")</f>
        <v>58.43524594423823</v>
      </c>
      <c r="J730" s="168">
        <f>SUM(J731:J733)</f>
        <v>0</v>
      </c>
      <c r="K730" s="168">
        <f>SUM(K731:K733)</f>
        <v>170000</v>
      </c>
      <c r="L730" s="35">
        <f>SUM(L731:L733)</f>
        <v>14128.5</v>
      </c>
      <c r="M730" s="36">
        <f>IF(K730&gt;0,L730/K730*100,"-")</f>
        <v>8.310882352941176</v>
      </c>
      <c r="N730" s="676" t="s">
        <v>535</v>
      </c>
    </row>
    <row r="731" spans="1:14" ht="11.25" outlineLevel="1">
      <c r="A731" s="572"/>
      <c r="B731" s="71"/>
      <c r="C731" s="472" t="s">
        <v>536</v>
      </c>
      <c r="D731" s="569"/>
      <c r="E731" s="569"/>
      <c r="F731" s="73" t="s">
        <v>18</v>
      </c>
      <c r="G731" s="169">
        <v>1096773</v>
      </c>
      <c r="H731" s="170">
        <f>ROUNDUP(626773+L731,0)</f>
        <v>640902</v>
      </c>
      <c r="I731" s="75">
        <f>IF(G731&gt;0,H731/G731*100,"-")</f>
        <v>58.43524594423823</v>
      </c>
      <c r="J731" s="169">
        <v>0</v>
      </c>
      <c r="K731" s="169">
        <v>170000</v>
      </c>
      <c r="L731" s="76">
        <v>14128.5</v>
      </c>
      <c r="M731" s="75">
        <f>IF(K731&gt;0,L731/K731*100,"-")</f>
        <v>8.310882352941176</v>
      </c>
      <c r="N731" s="676"/>
    </row>
    <row r="732" spans="1:14" ht="22.5" outlineLevel="1">
      <c r="A732" s="572"/>
      <c r="B732" s="71" t="s">
        <v>24</v>
      </c>
      <c r="C732" s="472" t="s">
        <v>537</v>
      </c>
      <c r="D732" s="569"/>
      <c r="E732" s="569"/>
      <c r="F732" s="73" t="s">
        <v>236</v>
      </c>
      <c r="G732" s="169">
        <v>0</v>
      </c>
      <c r="H732" s="169">
        <f>ROUNDUP(0+L732,0)</f>
        <v>0</v>
      </c>
      <c r="I732" s="75" t="str">
        <f>IF(G732&gt;0,H732/G732*100,"-")</f>
        <v>-</v>
      </c>
      <c r="J732" s="169">
        <v>0</v>
      </c>
      <c r="K732" s="169">
        <v>0</v>
      </c>
      <c r="L732" s="82">
        <v>0</v>
      </c>
      <c r="M732" s="75" t="str">
        <f>IF(K732&gt;0,L732/K732*100,"-")</f>
        <v>-</v>
      </c>
      <c r="N732" s="676"/>
    </row>
    <row r="733" spans="1:14" ht="10.5" customHeight="1" outlineLevel="1">
      <c r="A733" s="572"/>
      <c r="B733" s="71"/>
      <c r="C733" s="472"/>
      <c r="D733" s="569"/>
      <c r="E733" s="569"/>
      <c r="F733" s="73" t="s">
        <v>23</v>
      </c>
      <c r="G733" s="169">
        <v>0</v>
      </c>
      <c r="H733" s="169">
        <f>ROUNDUP(0+L733,0)</f>
        <v>0</v>
      </c>
      <c r="I733" s="75" t="str">
        <f>IF(G733&gt;0,H733/G733*100,"-")</f>
        <v>-</v>
      </c>
      <c r="J733" s="169">
        <v>0</v>
      </c>
      <c r="K733" s="169">
        <v>0</v>
      </c>
      <c r="L733" s="82">
        <v>0</v>
      </c>
      <c r="M733" s="75" t="str">
        <f>IF(K733&gt;0,L733/K733*100,"-")</f>
        <v>-</v>
      </c>
      <c r="N733" s="676"/>
    </row>
    <row r="734" spans="1:14" ht="9.75" customHeight="1" outlineLevel="1">
      <c r="A734" s="141"/>
      <c r="B734" s="78"/>
      <c r="C734" s="473"/>
      <c r="D734" s="77"/>
      <c r="E734" s="77"/>
      <c r="F734" s="78"/>
      <c r="G734" s="259"/>
      <c r="H734" s="259"/>
      <c r="I734" s="78"/>
      <c r="J734" s="259"/>
      <c r="K734" s="171"/>
      <c r="L734" s="80"/>
      <c r="M734" s="81"/>
      <c r="N734" s="693"/>
    </row>
  </sheetData>
  <sheetProtection/>
  <mergeCells count="426">
    <mergeCell ref="A730:A733"/>
    <mergeCell ref="D730:D733"/>
    <mergeCell ref="E730:E733"/>
    <mergeCell ref="N730:N734"/>
    <mergeCell ref="B712:C712"/>
    <mergeCell ref="A718:A721"/>
    <mergeCell ref="D718:D721"/>
    <mergeCell ref="E718:E721"/>
    <mergeCell ref="N718:N722"/>
    <mergeCell ref="B724:C724"/>
    <mergeCell ref="A700:A703"/>
    <mergeCell ref="D700:D703"/>
    <mergeCell ref="E700:E703"/>
    <mergeCell ref="N700:N703"/>
    <mergeCell ref="A706:A709"/>
    <mergeCell ref="D706:D709"/>
    <mergeCell ref="E706:E709"/>
    <mergeCell ref="N706:N709"/>
    <mergeCell ref="A688:A691"/>
    <mergeCell ref="D688:D691"/>
    <mergeCell ref="E688:E691"/>
    <mergeCell ref="N688:N691"/>
    <mergeCell ref="A694:A697"/>
    <mergeCell ref="D694:D697"/>
    <mergeCell ref="E694:E697"/>
    <mergeCell ref="N694:N697"/>
    <mergeCell ref="A676:A679"/>
    <mergeCell ref="D676:D679"/>
    <mergeCell ref="E676:E679"/>
    <mergeCell ref="N676:N679"/>
    <mergeCell ref="A682:A685"/>
    <mergeCell ref="D682:D685"/>
    <mergeCell ref="E682:E685"/>
    <mergeCell ref="N682:N685"/>
    <mergeCell ref="N663:N668"/>
    <mergeCell ref="A664:A667"/>
    <mergeCell ref="D664:D667"/>
    <mergeCell ref="E664:E667"/>
    <mergeCell ref="A670:A673"/>
    <mergeCell ref="D670:D673"/>
    <mergeCell ref="E670:E673"/>
    <mergeCell ref="N670:N673"/>
    <mergeCell ref="A652:A655"/>
    <mergeCell ref="D652:D655"/>
    <mergeCell ref="E652:E655"/>
    <mergeCell ref="N652:N655"/>
    <mergeCell ref="A658:A661"/>
    <mergeCell ref="D658:D661"/>
    <mergeCell ref="E658:E661"/>
    <mergeCell ref="N658:N661"/>
    <mergeCell ref="A639:A643"/>
    <mergeCell ref="D639:D642"/>
    <mergeCell ref="E639:E642"/>
    <mergeCell ref="N639:N642"/>
    <mergeCell ref="A646:A649"/>
    <mergeCell ref="D646:D649"/>
    <mergeCell ref="E646:E649"/>
    <mergeCell ref="N646:N649"/>
    <mergeCell ref="A627:A630"/>
    <mergeCell ref="D627:D630"/>
    <mergeCell ref="E627:E630"/>
    <mergeCell ref="N627:N630"/>
    <mergeCell ref="A633:A636"/>
    <mergeCell ref="D633:D636"/>
    <mergeCell ref="E633:E636"/>
    <mergeCell ref="N633:N636"/>
    <mergeCell ref="A615:A618"/>
    <mergeCell ref="D615:D618"/>
    <mergeCell ref="E615:E618"/>
    <mergeCell ref="N615:N618"/>
    <mergeCell ref="A621:A624"/>
    <mergeCell ref="D621:D624"/>
    <mergeCell ref="E621:E624"/>
    <mergeCell ref="N621:N624"/>
    <mergeCell ref="E598:E600"/>
    <mergeCell ref="A603:A606"/>
    <mergeCell ref="D603:D606"/>
    <mergeCell ref="E603:E606"/>
    <mergeCell ref="N603:N606"/>
    <mergeCell ref="A609:A612"/>
    <mergeCell ref="D609:D612"/>
    <mergeCell ref="E609:E612"/>
    <mergeCell ref="N609:N612"/>
    <mergeCell ref="A577:A580"/>
    <mergeCell ref="D577:D580"/>
    <mergeCell ref="E577:E580"/>
    <mergeCell ref="N577:N580"/>
    <mergeCell ref="B583:C583"/>
    <mergeCell ref="A589:A592"/>
    <mergeCell ref="D589:D592"/>
    <mergeCell ref="E589:E592"/>
    <mergeCell ref="N589:N601"/>
    <mergeCell ref="E594:E596"/>
    <mergeCell ref="E559:E561"/>
    <mergeCell ref="B565:C565"/>
    <mergeCell ref="A571:A574"/>
    <mergeCell ref="D571:D574"/>
    <mergeCell ref="E571:E574"/>
    <mergeCell ref="N571:N574"/>
    <mergeCell ref="A544:A547"/>
    <mergeCell ref="D544:D547"/>
    <mergeCell ref="E544:E547"/>
    <mergeCell ref="N544:N547"/>
    <mergeCell ref="A550:A553"/>
    <mergeCell ref="D550:D553"/>
    <mergeCell ref="E550:E553"/>
    <mergeCell ref="N550:N562"/>
    <mergeCell ref="E555:E557"/>
    <mergeCell ref="D558:D562"/>
    <mergeCell ref="A532:A535"/>
    <mergeCell ref="D532:D535"/>
    <mergeCell ref="E532:E535"/>
    <mergeCell ref="N532:N535"/>
    <mergeCell ref="A538:A541"/>
    <mergeCell ref="D538:D541"/>
    <mergeCell ref="E538:E541"/>
    <mergeCell ref="N538:N541"/>
    <mergeCell ref="A519:A523"/>
    <mergeCell ref="D519:D523"/>
    <mergeCell ref="E519:E523"/>
    <mergeCell ref="N519:N523"/>
    <mergeCell ref="A526:A529"/>
    <mergeCell ref="D526:D529"/>
    <mergeCell ref="E526:E529"/>
    <mergeCell ref="N526:N529"/>
    <mergeCell ref="A507:A510"/>
    <mergeCell ref="D507:D510"/>
    <mergeCell ref="E507:E510"/>
    <mergeCell ref="N507:N510"/>
    <mergeCell ref="A513:A516"/>
    <mergeCell ref="D513:D516"/>
    <mergeCell ref="E513:E516"/>
    <mergeCell ref="N513:N516"/>
    <mergeCell ref="A495:A498"/>
    <mergeCell ref="D495:D498"/>
    <mergeCell ref="E495:E498"/>
    <mergeCell ref="N495:N498"/>
    <mergeCell ref="A501:A504"/>
    <mergeCell ref="D501:D504"/>
    <mergeCell ref="E501:E504"/>
    <mergeCell ref="N501:N504"/>
    <mergeCell ref="A483:A486"/>
    <mergeCell ref="D483:D486"/>
    <mergeCell ref="E483:E486"/>
    <mergeCell ref="N483:N486"/>
    <mergeCell ref="A489:A492"/>
    <mergeCell ref="D489:D492"/>
    <mergeCell ref="E489:E492"/>
    <mergeCell ref="N489:N492"/>
    <mergeCell ref="A471:A474"/>
    <mergeCell ref="D471:D474"/>
    <mergeCell ref="E471:E474"/>
    <mergeCell ref="N471:N474"/>
    <mergeCell ref="A477:A480"/>
    <mergeCell ref="D477:D480"/>
    <mergeCell ref="E477:E480"/>
    <mergeCell ref="N477:N480"/>
    <mergeCell ref="A459:A462"/>
    <mergeCell ref="D459:D462"/>
    <mergeCell ref="E459:E462"/>
    <mergeCell ref="N459:N462"/>
    <mergeCell ref="A465:A468"/>
    <mergeCell ref="D465:D468"/>
    <mergeCell ref="E465:E468"/>
    <mergeCell ref="N465:N468"/>
    <mergeCell ref="A447:A450"/>
    <mergeCell ref="D447:D450"/>
    <mergeCell ref="E447:E450"/>
    <mergeCell ref="N447:N450"/>
    <mergeCell ref="A453:A456"/>
    <mergeCell ref="D453:D456"/>
    <mergeCell ref="E453:E456"/>
    <mergeCell ref="N453:N456"/>
    <mergeCell ref="A435:A438"/>
    <mergeCell ref="D435:D438"/>
    <mergeCell ref="E435:E438"/>
    <mergeCell ref="N435:N438"/>
    <mergeCell ref="A441:A444"/>
    <mergeCell ref="D441:D444"/>
    <mergeCell ref="E441:E444"/>
    <mergeCell ref="N441:N444"/>
    <mergeCell ref="A416:A420"/>
    <mergeCell ref="D416:D420"/>
    <mergeCell ref="E416:E420"/>
    <mergeCell ref="N416:N420"/>
    <mergeCell ref="B423:C423"/>
    <mergeCell ref="A429:A432"/>
    <mergeCell ref="D429:D432"/>
    <mergeCell ref="E429:E432"/>
    <mergeCell ref="N429:N432"/>
    <mergeCell ref="A404:A407"/>
    <mergeCell ref="D404:D407"/>
    <mergeCell ref="E404:E407"/>
    <mergeCell ref="N404:N407"/>
    <mergeCell ref="A410:A413"/>
    <mergeCell ref="D410:D413"/>
    <mergeCell ref="E410:E413"/>
    <mergeCell ref="N410:N413"/>
    <mergeCell ref="A386:A389"/>
    <mergeCell ref="D386:D389"/>
    <mergeCell ref="E386:E389"/>
    <mergeCell ref="N386:N389"/>
    <mergeCell ref="B392:C392"/>
    <mergeCell ref="A398:A401"/>
    <mergeCell ref="D398:D401"/>
    <mergeCell ref="E398:E401"/>
    <mergeCell ref="N398:N401"/>
    <mergeCell ref="E367:E369"/>
    <mergeCell ref="A372:A375"/>
    <mergeCell ref="D372:D375"/>
    <mergeCell ref="E372:E375"/>
    <mergeCell ref="N372:N384"/>
    <mergeCell ref="E377:E379"/>
    <mergeCell ref="E381:E383"/>
    <mergeCell ref="B345:C345"/>
    <mergeCell ref="A351:A355"/>
    <mergeCell ref="D351:D355"/>
    <mergeCell ref="E351:E355"/>
    <mergeCell ref="N351:N356"/>
    <mergeCell ref="A358:A361"/>
    <mergeCell ref="D358:D361"/>
    <mergeCell ref="E358:E361"/>
    <mergeCell ref="N358:N369"/>
    <mergeCell ref="E363:E365"/>
    <mergeCell ref="A333:A336"/>
    <mergeCell ref="D333:D336"/>
    <mergeCell ref="E333:E336"/>
    <mergeCell ref="N333:N336"/>
    <mergeCell ref="A339:A342"/>
    <mergeCell ref="D339:D342"/>
    <mergeCell ref="E339:E342"/>
    <mergeCell ref="N339:N342"/>
    <mergeCell ref="A320:A323"/>
    <mergeCell ref="D320:D323"/>
    <mergeCell ref="E320:E323"/>
    <mergeCell ref="N320:N323"/>
    <mergeCell ref="A326:A330"/>
    <mergeCell ref="D326:D330"/>
    <mergeCell ref="E326:E330"/>
    <mergeCell ref="N326:N330"/>
    <mergeCell ref="D307:D312"/>
    <mergeCell ref="B308:C308"/>
    <mergeCell ref="B309:C309"/>
    <mergeCell ref="B310:C310"/>
    <mergeCell ref="B311:C311"/>
    <mergeCell ref="B314:C314"/>
    <mergeCell ref="A303:A305"/>
    <mergeCell ref="D303:D305"/>
    <mergeCell ref="E303:E305"/>
    <mergeCell ref="N303:N305"/>
    <mergeCell ref="B292:C292"/>
    <mergeCell ref="A296:A299"/>
    <mergeCell ref="D296:D298"/>
    <mergeCell ref="E296:E298"/>
    <mergeCell ref="N296:N298"/>
    <mergeCell ref="D300:D302"/>
    <mergeCell ref="E300:E302"/>
    <mergeCell ref="N300:N302"/>
    <mergeCell ref="B286:C286"/>
    <mergeCell ref="A288:A291"/>
    <mergeCell ref="D289:D290"/>
    <mergeCell ref="E289:E290"/>
    <mergeCell ref="N289:N290"/>
    <mergeCell ref="A240:A249"/>
    <mergeCell ref="N240:N249"/>
    <mergeCell ref="A201:A205"/>
    <mergeCell ref="N201:N205"/>
    <mergeCell ref="D202:D204"/>
    <mergeCell ref="E202:E204"/>
    <mergeCell ref="C203:C205"/>
    <mergeCell ref="B219:C219"/>
    <mergeCell ref="A223:A227"/>
    <mergeCell ref="D224:D226"/>
    <mergeCell ref="D190:D192"/>
    <mergeCell ref="E190:E192"/>
    <mergeCell ref="C191:C193"/>
    <mergeCell ref="A211:A217"/>
    <mergeCell ref="N211:N217"/>
    <mergeCell ref="D212:D216"/>
    <mergeCell ref="D181:D183"/>
    <mergeCell ref="E181:E183"/>
    <mergeCell ref="B182:B188"/>
    <mergeCell ref="A206:A210"/>
    <mergeCell ref="N206:N210"/>
    <mergeCell ref="D207:D209"/>
    <mergeCell ref="E207:E209"/>
    <mergeCell ref="C208:C210"/>
    <mergeCell ref="A189:A193"/>
    <mergeCell ref="N189:N193"/>
    <mergeCell ref="E172:E174"/>
    <mergeCell ref="B173:B174"/>
    <mergeCell ref="C173:C174"/>
    <mergeCell ref="A194:A200"/>
    <mergeCell ref="N194:N200"/>
    <mergeCell ref="D195:D197"/>
    <mergeCell ref="E195:E197"/>
    <mergeCell ref="C196:C200"/>
    <mergeCell ref="A180:A188"/>
    <mergeCell ref="N180:N188"/>
    <mergeCell ref="A161:A165"/>
    <mergeCell ref="D162:D164"/>
    <mergeCell ref="E162:E164"/>
    <mergeCell ref="N162:N164"/>
    <mergeCell ref="B163:C164"/>
    <mergeCell ref="C182:C185"/>
    <mergeCell ref="B167:C167"/>
    <mergeCell ref="A171:A179"/>
    <mergeCell ref="N171:N179"/>
    <mergeCell ref="D172:D174"/>
    <mergeCell ref="E152:E154"/>
    <mergeCell ref="N152:N154"/>
    <mergeCell ref="B153:C154"/>
    <mergeCell ref="A156:A160"/>
    <mergeCell ref="D157:D159"/>
    <mergeCell ref="E157:E159"/>
    <mergeCell ref="N157:N159"/>
    <mergeCell ref="B158:C159"/>
    <mergeCell ref="A88:A99"/>
    <mergeCell ref="C88:C90"/>
    <mergeCell ref="D88:D99"/>
    <mergeCell ref="E88:E93"/>
    <mergeCell ref="N88:N99"/>
    <mergeCell ref="C91:C93"/>
    <mergeCell ref="E94:E99"/>
    <mergeCell ref="A76:A81"/>
    <mergeCell ref="D76:D81"/>
    <mergeCell ref="E76:E81"/>
    <mergeCell ref="N76:N81"/>
    <mergeCell ref="A82:A87"/>
    <mergeCell ref="N82:N87"/>
    <mergeCell ref="D83:D87"/>
    <mergeCell ref="E83:E87"/>
    <mergeCell ref="A61:A63"/>
    <mergeCell ref="D61:D63"/>
    <mergeCell ref="E61:E63"/>
    <mergeCell ref="N61:N63"/>
    <mergeCell ref="B66:C66"/>
    <mergeCell ref="A70:A75"/>
    <mergeCell ref="D70:D75"/>
    <mergeCell ref="E70:E75"/>
    <mergeCell ref="N70:N75"/>
    <mergeCell ref="C71:C72"/>
    <mergeCell ref="N51:N52"/>
    <mergeCell ref="A57:A59"/>
    <mergeCell ref="D57:D59"/>
    <mergeCell ref="E57:E59"/>
    <mergeCell ref="N57:N59"/>
    <mergeCell ref="N47:N48"/>
    <mergeCell ref="N49:N50"/>
    <mergeCell ref="F9:I9"/>
    <mergeCell ref="B11:C11"/>
    <mergeCell ref="B13:C13"/>
    <mergeCell ref="B14:C14"/>
    <mergeCell ref="D9:D10"/>
    <mergeCell ref="N44:N46"/>
    <mergeCell ref="B40:C40"/>
    <mergeCell ref="A7:N7"/>
    <mergeCell ref="N29:N37"/>
    <mergeCell ref="A9:A10"/>
    <mergeCell ref="B9:C10"/>
    <mergeCell ref="B19:C19"/>
    <mergeCell ref="B24:C24"/>
    <mergeCell ref="D29:D37"/>
    <mergeCell ref="B16:C16"/>
    <mergeCell ref="J9:N9"/>
    <mergeCell ref="E9:E10"/>
    <mergeCell ref="A28:A38"/>
    <mergeCell ref="B39:C39"/>
    <mergeCell ref="A44:A52"/>
    <mergeCell ref="D44:D46"/>
    <mergeCell ref="E44:E46"/>
    <mergeCell ref="E124:E126"/>
    <mergeCell ref="B101:C103"/>
    <mergeCell ref="A105:A108"/>
    <mergeCell ref="D106:D108"/>
    <mergeCell ref="E106:E108"/>
    <mergeCell ref="N106:N108"/>
    <mergeCell ref="B109:C109"/>
    <mergeCell ref="D133:D136"/>
    <mergeCell ref="E133:E136"/>
    <mergeCell ref="N133:N136"/>
    <mergeCell ref="A113:A117"/>
    <mergeCell ref="N114:N116"/>
    <mergeCell ref="B115:C116"/>
    <mergeCell ref="B119:C119"/>
    <mergeCell ref="A123:A127"/>
    <mergeCell ref="N123:N127"/>
    <mergeCell ref="D124:D127"/>
    <mergeCell ref="B137:C137"/>
    <mergeCell ref="A141:A145"/>
    <mergeCell ref="D142:D144"/>
    <mergeCell ref="E142:E144"/>
    <mergeCell ref="N142:N144"/>
    <mergeCell ref="A128:A132"/>
    <mergeCell ref="E128:E132"/>
    <mergeCell ref="D129:D131"/>
    <mergeCell ref="N250:N264"/>
    <mergeCell ref="N129:N131"/>
    <mergeCell ref="A133:A136"/>
    <mergeCell ref="D241:D248"/>
    <mergeCell ref="D251:D263"/>
    <mergeCell ref="D229:D238"/>
    <mergeCell ref="N229:N238"/>
    <mergeCell ref="B147:C147"/>
    <mergeCell ref="A151:A155"/>
    <mergeCell ref="D152:D154"/>
    <mergeCell ref="A275:A279"/>
    <mergeCell ref="D276:D278"/>
    <mergeCell ref="E224:E226"/>
    <mergeCell ref="N224:N226"/>
    <mergeCell ref="A228:A239"/>
    <mergeCell ref="A265:A269"/>
    <mergeCell ref="D266:D268"/>
    <mergeCell ref="E266:E268"/>
    <mergeCell ref="N266:N268"/>
    <mergeCell ref="A250:A264"/>
    <mergeCell ref="E276:E278"/>
    <mergeCell ref="N276:N278"/>
    <mergeCell ref="E271:E273"/>
    <mergeCell ref="N271:N273"/>
    <mergeCell ref="N281:N283"/>
    <mergeCell ref="A270:A274"/>
    <mergeCell ref="D271:D273"/>
    <mergeCell ref="A280:A284"/>
    <mergeCell ref="D281:D283"/>
    <mergeCell ref="E281:E283"/>
  </mergeCells>
  <printOptions horizontalCentered="1"/>
  <pageMargins left="0.1968503937007874" right="0.1968503937007874" top="0.7480314960629921" bottom="0.8267716535433072" header="0.31496062992125984" footer="0.31496062992125984"/>
  <pageSetup firstPageNumber="18" useFirstPageNumber="1" horizontalDpi="600" verticalDpi="600" orientation="landscape" paperSize="9" scale="63" r:id="rId1"/>
  <headerFooter>
    <oddFooter>&amp;C&amp;P</oddFooter>
  </headerFooter>
  <rowBreaks count="14" manualBreakCount="14">
    <brk id="47" max="255" man="1"/>
    <brk id="81" max="255" man="1"/>
    <brk id="117" max="255" man="1"/>
    <brk id="155" max="255" man="1"/>
    <brk id="205" max="255" man="1"/>
    <brk id="239" max="255" man="1"/>
    <brk id="269" max="255" man="1"/>
    <brk id="302" max="14" man="1"/>
    <brk id="370" max="255" man="1"/>
    <brk id="452" max="255" man="1"/>
    <brk id="525" max="255" man="1"/>
    <brk id="601" max="255" man="1"/>
    <brk id="656" max="255" man="1"/>
    <brk id="711"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36" sqref="H36"/>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ZOUM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dsalwa</dc:creator>
  <cp:keywords/>
  <dc:description/>
  <cp:lastModifiedBy>Ewa Wypych</cp:lastModifiedBy>
  <cp:lastPrinted>2013-08-29T10:04:47Z</cp:lastPrinted>
  <dcterms:created xsi:type="dcterms:W3CDTF">2006-07-21T07:43:40Z</dcterms:created>
  <dcterms:modified xsi:type="dcterms:W3CDTF">2013-08-29T10:04:52Z</dcterms:modified>
  <cp:category/>
  <cp:version/>
  <cp:contentType/>
  <cp:contentStatus/>
</cp:coreProperties>
</file>