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4940" windowHeight="7875" tabRatio="703"/>
  </bookViews>
  <sheets>
    <sheet name="przedsiewziecia UE" sheetId="7" r:id="rId1"/>
    <sheet name="Arkusz1" sheetId="11" r:id="rId2"/>
    <sheet name="Arkusz2" sheetId="12" r:id="rId3"/>
    <sheet name="Arkusz3" sheetId="13" r:id="rId4"/>
    <sheet name="Arkusz4" sheetId="14" r:id="rId5"/>
    <sheet name="Arkusz5" sheetId="15" r:id="rId6"/>
    <sheet name="Arkusz6" sheetId="16" r:id="rId7"/>
  </sheets>
  <externalReferences>
    <externalReference r:id="rId8"/>
  </externalReferences>
  <definedNames>
    <definedName name="_xlnm.Print_Area" localSheetId="0">'przedsiewziecia UE'!$A$1:$O$953</definedName>
    <definedName name="_xlnm.Print_Titles" localSheetId="0">'przedsiewziecia UE'!$9:$11</definedName>
  </definedNames>
  <calcPr calcId="125725"/>
</workbook>
</file>

<file path=xl/calcChain.xml><?xml version="1.0" encoding="utf-8"?>
<calcChain xmlns="http://schemas.openxmlformats.org/spreadsheetml/2006/main">
  <c r="B2" i="16"/>
  <c r="B2" i="15"/>
  <c r="G17" i="14"/>
  <c r="F17"/>
  <c r="E17"/>
  <c r="D17"/>
  <c r="C17" s="1"/>
  <c r="I16"/>
  <c r="H16"/>
  <c r="G16"/>
  <c r="F16"/>
  <c r="E16"/>
  <c r="D16"/>
  <c r="I14"/>
  <c r="H14"/>
  <c r="G14"/>
  <c r="F14"/>
  <c r="E14"/>
  <c r="D14"/>
  <c r="I13"/>
  <c r="H13"/>
  <c r="G13"/>
  <c r="F13"/>
  <c r="E13"/>
  <c r="D13"/>
  <c r="B12"/>
  <c r="B3" i="13"/>
  <c r="F5"/>
  <c r="E5"/>
  <c r="D5"/>
  <c r="C5" s="1"/>
  <c r="F6"/>
  <c r="E6"/>
  <c r="D6"/>
  <c r="F10"/>
  <c r="E10"/>
  <c r="D10"/>
  <c r="F8"/>
  <c r="E8"/>
  <c r="D8"/>
  <c r="F9"/>
  <c r="E9"/>
  <c r="D9"/>
  <c r="M12" i="12"/>
  <c r="M2"/>
  <c r="G17"/>
  <c r="F17"/>
  <c r="E17"/>
  <c r="D17"/>
  <c r="C17" s="1"/>
  <c r="D8"/>
  <c r="D27" s="1"/>
  <c r="I16"/>
  <c r="I25" s="1"/>
  <c r="H16"/>
  <c r="H25" s="1"/>
  <c r="G16"/>
  <c r="G25" s="1"/>
  <c r="F16"/>
  <c r="F25" s="1"/>
  <c r="E16"/>
  <c r="E25" s="1"/>
  <c r="D16"/>
  <c r="D25" s="1"/>
  <c r="I14"/>
  <c r="H14"/>
  <c r="G14"/>
  <c r="F14"/>
  <c r="E14"/>
  <c r="D14"/>
  <c r="I13"/>
  <c r="H13"/>
  <c r="G13"/>
  <c r="F13"/>
  <c r="E13"/>
  <c r="D13"/>
  <c r="E8"/>
  <c r="E27" s="1"/>
  <c r="E9"/>
  <c r="E28" s="1"/>
  <c r="D9"/>
  <c r="E7"/>
  <c r="E26" s="1"/>
  <c r="D7"/>
  <c r="D26" s="1"/>
  <c r="E6"/>
  <c r="E22" s="1"/>
  <c r="D6"/>
  <c r="D22" s="1"/>
  <c r="E5"/>
  <c r="E21" s="1"/>
  <c r="D5"/>
  <c r="I9"/>
  <c r="I28" s="1"/>
  <c r="H9"/>
  <c r="H28" s="1"/>
  <c r="G9"/>
  <c r="G28" s="1"/>
  <c r="F9"/>
  <c r="F28" s="1"/>
  <c r="I8"/>
  <c r="I27" s="1"/>
  <c r="H8"/>
  <c r="H27" s="1"/>
  <c r="G8"/>
  <c r="G27" s="1"/>
  <c r="F8"/>
  <c r="F27" s="1"/>
  <c r="I7"/>
  <c r="I26" s="1"/>
  <c r="H7"/>
  <c r="H26" s="1"/>
  <c r="G7"/>
  <c r="G26" s="1"/>
  <c r="F7"/>
  <c r="F26" s="1"/>
  <c r="I6"/>
  <c r="I22" s="1"/>
  <c r="H6"/>
  <c r="H22" s="1"/>
  <c r="G6"/>
  <c r="G22" s="1"/>
  <c r="F6"/>
  <c r="F22" s="1"/>
  <c r="I5"/>
  <c r="I21" s="1"/>
  <c r="H5"/>
  <c r="H21" s="1"/>
  <c r="G5"/>
  <c r="G21" s="1"/>
  <c r="F5"/>
  <c r="F21" s="1"/>
  <c r="C16"/>
  <c r="F16" i="11"/>
  <c r="E16"/>
  <c r="D16"/>
  <c r="C16"/>
  <c r="B16" s="1"/>
  <c r="C8"/>
  <c r="H8"/>
  <c r="G8"/>
  <c r="F8"/>
  <c r="E8"/>
  <c r="D8"/>
  <c r="H5"/>
  <c r="G5"/>
  <c r="F5"/>
  <c r="E5"/>
  <c r="D5"/>
  <c r="C5"/>
  <c r="M199" i="7"/>
  <c r="M198"/>
  <c r="M196"/>
  <c r="M195"/>
  <c r="M194"/>
  <c r="L199"/>
  <c r="N199" s="1"/>
  <c r="L198"/>
  <c r="N198" s="1"/>
  <c r="L197"/>
  <c r="L196"/>
  <c r="N196" s="1"/>
  <c r="L195"/>
  <c r="L194"/>
  <c r="N194" s="1"/>
  <c r="J199"/>
  <c r="J198"/>
  <c r="J197"/>
  <c r="J196"/>
  <c r="J195"/>
  <c r="J194"/>
  <c r="H196"/>
  <c r="H198"/>
  <c r="H199"/>
  <c r="G195"/>
  <c r="G196"/>
  <c r="G197"/>
  <c r="G198"/>
  <c r="I198" s="1"/>
  <c r="G199"/>
  <c r="I199" s="1"/>
  <c r="G194"/>
  <c r="H474"/>
  <c r="I474" s="1"/>
  <c r="M349"/>
  <c r="M197" s="1"/>
  <c r="M37"/>
  <c r="M36"/>
  <c r="M35"/>
  <c r="M34"/>
  <c r="M33"/>
  <c r="M31" s="1"/>
  <c r="C6" i="15" s="1"/>
  <c r="M32" i="7"/>
  <c r="L37"/>
  <c r="L36"/>
  <c r="N36" s="1"/>
  <c r="L35"/>
  <c r="N35" s="1"/>
  <c r="L34"/>
  <c r="L33"/>
  <c r="N33" s="1"/>
  <c r="L32"/>
  <c r="N32" s="1"/>
  <c r="J37"/>
  <c r="J36"/>
  <c r="J35"/>
  <c r="J34"/>
  <c r="J33"/>
  <c r="J31" s="1"/>
  <c r="J32"/>
  <c r="H32"/>
  <c r="H33"/>
  <c r="H34"/>
  <c r="H35"/>
  <c r="H36"/>
  <c r="H37"/>
  <c r="G33"/>
  <c r="G34"/>
  <c r="G35"/>
  <c r="G36"/>
  <c r="I36" s="1"/>
  <c r="G37"/>
  <c r="I37" s="1"/>
  <c r="G32"/>
  <c r="I32" s="1"/>
  <c r="H15" i="11"/>
  <c r="G15"/>
  <c r="F15"/>
  <c r="E15"/>
  <c r="D15"/>
  <c r="C15"/>
  <c r="H13"/>
  <c r="G13"/>
  <c r="F13"/>
  <c r="E13"/>
  <c r="D13"/>
  <c r="B13" s="1"/>
  <c r="C13"/>
  <c r="H12"/>
  <c r="G12"/>
  <c r="F12"/>
  <c r="E12"/>
  <c r="D12"/>
  <c r="C12"/>
  <c r="H9"/>
  <c r="G9"/>
  <c r="F9"/>
  <c r="E9"/>
  <c r="D9"/>
  <c r="C9"/>
  <c r="H7"/>
  <c r="G7"/>
  <c r="F7"/>
  <c r="E7"/>
  <c r="D7"/>
  <c r="C7"/>
  <c r="H6"/>
  <c r="G6"/>
  <c r="F6"/>
  <c r="E6"/>
  <c r="D6"/>
  <c r="B6" s="1"/>
  <c r="C6"/>
  <c r="B5"/>
  <c r="H910" i="7"/>
  <c r="H911"/>
  <c r="G632"/>
  <c r="H446"/>
  <c r="I446" s="1"/>
  <c r="H456"/>
  <c r="H454" s="1"/>
  <c r="H484"/>
  <c r="H493"/>
  <c r="H494"/>
  <c r="H475"/>
  <c r="H466"/>
  <c r="H437"/>
  <c r="I437" s="1"/>
  <c r="H428"/>
  <c r="I428" s="1"/>
  <c r="H419"/>
  <c r="H410"/>
  <c r="H408" s="1"/>
  <c r="H392"/>
  <c r="H383"/>
  <c r="I383" s="1"/>
  <c r="H374"/>
  <c r="H365"/>
  <c r="H356"/>
  <c r="H349"/>
  <c r="I349" s="1"/>
  <c r="H347"/>
  <c r="I347" s="1"/>
  <c r="H340"/>
  <c r="H338"/>
  <c r="H327"/>
  <c r="I327" s="1"/>
  <c r="H325"/>
  <c r="H316"/>
  <c r="H307"/>
  <c r="H298"/>
  <c r="H296" s="1"/>
  <c r="H287"/>
  <c r="H278"/>
  <c r="H271"/>
  <c r="H269"/>
  <c r="H262"/>
  <c r="H260"/>
  <c r="H259"/>
  <c r="H252"/>
  <c r="I252" s="1"/>
  <c r="H250"/>
  <c r="I250" s="1"/>
  <c r="H249"/>
  <c r="H243"/>
  <c r="I243" s="1"/>
  <c r="H241"/>
  <c r="H229"/>
  <c r="H227"/>
  <c r="I227" s="1"/>
  <c r="H216"/>
  <c r="H214"/>
  <c r="H206"/>
  <c r="H204"/>
  <c r="M905"/>
  <c r="M904"/>
  <c r="M903"/>
  <c r="M902"/>
  <c r="M901"/>
  <c r="M900"/>
  <c r="L905"/>
  <c r="N905" s="1"/>
  <c r="L904"/>
  <c r="N904" s="1"/>
  <c r="L903"/>
  <c r="N903" s="1"/>
  <c r="L902"/>
  <c r="N902" s="1"/>
  <c r="L901"/>
  <c r="L900"/>
  <c r="N900" s="1"/>
  <c r="J905"/>
  <c r="J904"/>
  <c r="J903"/>
  <c r="J902"/>
  <c r="J901"/>
  <c r="J900"/>
  <c r="H900"/>
  <c r="H903"/>
  <c r="H904"/>
  <c r="H905"/>
  <c r="I905" s="1"/>
  <c r="G901"/>
  <c r="G902"/>
  <c r="G903"/>
  <c r="G904"/>
  <c r="G905"/>
  <c r="G900"/>
  <c r="I904"/>
  <c r="H702"/>
  <c r="H701"/>
  <c r="H700"/>
  <c r="H699"/>
  <c r="H698"/>
  <c r="H697"/>
  <c r="H696" s="1"/>
  <c r="M702"/>
  <c r="M701"/>
  <c r="M700"/>
  <c r="M699"/>
  <c r="M698"/>
  <c r="M697"/>
  <c r="L702"/>
  <c r="N702" s="1"/>
  <c r="L701"/>
  <c r="N701" s="1"/>
  <c r="L700"/>
  <c r="N700" s="1"/>
  <c r="L699"/>
  <c r="L698"/>
  <c r="N698" s="1"/>
  <c r="L697"/>
  <c r="N697" s="1"/>
  <c r="J702"/>
  <c r="J701"/>
  <c r="J700"/>
  <c r="J699"/>
  <c r="J698"/>
  <c r="J697"/>
  <c r="J696" s="1"/>
  <c r="G698"/>
  <c r="G699"/>
  <c r="G700"/>
  <c r="I700" s="1"/>
  <c r="G701"/>
  <c r="I701" s="1"/>
  <c r="G702"/>
  <c r="I702" s="1"/>
  <c r="G697"/>
  <c r="L628"/>
  <c r="H14" i="11" s="1"/>
  <c r="L627" i="7"/>
  <c r="G14" i="11" s="1"/>
  <c r="L626" i="7"/>
  <c r="F14" i="11" s="1"/>
  <c r="L625" i="7"/>
  <c r="E14" i="11" s="1"/>
  <c r="L624" i="7"/>
  <c r="D14" i="11"/>
  <c r="L623" i="7"/>
  <c r="C14" i="11"/>
  <c r="J628" i="7"/>
  <c r="J619"/>
  <c r="J627"/>
  <c r="J626"/>
  <c r="J617" s="1"/>
  <c r="J625"/>
  <c r="J616" s="1"/>
  <c r="J624"/>
  <c r="J623"/>
  <c r="J614" s="1"/>
  <c r="G624"/>
  <c r="G625"/>
  <c r="G616" s="1"/>
  <c r="G626"/>
  <c r="G617" s="1"/>
  <c r="G627"/>
  <c r="G618" s="1"/>
  <c r="G628"/>
  <c r="G619" s="1"/>
  <c r="G575" s="1"/>
  <c r="M584"/>
  <c r="M583"/>
  <c r="M582"/>
  <c r="M581"/>
  <c r="M580"/>
  <c r="M579"/>
  <c r="H580"/>
  <c r="H581"/>
  <c r="H582"/>
  <c r="H583"/>
  <c r="H584"/>
  <c r="L584"/>
  <c r="L583"/>
  <c r="L582"/>
  <c r="N582" s="1"/>
  <c r="L581"/>
  <c r="L580"/>
  <c r="L579"/>
  <c r="J584"/>
  <c r="J583"/>
  <c r="J582"/>
  <c r="J581"/>
  <c r="J580"/>
  <c r="J579"/>
  <c r="G580"/>
  <c r="G581"/>
  <c r="G582"/>
  <c r="I582" s="1"/>
  <c r="G583"/>
  <c r="I583" s="1"/>
  <c r="G584"/>
  <c r="M507"/>
  <c r="M506"/>
  <c r="M505"/>
  <c r="M504"/>
  <c r="M503"/>
  <c r="N503" s="1"/>
  <c r="M502"/>
  <c r="H503"/>
  <c r="H504"/>
  <c r="H505"/>
  <c r="H506"/>
  <c r="H507"/>
  <c r="L507"/>
  <c r="N507" s="1"/>
  <c r="L506"/>
  <c r="L505"/>
  <c r="L504"/>
  <c r="N504" s="1"/>
  <c r="L503"/>
  <c r="L502"/>
  <c r="J507"/>
  <c r="J506"/>
  <c r="J505"/>
  <c r="J504"/>
  <c r="J503"/>
  <c r="J502"/>
  <c r="J501" s="1"/>
  <c r="G503"/>
  <c r="G504"/>
  <c r="G505"/>
  <c r="G506"/>
  <c r="G507"/>
  <c r="I507" s="1"/>
  <c r="I196"/>
  <c r="K498"/>
  <c r="I498"/>
  <c r="K497"/>
  <c r="I497"/>
  <c r="K496"/>
  <c r="I496"/>
  <c r="K495"/>
  <c r="I495"/>
  <c r="M169"/>
  <c r="M168"/>
  <c r="M167"/>
  <c r="M166"/>
  <c r="M165"/>
  <c r="M164"/>
  <c r="M163" s="1"/>
  <c r="C5" i="15" s="1"/>
  <c r="H165" i="7"/>
  <c r="H166"/>
  <c r="H167"/>
  <c r="H168"/>
  <c r="H169"/>
  <c r="L169"/>
  <c r="N169" s="1"/>
  <c r="L168"/>
  <c r="L167"/>
  <c r="N167" s="1"/>
  <c r="L166"/>
  <c r="L165"/>
  <c r="L164"/>
  <c r="J169"/>
  <c r="J168"/>
  <c r="J167"/>
  <c r="J166"/>
  <c r="J165"/>
  <c r="J164"/>
  <c r="J163" s="1"/>
  <c r="G165"/>
  <c r="G166"/>
  <c r="I166" s="1"/>
  <c r="G167"/>
  <c r="I167" s="1"/>
  <c r="G168"/>
  <c r="G169"/>
  <c r="I169" s="1"/>
  <c r="M123"/>
  <c r="I3" i="12" s="1"/>
  <c r="M122" i="7"/>
  <c r="H3" i="12" s="1"/>
  <c r="M121" i="7"/>
  <c r="M120"/>
  <c r="F3" i="12" s="1"/>
  <c r="F24" s="1"/>
  <c r="M119" i="7"/>
  <c r="E3" i="12" s="1"/>
  <c r="M118" i="7"/>
  <c r="H119"/>
  <c r="H120"/>
  <c r="H121"/>
  <c r="H122"/>
  <c r="H123"/>
  <c r="L123"/>
  <c r="L122"/>
  <c r="G3" i="11" s="1"/>
  <c r="L121" i="7"/>
  <c r="L120"/>
  <c r="L119"/>
  <c r="L118"/>
  <c r="J123"/>
  <c r="J122"/>
  <c r="J121"/>
  <c r="J120"/>
  <c r="J119"/>
  <c r="J118"/>
  <c r="G119"/>
  <c r="I119" s="1"/>
  <c r="G120"/>
  <c r="I120" s="1"/>
  <c r="G121"/>
  <c r="G122"/>
  <c r="G123"/>
  <c r="M99"/>
  <c r="I4" i="12" s="1"/>
  <c r="M98" i="7"/>
  <c r="H4" i="12" s="1"/>
  <c r="M97" i="7"/>
  <c r="M96"/>
  <c r="M95"/>
  <c r="M94"/>
  <c r="D4" i="12" s="1"/>
  <c r="H95" i="7"/>
  <c r="H86" s="1"/>
  <c r="H96"/>
  <c r="H97"/>
  <c r="H88" s="1"/>
  <c r="H98"/>
  <c r="H99"/>
  <c r="H90" s="1"/>
  <c r="L99"/>
  <c r="H4" i="11"/>
  <c r="L98" i="7"/>
  <c r="G4" i="11"/>
  <c r="L97" i="7"/>
  <c r="F4" i="11"/>
  <c r="L96" i="7"/>
  <c r="E4" i="11"/>
  <c r="L95" i="7"/>
  <c r="D4" i="11"/>
  <c r="L94" i="7"/>
  <c r="C4" i="11"/>
  <c r="J99" i="7"/>
  <c r="J90"/>
  <c r="J98"/>
  <c r="J97"/>
  <c r="J88" s="1"/>
  <c r="J26" s="1"/>
  <c r="J96"/>
  <c r="J95"/>
  <c r="J93" s="1"/>
  <c r="J94"/>
  <c r="G95"/>
  <c r="I95" s="1"/>
  <c r="G96"/>
  <c r="G97"/>
  <c r="G88" s="1"/>
  <c r="G98"/>
  <c r="I98" s="1"/>
  <c r="G99"/>
  <c r="J89"/>
  <c r="J27" s="1"/>
  <c r="N34"/>
  <c r="K729"/>
  <c r="I729"/>
  <c r="K728"/>
  <c r="I728"/>
  <c r="K738"/>
  <c r="I738"/>
  <c r="K737"/>
  <c r="I737"/>
  <c r="K748"/>
  <c r="I748"/>
  <c r="K747"/>
  <c r="I747"/>
  <c r="K757"/>
  <c r="I757"/>
  <c r="K756"/>
  <c r="I756"/>
  <c r="K767"/>
  <c r="I767"/>
  <c r="K766"/>
  <c r="I766"/>
  <c r="K777"/>
  <c r="I777"/>
  <c r="K776"/>
  <c r="I776"/>
  <c r="K775"/>
  <c r="I775"/>
  <c r="K787"/>
  <c r="I787"/>
  <c r="K786"/>
  <c r="I786"/>
  <c r="K798"/>
  <c r="I798"/>
  <c r="K808"/>
  <c r="I808"/>
  <c r="K807"/>
  <c r="I807"/>
  <c r="K819"/>
  <c r="I819"/>
  <c r="K818"/>
  <c r="I818"/>
  <c r="K829"/>
  <c r="I829"/>
  <c r="K828"/>
  <c r="I828"/>
  <c r="K840"/>
  <c r="I840"/>
  <c r="K839"/>
  <c r="I839"/>
  <c r="K851"/>
  <c r="I851"/>
  <c r="K850"/>
  <c r="I850"/>
  <c r="K849"/>
  <c r="I849"/>
  <c r="K848"/>
  <c r="I848"/>
  <c r="K861"/>
  <c r="I861"/>
  <c r="K860"/>
  <c r="I860"/>
  <c r="K872"/>
  <c r="I872"/>
  <c r="K871"/>
  <c r="I871"/>
  <c r="K870"/>
  <c r="I870"/>
  <c r="K884"/>
  <c r="I884"/>
  <c r="K883"/>
  <c r="I883"/>
  <c r="K882"/>
  <c r="I882"/>
  <c r="K880"/>
  <c r="I880"/>
  <c r="K894"/>
  <c r="I894"/>
  <c r="K893"/>
  <c r="I893"/>
  <c r="K892"/>
  <c r="I892"/>
  <c r="K932"/>
  <c r="K923" s="1"/>
  <c r="I932"/>
  <c r="K931"/>
  <c r="I931"/>
  <c r="K929"/>
  <c r="K920" s="1"/>
  <c r="I929"/>
  <c r="K952"/>
  <c r="K943" s="1"/>
  <c r="I952"/>
  <c r="K951"/>
  <c r="K942" s="1"/>
  <c r="I951"/>
  <c r="K607"/>
  <c r="I607"/>
  <c r="K606"/>
  <c r="I606"/>
  <c r="K605"/>
  <c r="I605"/>
  <c r="K604"/>
  <c r="I604"/>
  <c r="K592"/>
  <c r="K583"/>
  <c r="I592"/>
  <c r="K652"/>
  <c r="K651"/>
  <c r="K650"/>
  <c r="K649"/>
  <c r="K648"/>
  <c r="K646" s="1"/>
  <c r="K647"/>
  <c r="K603"/>
  <c r="K602"/>
  <c r="K601"/>
  <c r="K589"/>
  <c r="K590"/>
  <c r="K587" s="1"/>
  <c r="K591"/>
  <c r="K582"/>
  <c r="K593"/>
  <c r="K584"/>
  <c r="K588"/>
  <c r="K579"/>
  <c r="K565"/>
  <c r="K564"/>
  <c r="K563"/>
  <c r="K562"/>
  <c r="K561"/>
  <c r="K560"/>
  <c r="K552"/>
  <c r="K551"/>
  <c r="K550"/>
  <c r="K549"/>
  <c r="K548"/>
  <c r="K547"/>
  <c r="K546" s="1"/>
  <c r="K539"/>
  <c r="K538"/>
  <c r="K537"/>
  <c r="K536"/>
  <c r="K535"/>
  <c r="K534"/>
  <c r="K533" s="1"/>
  <c r="K527"/>
  <c r="K526"/>
  <c r="K506" s="1"/>
  <c r="K525"/>
  <c r="K524"/>
  <c r="K523"/>
  <c r="K522"/>
  <c r="K521" s="1"/>
  <c r="I565"/>
  <c r="I564"/>
  <c r="I563"/>
  <c r="I562"/>
  <c r="I552"/>
  <c r="I551"/>
  <c r="I550"/>
  <c r="I549"/>
  <c r="I539"/>
  <c r="I538"/>
  <c r="I537"/>
  <c r="I536"/>
  <c r="I527"/>
  <c r="I526"/>
  <c r="I524"/>
  <c r="K516"/>
  <c r="K507" s="1"/>
  <c r="K515"/>
  <c r="K514"/>
  <c r="K505" s="1"/>
  <c r="K513"/>
  <c r="K494"/>
  <c r="K493"/>
  <c r="K488"/>
  <c r="K487"/>
  <c r="K486"/>
  <c r="K485"/>
  <c r="K484"/>
  <c r="K483"/>
  <c r="K479"/>
  <c r="K478"/>
  <c r="K477"/>
  <c r="K476"/>
  <c r="K475"/>
  <c r="K474"/>
  <c r="K470"/>
  <c r="K469"/>
  <c r="K468"/>
  <c r="K467"/>
  <c r="K466"/>
  <c r="K465"/>
  <c r="K460"/>
  <c r="K459"/>
  <c r="K458"/>
  <c r="K457"/>
  <c r="K456"/>
  <c r="K455"/>
  <c r="K450"/>
  <c r="K449"/>
  <c r="K448"/>
  <c r="K447"/>
  <c r="K446"/>
  <c r="K445"/>
  <c r="K441"/>
  <c r="K440"/>
  <c r="K439"/>
  <c r="K438"/>
  <c r="K437"/>
  <c r="K436"/>
  <c r="K432"/>
  <c r="K431"/>
  <c r="K430"/>
  <c r="K429"/>
  <c r="K428"/>
  <c r="K427"/>
  <c r="K423"/>
  <c r="K422"/>
  <c r="K421"/>
  <c r="K420"/>
  <c r="K419"/>
  <c r="K418"/>
  <c r="K414"/>
  <c r="K413"/>
  <c r="K412"/>
  <c r="K411"/>
  <c r="K410"/>
  <c r="K409"/>
  <c r="K405"/>
  <c r="K404"/>
  <c r="K403"/>
  <c r="K402"/>
  <c r="K401"/>
  <c r="K400"/>
  <c r="K396"/>
  <c r="K395"/>
  <c r="K394"/>
  <c r="K393"/>
  <c r="K392"/>
  <c r="K391"/>
  <c r="K387"/>
  <c r="K386"/>
  <c r="K385"/>
  <c r="K384"/>
  <c r="K383"/>
  <c r="K382"/>
  <c r="K378"/>
  <c r="K377"/>
  <c r="K376"/>
  <c r="K375"/>
  <c r="K374"/>
  <c r="K373"/>
  <c r="K369"/>
  <c r="K368"/>
  <c r="K367"/>
  <c r="K366"/>
  <c r="K365"/>
  <c r="K364"/>
  <c r="K360"/>
  <c r="K359"/>
  <c r="K358"/>
  <c r="K357"/>
  <c r="K356"/>
  <c r="K355"/>
  <c r="K351"/>
  <c r="K350"/>
  <c r="K349"/>
  <c r="K348"/>
  <c r="K347"/>
  <c r="K346"/>
  <c r="K342"/>
  <c r="K341"/>
  <c r="K340"/>
  <c r="K339"/>
  <c r="K338"/>
  <c r="K337"/>
  <c r="K329"/>
  <c r="K328"/>
  <c r="K327"/>
  <c r="K326"/>
  <c r="K325"/>
  <c r="K324"/>
  <c r="K320"/>
  <c r="K319"/>
  <c r="K318"/>
  <c r="K317"/>
  <c r="K316"/>
  <c r="K315"/>
  <c r="K311"/>
  <c r="K310"/>
  <c r="K309"/>
  <c r="K308"/>
  <c r="K307"/>
  <c r="K306"/>
  <c r="K302"/>
  <c r="K301"/>
  <c r="K300"/>
  <c r="K299"/>
  <c r="K298"/>
  <c r="K297"/>
  <c r="K291"/>
  <c r="K290"/>
  <c r="K289"/>
  <c r="K288"/>
  <c r="K287"/>
  <c r="K286"/>
  <c r="K282"/>
  <c r="K281"/>
  <c r="K280"/>
  <c r="K279"/>
  <c r="K278"/>
  <c r="K277"/>
  <c r="K273"/>
  <c r="K272"/>
  <c r="K271"/>
  <c r="K270"/>
  <c r="K269"/>
  <c r="K268"/>
  <c r="K264"/>
  <c r="K263"/>
  <c r="K262"/>
  <c r="K261"/>
  <c r="K260"/>
  <c r="K259"/>
  <c r="K254"/>
  <c r="K253"/>
  <c r="K252"/>
  <c r="K251"/>
  <c r="K250"/>
  <c r="K249"/>
  <c r="K245"/>
  <c r="K244"/>
  <c r="K243"/>
  <c r="K242"/>
  <c r="K241"/>
  <c r="K240"/>
  <c r="K231"/>
  <c r="K230"/>
  <c r="K229"/>
  <c r="K228"/>
  <c r="K227"/>
  <c r="K226"/>
  <c r="K218"/>
  <c r="K217"/>
  <c r="K216"/>
  <c r="K215"/>
  <c r="K214"/>
  <c r="K213"/>
  <c r="K204"/>
  <c r="K205"/>
  <c r="K206"/>
  <c r="K207"/>
  <c r="K208"/>
  <c r="K203"/>
  <c r="K194" s="1"/>
  <c r="K184"/>
  <c r="K188"/>
  <c r="I188"/>
  <c r="K187"/>
  <c r="I187"/>
  <c r="K186"/>
  <c r="I186"/>
  <c r="K185"/>
  <c r="I185"/>
  <c r="K183"/>
  <c r="I183"/>
  <c r="K178"/>
  <c r="K169" s="1"/>
  <c r="I178"/>
  <c r="K177"/>
  <c r="K168" s="1"/>
  <c r="I177"/>
  <c r="K176"/>
  <c r="I176"/>
  <c r="K175"/>
  <c r="K166"/>
  <c r="I175"/>
  <c r="K174"/>
  <c r="K165" s="1"/>
  <c r="K173"/>
  <c r="K126"/>
  <c r="K133"/>
  <c r="K148"/>
  <c r="K156"/>
  <c r="K157"/>
  <c r="K158"/>
  <c r="K159"/>
  <c r="K160"/>
  <c r="I160"/>
  <c r="I159"/>
  <c r="I157"/>
  <c r="K155"/>
  <c r="I155"/>
  <c r="K153"/>
  <c r="I153"/>
  <c r="K152"/>
  <c r="I152"/>
  <c r="K151"/>
  <c r="I151"/>
  <c r="K150"/>
  <c r="I150"/>
  <c r="K149"/>
  <c r="I149"/>
  <c r="K146"/>
  <c r="I146"/>
  <c r="K145"/>
  <c r="I145"/>
  <c r="K144"/>
  <c r="I144"/>
  <c r="K143"/>
  <c r="I143"/>
  <c r="K142"/>
  <c r="I142"/>
  <c r="K138"/>
  <c r="I138"/>
  <c r="K137"/>
  <c r="I137"/>
  <c r="K136"/>
  <c r="I136"/>
  <c r="K135"/>
  <c r="I135"/>
  <c r="K134"/>
  <c r="I134"/>
  <c r="K131"/>
  <c r="K123"/>
  <c r="I131"/>
  <c r="K130"/>
  <c r="K122" s="1"/>
  <c r="I130"/>
  <c r="K129"/>
  <c r="K121" s="1"/>
  <c r="I129"/>
  <c r="K128"/>
  <c r="I128"/>
  <c r="K127"/>
  <c r="K119" s="1"/>
  <c r="I127"/>
  <c r="K114"/>
  <c r="K113"/>
  <c r="K112"/>
  <c r="K111"/>
  <c r="K110"/>
  <c r="K109"/>
  <c r="I114"/>
  <c r="I113"/>
  <c r="I111"/>
  <c r="I109"/>
  <c r="K107"/>
  <c r="K99" s="1"/>
  <c r="I107"/>
  <c r="K106"/>
  <c r="I106"/>
  <c r="K105"/>
  <c r="I105"/>
  <c r="K104"/>
  <c r="I104"/>
  <c r="K103"/>
  <c r="K95" s="1"/>
  <c r="K81"/>
  <c r="K80"/>
  <c r="K79"/>
  <c r="K78"/>
  <c r="K77"/>
  <c r="K76"/>
  <c r="K71"/>
  <c r="K70"/>
  <c r="K69"/>
  <c r="K68"/>
  <c r="K67"/>
  <c r="K66"/>
  <c r="K65"/>
  <c r="K55"/>
  <c r="K54"/>
  <c r="K53"/>
  <c r="K52"/>
  <c r="K51"/>
  <c r="K50"/>
  <c r="K42"/>
  <c r="K33"/>
  <c r="K43"/>
  <c r="K44"/>
  <c r="K35" s="1"/>
  <c r="K45"/>
  <c r="K46"/>
  <c r="K41"/>
  <c r="N81"/>
  <c r="I81"/>
  <c r="N80"/>
  <c r="I80"/>
  <c r="N71"/>
  <c r="I71"/>
  <c r="N70"/>
  <c r="I70"/>
  <c r="M75"/>
  <c r="L75"/>
  <c r="J75"/>
  <c r="H75"/>
  <c r="G75"/>
  <c r="M65"/>
  <c r="L65"/>
  <c r="J65"/>
  <c r="H65"/>
  <c r="G65"/>
  <c r="M49"/>
  <c r="L49"/>
  <c r="J49"/>
  <c r="H49"/>
  <c r="G49"/>
  <c r="I49" s="1"/>
  <c r="N55"/>
  <c r="I55"/>
  <c r="N54"/>
  <c r="I54"/>
  <c r="I46"/>
  <c r="K720"/>
  <c r="I720"/>
  <c r="K719"/>
  <c r="I719"/>
  <c r="K718"/>
  <c r="I718"/>
  <c r="K711"/>
  <c r="I711"/>
  <c r="K710"/>
  <c r="K701" s="1"/>
  <c r="I710"/>
  <c r="K709"/>
  <c r="I709"/>
  <c r="K950"/>
  <c r="K941" s="1"/>
  <c r="K949"/>
  <c r="K940" s="1"/>
  <c r="K948"/>
  <c r="K947"/>
  <c r="K938" s="1"/>
  <c r="K930"/>
  <c r="K921" s="1"/>
  <c r="K928"/>
  <c r="K927"/>
  <c r="K914"/>
  <c r="K905" s="1"/>
  <c r="K913"/>
  <c r="K904" s="1"/>
  <c r="K912"/>
  <c r="K903" s="1"/>
  <c r="K911"/>
  <c r="K902" s="1"/>
  <c r="K910"/>
  <c r="K901" s="1"/>
  <c r="K909"/>
  <c r="K900" s="1"/>
  <c r="K891"/>
  <c r="K890"/>
  <c r="K889"/>
  <c r="K881"/>
  <c r="K879"/>
  <c r="K869"/>
  <c r="K868"/>
  <c r="K867"/>
  <c r="K866" s="1"/>
  <c r="K862"/>
  <c r="K859"/>
  <c r="K858"/>
  <c r="K857"/>
  <c r="K847"/>
  <c r="K846"/>
  <c r="K841"/>
  <c r="K838"/>
  <c r="K837"/>
  <c r="K836"/>
  <c r="K830"/>
  <c r="K827"/>
  <c r="K826"/>
  <c r="K825"/>
  <c r="K820"/>
  <c r="K817"/>
  <c r="K816"/>
  <c r="K815"/>
  <c r="K809"/>
  <c r="K806"/>
  <c r="K805"/>
  <c r="K803" s="1"/>
  <c r="K804"/>
  <c r="K799"/>
  <c r="K797"/>
  <c r="K796"/>
  <c r="K795"/>
  <c r="K794"/>
  <c r="K793" s="1"/>
  <c r="K788"/>
  <c r="K785"/>
  <c r="K784"/>
  <c r="K783"/>
  <c r="K782" s="1"/>
  <c r="K774"/>
  <c r="K773"/>
  <c r="K771" s="1"/>
  <c r="K772"/>
  <c r="K768"/>
  <c r="K765"/>
  <c r="K764"/>
  <c r="K762" s="1"/>
  <c r="K763"/>
  <c r="K758"/>
  <c r="K755"/>
  <c r="K754"/>
  <c r="K753"/>
  <c r="K749"/>
  <c r="K746"/>
  <c r="K745"/>
  <c r="K744"/>
  <c r="K739"/>
  <c r="K736"/>
  <c r="K735"/>
  <c r="K734"/>
  <c r="K733"/>
  <c r="K730"/>
  <c r="K727"/>
  <c r="K726"/>
  <c r="K725"/>
  <c r="K717"/>
  <c r="K716"/>
  <c r="K715"/>
  <c r="K714"/>
  <c r="K670"/>
  <c r="K669"/>
  <c r="K660" s="1"/>
  <c r="K668"/>
  <c r="K667"/>
  <c r="K658" s="1"/>
  <c r="K666"/>
  <c r="K665"/>
  <c r="K664" s="1"/>
  <c r="K692"/>
  <c r="K683" s="1"/>
  <c r="K691"/>
  <c r="K690"/>
  <c r="K681" s="1"/>
  <c r="K689"/>
  <c r="K680" s="1"/>
  <c r="K688"/>
  <c r="K687"/>
  <c r="K678" s="1"/>
  <c r="K708"/>
  <c r="K707"/>
  <c r="K706"/>
  <c r="K643"/>
  <c r="K642"/>
  <c r="K641"/>
  <c r="K640"/>
  <c r="K639"/>
  <c r="K638"/>
  <c r="K630"/>
  <c r="K632"/>
  <c r="K625" s="1"/>
  <c r="K616" s="1"/>
  <c r="K633"/>
  <c r="K634"/>
  <c r="K635"/>
  <c r="K628" s="1"/>
  <c r="K619" s="1"/>
  <c r="K631"/>
  <c r="K624" s="1"/>
  <c r="I903"/>
  <c r="I914"/>
  <c r="N913"/>
  <c r="I913"/>
  <c r="N912"/>
  <c r="I912"/>
  <c r="N911"/>
  <c r="I911"/>
  <c r="N910"/>
  <c r="N909"/>
  <c r="I909"/>
  <c r="M908"/>
  <c r="J908"/>
  <c r="G908"/>
  <c r="N565"/>
  <c r="N564"/>
  <c r="N563"/>
  <c r="N562"/>
  <c r="N561"/>
  <c r="I561"/>
  <c r="N560"/>
  <c r="I560"/>
  <c r="M559"/>
  <c r="L559"/>
  <c r="J559"/>
  <c r="H559"/>
  <c r="G559"/>
  <c r="N552"/>
  <c r="N551"/>
  <c r="N550"/>
  <c r="N549"/>
  <c r="N548"/>
  <c r="I548"/>
  <c r="N547"/>
  <c r="I547"/>
  <c r="M546"/>
  <c r="L546"/>
  <c r="J546"/>
  <c r="H546"/>
  <c r="G546"/>
  <c r="N539"/>
  <c r="N538"/>
  <c r="N537"/>
  <c r="N536"/>
  <c r="N535"/>
  <c r="I535"/>
  <c r="N534"/>
  <c r="I534"/>
  <c r="M533"/>
  <c r="L533"/>
  <c r="J533"/>
  <c r="H533"/>
  <c r="G533"/>
  <c r="N527"/>
  <c r="N526"/>
  <c r="N525"/>
  <c r="I525"/>
  <c r="N524"/>
  <c r="N523"/>
  <c r="I523"/>
  <c r="N522"/>
  <c r="I522"/>
  <c r="M521"/>
  <c r="L521"/>
  <c r="J521"/>
  <c r="H521"/>
  <c r="G521"/>
  <c r="N516"/>
  <c r="I516"/>
  <c r="N515"/>
  <c r="I515"/>
  <c r="N514"/>
  <c r="I514"/>
  <c r="N513"/>
  <c r="I513"/>
  <c r="I512"/>
  <c r="N511"/>
  <c r="K511"/>
  <c r="I511"/>
  <c r="M510"/>
  <c r="J510"/>
  <c r="H510"/>
  <c r="G510"/>
  <c r="I510" s="1"/>
  <c r="N498"/>
  <c r="N496"/>
  <c r="N495"/>
  <c r="N494"/>
  <c r="I494"/>
  <c r="N493"/>
  <c r="M492"/>
  <c r="L492"/>
  <c r="J492"/>
  <c r="G492"/>
  <c r="N488"/>
  <c r="I488"/>
  <c r="I487"/>
  <c r="N486"/>
  <c r="I486"/>
  <c r="N485"/>
  <c r="I485"/>
  <c r="N484"/>
  <c r="I484"/>
  <c r="N483"/>
  <c r="I483"/>
  <c r="M482"/>
  <c r="L482"/>
  <c r="K482"/>
  <c r="J482"/>
  <c r="H482"/>
  <c r="G482"/>
  <c r="I482"/>
  <c r="N479"/>
  <c r="I479"/>
  <c r="N478"/>
  <c r="I478"/>
  <c r="N477"/>
  <c r="I477"/>
  <c r="N476"/>
  <c r="I476"/>
  <c r="N475"/>
  <c r="I475"/>
  <c r="N474"/>
  <c r="M473"/>
  <c r="L473"/>
  <c r="J473"/>
  <c r="G473"/>
  <c r="N470"/>
  <c r="I470"/>
  <c r="N469"/>
  <c r="I469"/>
  <c r="N468"/>
  <c r="I468"/>
  <c r="N467"/>
  <c r="I467"/>
  <c r="N466"/>
  <c r="I466"/>
  <c r="N465"/>
  <c r="I465"/>
  <c r="M464"/>
  <c r="L464"/>
  <c r="J464"/>
  <c r="H464"/>
  <c r="G464"/>
  <c r="I464" s="1"/>
  <c r="N460"/>
  <c r="I460"/>
  <c r="N459"/>
  <c r="I459"/>
  <c r="N458"/>
  <c r="I458"/>
  <c r="N457"/>
  <c r="I457"/>
  <c r="N456"/>
  <c r="I456"/>
  <c r="N455"/>
  <c r="I455"/>
  <c r="M454"/>
  <c r="L454"/>
  <c r="J454"/>
  <c r="G454"/>
  <c r="N450"/>
  <c r="I450"/>
  <c r="N449"/>
  <c r="I449"/>
  <c r="N448"/>
  <c r="I448"/>
  <c r="N447"/>
  <c r="I447"/>
  <c r="N446"/>
  <c r="N445"/>
  <c r="I445"/>
  <c r="M444"/>
  <c r="N444" s="1"/>
  <c r="L444"/>
  <c r="K444"/>
  <c r="J444"/>
  <c r="H444"/>
  <c r="G444"/>
  <c r="N441"/>
  <c r="I441"/>
  <c r="N440"/>
  <c r="I440"/>
  <c r="N439"/>
  <c r="I439"/>
  <c r="N438"/>
  <c r="I438"/>
  <c r="N437"/>
  <c r="N436"/>
  <c r="I436"/>
  <c r="M435"/>
  <c r="L435"/>
  <c r="N435" s="1"/>
  <c r="J435"/>
  <c r="H435"/>
  <c r="G435"/>
  <c r="N432"/>
  <c r="I432"/>
  <c r="N431"/>
  <c r="I431"/>
  <c r="N430"/>
  <c r="I430"/>
  <c r="N429"/>
  <c r="I429"/>
  <c r="N428"/>
  <c r="N427"/>
  <c r="I427"/>
  <c r="M426"/>
  <c r="L426"/>
  <c r="J426"/>
  <c r="H426"/>
  <c r="G426"/>
  <c r="N423"/>
  <c r="I423"/>
  <c r="N422"/>
  <c r="I422"/>
  <c r="N421"/>
  <c r="I421"/>
  <c r="N420"/>
  <c r="I420"/>
  <c r="N419"/>
  <c r="I419"/>
  <c r="N418"/>
  <c r="I418"/>
  <c r="M417"/>
  <c r="L417"/>
  <c r="N417" s="1"/>
  <c r="J417"/>
  <c r="H417"/>
  <c r="I417" s="1"/>
  <c r="G417"/>
  <c r="N414"/>
  <c r="I414"/>
  <c r="N413"/>
  <c r="I413"/>
  <c r="N412"/>
  <c r="I412"/>
  <c r="N411"/>
  <c r="I411"/>
  <c r="N410"/>
  <c r="I410"/>
  <c r="N409"/>
  <c r="I409"/>
  <c r="M408"/>
  <c r="L408"/>
  <c r="J408"/>
  <c r="G408"/>
  <c r="N405"/>
  <c r="I405"/>
  <c r="N404"/>
  <c r="I404"/>
  <c r="N403"/>
  <c r="I403"/>
  <c r="N402"/>
  <c r="I402"/>
  <c r="N401"/>
  <c r="I401"/>
  <c r="N400"/>
  <c r="I400"/>
  <c r="M399"/>
  <c r="L399"/>
  <c r="K399"/>
  <c r="J399"/>
  <c r="H399"/>
  <c r="G399"/>
  <c r="I399"/>
  <c r="N396"/>
  <c r="I396"/>
  <c r="N395"/>
  <c r="I395"/>
  <c r="N394"/>
  <c r="I394"/>
  <c r="N393"/>
  <c r="I393"/>
  <c r="N392"/>
  <c r="I392"/>
  <c r="N391"/>
  <c r="I391"/>
  <c r="M390"/>
  <c r="N390"/>
  <c r="L390"/>
  <c r="K390"/>
  <c r="J390"/>
  <c r="H390"/>
  <c r="I390" s="1"/>
  <c r="G390"/>
  <c r="N387"/>
  <c r="I387"/>
  <c r="N386"/>
  <c r="I386"/>
  <c r="N385"/>
  <c r="I385"/>
  <c r="N384"/>
  <c r="I384"/>
  <c r="N383"/>
  <c r="N382"/>
  <c r="I382"/>
  <c r="M381"/>
  <c r="L381"/>
  <c r="N381" s="1"/>
  <c r="J381"/>
  <c r="H381"/>
  <c r="G381"/>
  <c r="N378"/>
  <c r="I378"/>
  <c r="N377"/>
  <c r="I377"/>
  <c r="N376"/>
  <c r="I376"/>
  <c r="N375"/>
  <c r="I375"/>
  <c r="N374"/>
  <c r="N373"/>
  <c r="I373"/>
  <c r="M372"/>
  <c r="L372"/>
  <c r="J372"/>
  <c r="G372"/>
  <c r="N369"/>
  <c r="I369"/>
  <c r="N368"/>
  <c r="I368"/>
  <c r="N367"/>
  <c r="I367"/>
  <c r="N366"/>
  <c r="I366"/>
  <c r="N365"/>
  <c r="N364"/>
  <c r="I364"/>
  <c r="M363"/>
  <c r="L363"/>
  <c r="J363"/>
  <c r="G363"/>
  <c r="N360"/>
  <c r="I360"/>
  <c r="N359"/>
  <c r="I359"/>
  <c r="N358"/>
  <c r="I358"/>
  <c r="N357"/>
  <c r="I357"/>
  <c r="N356"/>
  <c r="N355"/>
  <c r="I355"/>
  <c r="M354"/>
  <c r="L354"/>
  <c r="J354"/>
  <c r="G354"/>
  <c r="N351"/>
  <c r="I351"/>
  <c r="N350"/>
  <c r="I350"/>
  <c r="N349"/>
  <c r="N348"/>
  <c r="I348"/>
  <c r="N347"/>
  <c r="N346"/>
  <c r="I346"/>
  <c r="M345"/>
  <c r="L345"/>
  <c r="N345" s="1"/>
  <c r="K345"/>
  <c r="J345"/>
  <c r="H345"/>
  <c r="G345"/>
  <c r="N342"/>
  <c r="I342"/>
  <c r="N341"/>
  <c r="I341"/>
  <c r="N340"/>
  <c r="N339"/>
  <c r="I339"/>
  <c r="N338"/>
  <c r="I338"/>
  <c r="N337"/>
  <c r="I337"/>
  <c r="M336"/>
  <c r="L336"/>
  <c r="J336"/>
  <c r="G336"/>
  <c r="N329"/>
  <c r="I329"/>
  <c r="N328"/>
  <c r="I328"/>
  <c r="N327"/>
  <c r="N326"/>
  <c r="I326"/>
  <c r="N325"/>
  <c r="I325"/>
  <c r="N324"/>
  <c r="I324"/>
  <c r="M323"/>
  <c r="L323"/>
  <c r="N323" s="1"/>
  <c r="J323"/>
  <c r="G323"/>
  <c r="N320"/>
  <c r="I320"/>
  <c r="N319"/>
  <c r="I319"/>
  <c r="N318"/>
  <c r="I318"/>
  <c r="N317"/>
  <c r="I317"/>
  <c r="N316"/>
  <c r="I316"/>
  <c r="N315"/>
  <c r="I315"/>
  <c r="M314"/>
  <c r="L314"/>
  <c r="K314"/>
  <c r="J314"/>
  <c r="H314"/>
  <c r="G314"/>
  <c r="I311"/>
  <c r="N310"/>
  <c r="I310"/>
  <c r="N309"/>
  <c r="I309"/>
  <c r="N308"/>
  <c r="I308"/>
  <c r="N307"/>
  <c r="I307"/>
  <c r="N306"/>
  <c r="I306"/>
  <c r="M305"/>
  <c r="L305"/>
  <c r="J305"/>
  <c r="H305"/>
  <c r="G305"/>
  <c r="N302"/>
  <c r="I302"/>
  <c r="N301"/>
  <c r="I301"/>
  <c r="N300"/>
  <c r="I300"/>
  <c r="N299"/>
  <c r="I299"/>
  <c r="N298"/>
  <c r="I298"/>
  <c r="N297"/>
  <c r="I297"/>
  <c r="M296"/>
  <c r="L296"/>
  <c r="J296"/>
  <c r="G296"/>
  <c r="I296" s="1"/>
  <c r="N291"/>
  <c r="I291"/>
  <c r="N290"/>
  <c r="I290"/>
  <c r="N289"/>
  <c r="I289"/>
  <c r="N288"/>
  <c r="I288"/>
  <c r="N287"/>
  <c r="N286"/>
  <c r="I286"/>
  <c r="M285"/>
  <c r="L285"/>
  <c r="J285"/>
  <c r="G285"/>
  <c r="N282"/>
  <c r="I282"/>
  <c r="N281"/>
  <c r="I281"/>
  <c r="N280"/>
  <c r="I280"/>
  <c r="N279"/>
  <c r="I279"/>
  <c r="N278"/>
  <c r="N277"/>
  <c r="I277"/>
  <c r="M276"/>
  <c r="L276"/>
  <c r="N276" s="1"/>
  <c r="J276"/>
  <c r="G276"/>
  <c r="N273"/>
  <c r="I273"/>
  <c r="N272"/>
  <c r="I272"/>
  <c r="N271"/>
  <c r="I271"/>
  <c r="N270"/>
  <c r="I270"/>
  <c r="N269"/>
  <c r="I269"/>
  <c r="N268"/>
  <c r="I268"/>
  <c r="M267"/>
  <c r="L267"/>
  <c r="J267"/>
  <c r="G267"/>
  <c r="N264"/>
  <c r="I264"/>
  <c r="N263"/>
  <c r="I263"/>
  <c r="N262"/>
  <c r="I262"/>
  <c r="N261"/>
  <c r="I261"/>
  <c r="N260"/>
  <c r="I260"/>
  <c r="N259"/>
  <c r="I259"/>
  <c r="M258"/>
  <c r="L258"/>
  <c r="J258"/>
  <c r="G258"/>
  <c r="N254"/>
  <c r="I254"/>
  <c r="N253"/>
  <c r="I253"/>
  <c r="N252"/>
  <c r="N251"/>
  <c r="I251"/>
  <c r="N250"/>
  <c r="N249"/>
  <c r="M248"/>
  <c r="L248"/>
  <c r="N248" s="1"/>
  <c r="J248"/>
  <c r="G248"/>
  <c r="N245"/>
  <c r="I245"/>
  <c r="N244"/>
  <c r="I244"/>
  <c r="N243"/>
  <c r="N242"/>
  <c r="I242"/>
  <c r="N241"/>
  <c r="I241"/>
  <c r="N240"/>
  <c r="I240"/>
  <c r="M239"/>
  <c r="N239" s="1"/>
  <c r="L239"/>
  <c r="J239"/>
  <c r="G239"/>
  <c r="N231"/>
  <c r="I231"/>
  <c r="N230"/>
  <c r="I230"/>
  <c r="N229"/>
  <c r="I229"/>
  <c r="N228"/>
  <c r="I228"/>
  <c r="N227"/>
  <c r="N226"/>
  <c r="I226"/>
  <c r="M225"/>
  <c r="L225"/>
  <c r="N225" s="1"/>
  <c r="K225"/>
  <c r="J225"/>
  <c r="H225"/>
  <c r="G225"/>
  <c r="I225" s="1"/>
  <c r="N218"/>
  <c r="I218"/>
  <c r="N217"/>
  <c r="I217"/>
  <c r="N216"/>
  <c r="I216"/>
  <c r="N215"/>
  <c r="I215"/>
  <c r="N214"/>
  <c r="I214"/>
  <c r="N213"/>
  <c r="I213"/>
  <c r="M212"/>
  <c r="L212"/>
  <c r="J212"/>
  <c r="G212"/>
  <c r="N208"/>
  <c r="I208"/>
  <c r="N207"/>
  <c r="I207"/>
  <c r="N206"/>
  <c r="I206"/>
  <c r="N205"/>
  <c r="I205"/>
  <c r="N204"/>
  <c r="N203"/>
  <c r="I203"/>
  <c r="M202"/>
  <c r="L202"/>
  <c r="J202"/>
  <c r="G202"/>
  <c r="N37"/>
  <c r="N79"/>
  <c r="I79"/>
  <c r="N78"/>
  <c r="I78"/>
  <c r="N77"/>
  <c r="I77"/>
  <c r="N76"/>
  <c r="I76"/>
  <c r="N69"/>
  <c r="I69"/>
  <c r="N68"/>
  <c r="I68"/>
  <c r="N67"/>
  <c r="I67"/>
  <c r="N66"/>
  <c r="I66"/>
  <c r="N53"/>
  <c r="I53"/>
  <c r="N52"/>
  <c r="I52"/>
  <c r="N51"/>
  <c r="I51"/>
  <c r="N50"/>
  <c r="I50"/>
  <c r="N46"/>
  <c r="N45"/>
  <c r="I45"/>
  <c r="N44"/>
  <c r="I44"/>
  <c r="N43"/>
  <c r="I43"/>
  <c r="N42"/>
  <c r="I42"/>
  <c r="N41"/>
  <c r="I41"/>
  <c r="M40"/>
  <c r="L40"/>
  <c r="N40" s="1"/>
  <c r="J40"/>
  <c r="H40"/>
  <c r="I40" s="1"/>
  <c r="G40"/>
  <c r="I184"/>
  <c r="N174"/>
  <c r="I174"/>
  <c r="N952"/>
  <c r="N951"/>
  <c r="N950"/>
  <c r="I950"/>
  <c r="N949"/>
  <c r="I949"/>
  <c r="N948"/>
  <c r="I948"/>
  <c r="N947"/>
  <c r="I947"/>
  <c r="M946"/>
  <c r="L946"/>
  <c r="N946" s="1"/>
  <c r="J946"/>
  <c r="H946"/>
  <c r="G946"/>
  <c r="M943"/>
  <c r="L943"/>
  <c r="N943" s="1"/>
  <c r="J943"/>
  <c r="H943"/>
  <c r="G943"/>
  <c r="I943" s="1"/>
  <c r="M942"/>
  <c r="L942"/>
  <c r="N942" s="1"/>
  <c r="J942"/>
  <c r="H942"/>
  <c r="G942"/>
  <c r="I942" s="1"/>
  <c r="M941"/>
  <c r="L941"/>
  <c r="N941" s="1"/>
  <c r="J941"/>
  <c r="J937" s="1"/>
  <c r="H941"/>
  <c r="G941"/>
  <c r="I941" s="1"/>
  <c r="M940"/>
  <c r="L940"/>
  <c r="N940" s="1"/>
  <c r="J940"/>
  <c r="H940"/>
  <c r="G940"/>
  <c r="M939"/>
  <c r="L939"/>
  <c r="K939"/>
  <c r="J939"/>
  <c r="H939"/>
  <c r="I939" s="1"/>
  <c r="G939"/>
  <c r="M938"/>
  <c r="L938"/>
  <c r="N938"/>
  <c r="J938"/>
  <c r="H938"/>
  <c r="H937" s="1"/>
  <c r="G938"/>
  <c r="I938"/>
  <c r="N932"/>
  <c r="N931"/>
  <c r="N930"/>
  <c r="I930"/>
  <c r="N929"/>
  <c r="N928"/>
  <c r="I928"/>
  <c r="N927"/>
  <c r="I927"/>
  <c r="M926"/>
  <c r="L926"/>
  <c r="J926"/>
  <c r="H926"/>
  <c r="G926"/>
  <c r="I926" s="1"/>
  <c r="M923"/>
  <c r="L923"/>
  <c r="N923" s="1"/>
  <c r="J923"/>
  <c r="H923"/>
  <c r="G923"/>
  <c r="I923" s="1"/>
  <c r="M922"/>
  <c r="L922"/>
  <c r="N922" s="1"/>
  <c r="K922"/>
  <c r="J922"/>
  <c r="H922"/>
  <c r="G922"/>
  <c r="I922"/>
  <c r="M921"/>
  <c r="L921"/>
  <c r="N921" s="1"/>
  <c r="J921"/>
  <c r="H921"/>
  <c r="I921" s="1"/>
  <c r="G921"/>
  <c r="M920"/>
  <c r="L920"/>
  <c r="N920"/>
  <c r="J920"/>
  <c r="H920"/>
  <c r="G920"/>
  <c r="I920"/>
  <c r="M919"/>
  <c r="L919"/>
  <c r="J919"/>
  <c r="H919"/>
  <c r="I919" s="1"/>
  <c r="G919"/>
  <c r="M918"/>
  <c r="N918" s="1"/>
  <c r="L918"/>
  <c r="J918"/>
  <c r="J917" s="1"/>
  <c r="H918"/>
  <c r="G918"/>
  <c r="G917" s="1"/>
  <c r="N894"/>
  <c r="N893"/>
  <c r="N892"/>
  <c r="N891"/>
  <c r="I891"/>
  <c r="N890"/>
  <c r="I890"/>
  <c r="N889"/>
  <c r="I889"/>
  <c r="M888"/>
  <c r="L888"/>
  <c r="J888"/>
  <c r="H888"/>
  <c r="G888"/>
  <c r="N884"/>
  <c r="N883"/>
  <c r="N882"/>
  <c r="N881"/>
  <c r="I881"/>
  <c r="N880"/>
  <c r="N879"/>
  <c r="I879"/>
  <c r="M878"/>
  <c r="L878"/>
  <c r="N878" s="1"/>
  <c r="J878"/>
  <c r="H878"/>
  <c r="G878"/>
  <c r="N872"/>
  <c r="N871"/>
  <c r="N870"/>
  <c r="N869"/>
  <c r="I869"/>
  <c r="N868"/>
  <c r="I868"/>
  <c r="N867"/>
  <c r="I867"/>
  <c r="M866"/>
  <c r="L866"/>
  <c r="J866"/>
  <c r="H866"/>
  <c r="G866"/>
  <c r="N862"/>
  <c r="I862"/>
  <c r="N861"/>
  <c r="N860"/>
  <c r="N859"/>
  <c r="I859"/>
  <c r="N858"/>
  <c r="I858"/>
  <c r="N857"/>
  <c r="I857"/>
  <c r="M856"/>
  <c r="N856" s="1"/>
  <c r="L856"/>
  <c r="J856"/>
  <c r="H856"/>
  <c r="G856"/>
  <c r="I856" s="1"/>
  <c r="N851"/>
  <c r="N850"/>
  <c r="N849"/>
  <c r="N848"/>
  <c r="N847"/>
  <c r="I847"/>
  <c r="N846"/>
  <c r="I846"/>
  <c r="M845"/>
  <c r="L845"/>
  <c r="N845" s="1"/>
  <c r="J845"/>
  <c r="H845"/>
  <c r="G845"/>
  <c r="I845"/>
  <c r="N841"/>
  <c r="I841"/>
  <c r="N840"/>
  <c r="N839"/>
  <c r="N838"/>
  <c r="I838"/>
  <c r="N837"/>
  <c r="I837"/>
  <c r="N836"/>
  <c r="I836"/>
  <c r="M835"/>
  <c r="L835"/>
  <c r="N835" s="1"/>
  <c r="J835"/>
  <c r="H835"/>
  <c r="I835" s="1"/>
  <c r="G835"/>
  <c r="N830"/>
  <c r="I830"/>
  <c r="N829"/>
  <c r="N828"/>
  <c r="N827"/>
  <c r="I827"/>
  <c r="N826"/>
  <c r="I826"/>
  <c r="N825"/>
  <c r="I825"/>
  <c r="M824"/>
  <c r="L824"/>
  <c r="N824"/>
  <c r="J824"/>
  <c r="H824"/>
  <c r="G824"/>
  <c r="I824"/>
  <c r="N820"/>
  <c r="I820"/>
  <c r="N819"/>
  <c r="N818"/>
  <c r="N817"/>
  <c r="I817"/>
  <c r="N816"/>
  <c r="I816"/>
  <c r="N815"/>
  <c r="I815"/>
  <c r="M814"/>
  <c r="L814"/>
  <c r="N814" s="1"/>
  <c r="J814"/>
  <c r="H814"/>
  <c r="G814"/>
  <c r="N809"/>
  <c r="I809"/>
  <c r="N808"/>
  <c r="N807"/>
  <c r="N806"/>
  <c r="I806"/>
  <c r="N805"/>
  <c r="I805"/>
  <c r="N804"/>
  <c r="I804"/>
  <c r="M803"/>
  <c r="N803" s="1"/>
  <c r="L803"/>
  <c r="J803"/>
  <c r="H803"/>
  <c r="G803"/>
  <c r="I803" s="1"/>
  <c r="N799"/>
  <c r="I799"/>
  <c r="N798"/>
  <c r="N797"/>
  <c r="I797"/>
  <c r="N796"/>
  <c r="I796"/>
  <c r="N795"/>
  <c r="I795"/>
  <c r="N794"/>
  <c r="I794"/>
  <c r="M793"/>
  <c r="L793"/>
  <c r="J793"/>
  <c r="H793"/>
  <c r="G793"/>
  <c r="I793" s="1"/>
  <c r="N788"/>
  <c r="I788"/>
  <c r="N787"/>
  <c r="N786"/>
  <c r="N785"/>
  <c r="I785"/>
  <c r="N784"/>
  <c r="I784"/>
  <c r="N783"/>
  <c r="I783"/>
  <c r="M782"/>
  <c r="L782"/>
  <c r="N782" s="1"/>
  <c r="J782"/>
  <c r="H782"/>
  <c r="G782"/>
  <c r="I782"/>
  <c r="N777"/>
  <c r="N776"/>
  <c r="N775"/>
  <c r="N774"/>
  <c r="I774"/>
  <c r="N773"/>
  <c r="I773"/>
  <c r="N772"/>
  <c r="I772"/>
  <c r="M771"/>
  <c r="N771" s="1"/>
  <c r="L771"/>
  <c r="J771"/>
  <c r="H771"/>
  <c r="G771"/>
  <c r="I771" s="1"/>
  <c r="N768"/>
  <c r="I768"/>
  <c r="N767"/>
  <c r="N766"/>
  <c r="N765"/>
  <c r="I765"/>
  <c r="N764"/>
  <c r="I764"/>
  <c r="N763"/>
  <c r="I763"/>
  <c r="M762"/>
  <c r="L762"/>
  <c r="N762" s="1"/>
  <c r="J762"/>
  <c r="H762"/>
  <c r="G762"/>
  <c r="N758"/>
  <c r="I758"/>
  <c r="N757"/>
  <c r="N756"/>
  <c r="N755"/>
  <c r="I755"/>
  <c r="N754"/>
  <c r="I754"/>
  <c r="N753"/>
  <c r="I753"/>
  <c r="M752"/>
  <c r="L752"/>
  <c r="J752"/>
  <c r="H752"/>
  <c r="G752"/>
  <c r="N749"/>
  <c r="I749"/>
  <c r="N748"/>
  <c r="N747"/>
  <c r="N746"/>
  <c r="I746"/>
  <c r="N745"/>
  <c r="I745"/>
  <c r="N744"/>
  <c r="I744"/>
  <c r="M743"/>
  <c r="L743"/>
  <c r="N743" s="1"/>
  <c r="J743"/>
  <c r="H743"/>
  <c r="G743"/>
  <c r="N739"/>
  <c r="I739"/>
  <c r="N738"/>
  <c r="N737"/>
  <c r="N736"/>
  <c r="I736"/>
  <c r="N735"/>
  <c r="I735"/>
  <c r="N734"/>
  <c r="I734"/>
  <c r="M733"/>
  <c r="L733"/>
  <c r="J733"/>
  <c r="H733"/>
  <c r="G733"/>
  <c r="N730"/>
  <c r="I730"/>
  <c r="N729"/>
  <c r="N728"/>
  <c r="N727"/>
  <c r="I727"/>
  <c r="N726"/>
  <c r="I726"/>
  <c r="N725"/>
  <c r="I725"/>
  <c r="M724"/>
  <c r="L724"/>
  <c r="N724" s="1"/>
  <c r="J724"/>
  <c r="H724"/>
  <c r="G724"/>
  <c r="N720"/>
  <c r="N719"/>
  <c r="N718"/>
  <c r="N717"/>
  <c r="I717"/>
  <c r="N716"/>
  <c r="I716"/>
  <c r="N715"/>
  <c r="I715"/>
  <c r="M714"/>
  <c r="N714" s="1"/>
  <c r="L714"/>
  <c r="J714"/>
  <c r="H714"/>
  <c r="G714"/>
  <c r="I714" s="1"/>
  <c r="N711"/>
  <c r="N710"/>
  <c r="N709"/>
  <c r="N708"/>
  <c r="I708"/>
  <c r="N707"/>
  <c r="I707"/>
  <c r="N706"/>
  <c r="I706"/>
  <c r="M705"/>
  <c r="L705"/>
  <c r="N705" s="1"/>
  <c r="J705"/>
  <c r="H705"/>
  <c r="G705"/>
  <c r="N692"/>
  <c r="I692"/>
  <c r="N691"/>
  <c r="I691"/>
  <c r="N690"/>
  <c r="I690"/>
  <c r="N689"/>
  <c r="I689"/>
  <c r="N688"/>
  <c r="K679"/>
  <c r="I688"/>
  <c r="N687"/>
  <c r="I687"/>
  <c r="M686"/>
  <c r="L686"/>
  <c r="N686" s="1"/>
  <c r="J686"/>
  <c r="H686"/>
  <c r="G686"/>
  <c r="M683"/>
  <c r="L683"/>
  <c r="N683" s="1"/>
  <c r="J683"/>
  <c r="H683"/>
  <c r="G683"/>
  <c r="I683" s="1"/>
  <c r="M682"/>
  <c r="L682"/>
  <c r="N682" s="1"/>
  <c r="K682"/>
  <c r="J682"/>
  <c r="H682"/>
  <c r="G682"/>
  <c r="I682" s="1"/>
  <c r="M681"/>
  <c r="L681"/>
  <c r="N681" s="1"/>
  <c r="J681"/>
  <c r="H681"/>
  <c r="G681"/>
  <c r="M680"/>
  <c r="L680"/>
  <c r="N680" s="1"/>
  <c r="J680"/>
  <c r="H680"/>
  <c r="G680"/>
  <c r="I680" s="1"/>
  <c r="M679"/>
  <c r="L679"/>
  <c r="N679" s="1"/>
  <c r="J679"/>
  <c r="H679"/>
  <c r="G679"/>
  <c r="M678"/>
  <c r="L678"/>
  <c r="N678" s="1"/>
  <c r="J678"/>
  <c r="J570" s="1"/>
  <c r="H678"/>
  <c r="G678"/>
  <c r="I678" s="1"/>
  <c r="K656"/>
  <c r="N670"/>
  <c r="I670"/>
  <c r="N669"/>
  <c r="I669"/>
  <c r="N668"/>
  <c r="I668"/>
  <c r="N667"/>
  <c r="I667"/>
  <c r="N666"/>
  <c r="K657"/>
  <c r="I666"/>
  <c r="N665"/>
  <c r="I665"/>
  <c r="M664"/>
  <c r="L664"/>
  <c r="N664" s="1"/>
  <c r="J664"/>
  <c r="H664"/>
  <c r="G664"/>
  <c r="M661"/>
  <c r="N661" s="1"/>
  <c r="L661"/>
  <c r="K661"/>
  <c r="J661"/>
  <c r="H661"/>
  <c r="I661" s="1"/>
  <c r="G661"/>
  <c r="M660"/>
  <c r="M574" s="1"/>
  <c r="L660"/>
  <c r="N660" s="1"/>
  <c r="J660"/>
  <c r="H660"/>
  <c r="G660"/>
  <c r="I660" s="1"/>
  <c r="M659"/>
  <c r="L659"/>
  <c r="N659" s="1"/>
  <c r="K659"/>
  <c r="J659"/>
  <c r="H659"/>
  <c r="G659"/>
  <c r="M658"/>
  <c r="L658"/>
  <c r="N658" s="1"/>
  <c r="J658"/>
  <c r="H658"/>
  <c r="G658"/>
  <c r="M657"/>
  <c r="L657"/>
  <c r="J657"/>
  <c r="H657"/>
  <c r="G657"/>
  <c r="G655" s="1"/>
  <c r="M656"/>
  <c r="L656"/>
  <c r="J656"/>
  <c r="H656"/>
  <c r="G656"/>
  <c r="H172"/>
  <c r="G172"/>
  <c r="H182"/>
  <c r="G182"/>
  <c r="H587"/>
  <c r="G587"/>
  <c r="H601"/>
  <c r="I601" s="1"/>
  <c r="G601"/>
  <c r="M646"/>
  <c r="N646" s="1"/>
  <c r="L646"/>
  <c r="J646"/>
  <c r="M601"/>
  <c r="L601"/>
  <c r="N601" s="1"/>
  <c r="J601"/>
  <c r="M587"/>
  <c r="N587" s="1"/>
  <c r="L587"/>
  <c r="J587"/>
  <c r="M182"/>
  <c r="L182"/>
  <c r="N182" s="1"/>
  <c r="J182"/>
  <c r="M172"/>
  <c r="L172"/>
  <c r="J172"/>
  <c r="N652"/>
  <c r="I652"/>
  <c r="N651"/>
  <c r="I651"/>
  <c r="N650"/>
  <c r="I650"/>
  <c r="N649"/>
  <c r="I649"/>
  <c r="N648"/>
  <c r="I648"/>
  <c r="N647"/>
  <c r="I647"/>
  <c r="H646"/>
  <c r="G646"/>
  <c r="I646" s="1"/>
  <c r="N643"/>
  <c r="I643"/>
  <c r="N642"/>
  <c r="I642"/>
  <c r="N641"/>
  <c r="I641"/>
  <c r="N640"/>
  <c r="I640"/>
  <c r="N639"/>
  <c r="I639"/>
  <c r="N638"/>
  <c r="I638"/>
  <c r="N635"/>
  <c r="I635"/>
  <c r="N634"/>
  <c r="I634"/>
  <c r="N633"/>
  <c r="I633"/>
  <c r="N632"/>
  <c r="I632"/>
  <c r="N631"/>
  <c r="I631"/>
  <c r="N630"/>
  <c r="I630"/>
  <c r="M628"/>
  <c r="I15" i="14" s="1"/>
  <c r="H628" i="7"/>
  <c r="H619" s="1"/>
  <c r="M627"/>
  <c r="M618" s="1"/>
  <c r="J618"/>
  <c r="J574" s="1"/>
  <c r="H627"/>
  <c r="H618" s="1"/>
  <c r="M626"/>
  <c r="G15" i="14" s="1"/>
  <c r="H626" i="7"/>
  <c r="H617" s="1"/>
  <c r="M625"/>
  <c r="F15" i="14" s="1"/>
  <c r="F12" s="1"/>
  <c r="H625" i="7"/>
  <c r="M624"/>
  <c r="E15" i="14" s="1"/>
  <c r="H624" i="7"/>
  <c r="H615" s="1"/>
  <c r="G615"/>
  <c r="M623"/>
  <c r="M614" s="1"/>
  <c r="H623"/>
  <c r="H614" s="1"/>
  <c r="G623"/>
  <c r="I580"/>
  <c r="H579"/>
  <c r="N584"/>
  <c r="G579"/>
  <c r="N607"/>
  <c r="N606"/>
  <c r="N605"/>
  <c r="N604"/>
  <c r="N603"/>
  <c r="I603"/>
  <c r="N602"/>
  <c r="I602"/>
  <c r="H164"/>
  <c r="N506"/>
  <c r="H502"/>
  <c r="H501" s="1"/>
  <c r="I504"/>
  <c r="I506"/>
  <c r="G502"/>
  <c r="N168"/>
  <c r="N166"/>
  <c r="I168"/>
  <c r="G164"/>
  <c r="N188"/>
  <c r="N187"/>
  <c r="N186"/>
  <c r="N185"/>
  <c r="N184"/>
  <c r="N183"/>
  <c r="N178"/>
  <c r="N177"/>
  <c r="N176"/>
  <c r="N175"/>
  <c r="N173"/>
  <c r="I173"/>
  <c r="K141"/>
  <c r="H118"/>
  <c r="I122"/>
  <c r="I123"/>
  <c r="G118"/>
  <c r="N160"/>
  <c r="N159"/>
  <c r="N158"/>
  <c r="I158"/>
  <c r="N157"/>
  <c r="N156"/>
  <c r="I156"/>
  <c r="N155"/>
  <c r="N153"/>
  <c r="N152"/>
  <c r="N151"/>
  <c r="N150"/>
  <c r="N149"/>
  <c r="N148"/>
  <c r="I148"/>
  <c r="N146"/>
  <c r="N145"/>
  <c r="N144"/>
  <c r="N143"/>
  <c r="N142"/>
  <c r="N141"/>
  <c r="I141"/>
  <c r="N138"/>
  <c r="N137"/>
  <c r="N136"/>
  <c r="N135"/>
  <c r="N134"/>
  <c r="N133"/>
  <c r="I133"/>
  <c r="N131"/>
  <c r="N130"/>
  <c r="N129"/>
  <c r="N128"/>
  <c r="N127"/>
  <c r="N126"/>
  <c r="I126"/>
  <c r="K102"/>
  <c r="K94" s="1"/>
  <c r="N114"/>
  <c r="N113"/>
  <c r="N112"/>
  <c r="N111"/>
  <c r="N110"/>
  <c r="N109"/>
  <c r="N107"/>
  <c r="N106"/>
  <c r="N105"/>
  <c r="N104"/>
  <c r="N103"/>
  <c r="N102"/>
  <c r="I112"/>
  <c r="I110"/>
  <c r="I103"/>
  <c r="I102"/>
  <c r="H94"/>
  <c r="H93" s="1"/>
  <c r="G94"/>
  <c r="N592"/>
  <c r="N591"/>
  <c r="N589"/>
  <c r="I593"/>
  <c r="N583"/>
  <c r="I591"/>
  <c r="I590"/>
  <c r="I589"/>
  <c r="I588"/>
  <c r="N590"/>
  <c r="N593"/>
  <c r="N588"/>
  <c r="K919"/>
  <c r="K724"/>
  <c r="J578"/>
  <c r="I165"/>
  <c r="N195"/>
  <c r="N164"/>
  <c r="L618"/>
  <c r="L619"/>
  <c r="L616"/>
  <c r="N623"/>
  <c r="L614"/>
  <c r="N901"/>
  <c r="G193"/>
  <c r="G696"/>
  <c r="N533"/>
  <c r="N656"/>
  <c r="N99"/>
  <c r="N733"/>
  <c r="I698"/>
  <c r="K559"/>
  <c r="N627"/>
  <c r="L31"/>
  <c r="N31" s="1"/>
  <c r="H28"/>
  <c r="I408"/>
  <c r="I444"/>
  <c r="I426"/>
  <c r="I454"/>
  <c r="I521"/>
  <c r="I681"/>
  <c r="L87"/>
  <c r="L25" s="1"/>
  <c r="N25" s="1"/>
  <c r="N94"/>
  <c r="L93"/>
  <c r="K908"/>
  <c r="N914"/>
  <c r="L908"/>
  <c r="N908" s="1"/>
  <c r="N512"/>
  <c r="L510"/>
  <c r="N510" s="1"/>
  <c r="K512"/>
  <c r="K503" s="1"/>
  <c r="L501"/>
  <c r="I626"/>
  <c r="N628"/>
  <c r="I559"/>
  <c r="I121"/>
  <c r="I75"/>
  <c r="I664"/>
  <c r="G677"/>
  <c r="I686"/>
  <c r="M622"/>
  <c r="H87"/>
  <c r="H25" s="1"/>
  <c r="M85"/>
  <c r="M23" s="1"/>
  <c r="M93"/>
  <c r="N93" s="1"/>
  <c r="N919"/>
  <c r="N624"/>
  <c r="M677"/>
  <c r="K504"/>
  <c r="K581"/>
  <c r="H89"/>
  <c r="M89"/>
  <c r="M27" s="1"/>
  <c r="G578"/>
  <c r="I164"/>
  <c r="G163"/>
  <c r="H917"/>
  <c r="K918"/>
  <c r="K917" s="1"/>
  <c r="K164"/>
  <c r="G31"/>
  <c r="I34"/>
  <c r="G86"/>
  <c r="J86"/>
  <c r="J24" s="1"/>
  <c r="N580"/>
  <c r="J615"/>
  <c r="J571" s="1"/>
  <c r="J622"/>
  <c r="L622"/>
  <c r="L615"/>
  <c r="L617"/>
  <c r="G573"/>
  <c r="I624"/>
  <c r="G572"/>
  <c r="I679"/>
  <c r="K623"/>
  <c r="N614"/>
  <c r="L117"/>
  <c r="N87"/>
  <c r="N96"/>
  <c r="N98"/>
  <c r="I86"/>
  <c r="C8" i="13"/>
  <c r="C10"/>
  <c r="C6"/>
  <c r="C26" i="12"/>
  <c r="G36" s="1"/>
  <c r="I24"/>
  <c r="C7"/>
  <c r="I615" i="7"/>
  <c r="K700"/>
  <c r="N119"/>
  <c r="K614"/>
  <c r="I579"/>
  <c r="J655"/>
  <c r="M937"/>
  <c r="C7" i="16" s="1"/>
  <c r="N285" i="7"/>
  <c r="N354"/>
  <c r="N408"/>
  <c r="N454"/>
  <c r="I546"/>
  <c r="K626"/>
  <c r="K617"/>
  <c r="K573" s="1"/>
  <c r="K686"/>
  <c r="K752"/>
  <c r="K845"/>
  <c r="K702"/>
  <c r="K49"/>
  <c r="K580"/>
  <c r="K578" s="1"/>
  <c r="I88"/>
  <c r="K37"/>
  <c r="H570"/>
  <c r="B4" i="11"/>
  <c r="G2"/>
  <c r="H117" i="7"/>
  <c r="H3" i="11"/>
  <c r="H2" s="1"/>
  <c r="I35" i="7"/>
  <c r="D36" i="12"/>
  <c r="E36"/>
  <c r="I35" l="1"/>
  <c r="C25"/>
  <c r="F35"/>
  <c r="I619" i="7"/>
  <c r="I917"/>
  <c r="J613"/>
  <c r="H85"/>
  <c r="H84" s="1"/>
  <c r="N626"/>
  <c r="L571"/>
  <c r="L937"/>
  <c r="N937" s="1"/>
  <c r="K510"/>
  <c r="M615"/>
  <c r="N615" s="1"/>
  <c r="I628"/>
  <c r="N625"/>
  <c r="H574"/>
  <c r="I182"/>
  <c r="I172"/>
  <c r="I656"/>
  <c r="H655"/>
  <c r="N657"/>
  <c r="I658"/>
  <c r="I659"/>
  <c r="K655"/>
  <c r="H677"/>
  <c r="J573"/>
  <c r="I705"/>
  <c r="I724"/>
  <c r="I878"/>
  <c r="N888"/>
  <c r="I946"/>
  <c r="N212"/>
  <c r="N258"/>
  <c r="N267"/>
  <c r="I305"/>
  <c r="N305"/>
  <c r="I314"/>
  <c r="N336"/>
  <c r="I345"/>
  <c r="N372"/>
  <c r="I381"/>
  <c r="N426"/>
  <c r="N464"/>
  <c r="N473"/>
  <c r="N492"/>
  <c r="N521"/>
  <c r="N546"/>
  <c r="N559"/>
  <c r="K705"/>
  <c r="K824"/>
  <c r="K699"/>
  <c r="K856"/>
  <c r="K698"/>
  <c r="K878"/>
  <c r="K888"/>
  <c r="K926"/>
  <c r="K937"/>
  <c r="N49"/>
  <c r="N65"/>
  <c r="K40"/>
  <c r="K86"/>
  <c r="K96"/>
  <c r="K87" s="1"/>
  <c r="K98"/>
  <c r="K212"/>
  <c r="K267"/>
  <c r="K305"/>
  <c r="K323"/>
  <c r="K381"/>
  <c r="K426"/>
  <c r="K454"/>
  <c r="K464"/>
  <c r="I505"/>
  <c r="I503"/>
  <c r="H578"/>
  <c r="M578"/>
  <c r="C8" i="16" s="1"/>
  <c r="N581" i="7"/>
  <c r="J572"/>
  <c r="J899"/>
  <c r="L899"/>
  <c r="H212"/>
  <c r="I212" s="1"/>
  <c r="H267"/>
  <c r="H323"/>
  <c r="I323" s="1"/>
  <c r="K118"/>
  <c r="G89"/>
  <c r="I89" s="1"/>
  <c r="L85"/>
  <c r="B14" i="11"/>
  <c r="M696" i="7"/>
  <c r="C3" i="16" s="1"/>
  <c r="G26" i="7"/>
  <c r="G24"/>
  <c r="H31"/>
  <c r="I31" s="1"/>
  <c r="D7" i="13"/>
  <c r="C16" i="14"/>
  <c r="H573" i="7"/>
  <c r="I617"/>
  <c r="M616"/>
  <c r="M617"/>
  <c r="M573" s="1"/>
  <c r="M619"/>
  <c r="N619" s="1"/>
  <c r="G17"/>
  <c r="I618"/>
  <c r="C14" i="12"/>
  <c r="H2"/>
  <c r="I36"/>
  <c r="C22"/>
  <c r="G32" s="1"/>
  <c r="D35"/>
  <c r="E35"/>
  <c r="G35"/>
  <c r="H35"/>
  <c r="C9" i="13"/>
  <c r="K85" i="7"/>
  <c r="G27"/>
  <c r="I27" s="1"/>
  <c r="L23"/>
  <c r="N85"/>
  <c r="I118"/>
  <c r="G117"/>
  <c r="I117" s="1"/>
  <c r="M86"/>
  <c r="N86" s="1"/>
  <c r="N95"/>
  <c r="G4" i="12"/>
  <c r="F7" i="13"/>
  <c r="J117" i="7"/>
  <c r="J85"/>
  <c r="E3" i="11"/>
  <c r="E2" s="1"/>
  <c r="N120" i="7"/>
  <c r="G899"/>
  <c r="I900"/>
  <c r="D3" i="11"/>
  <c r="D2" s="1"/>
  <c r="L86" i="7"/>
  <c r="L24" s="1"/>
  <c r="L15" s="1"/>
  <c r="F3" i="11"/>
  <c r="F2" s="1"/>
  <c r="N121" i="7"/>
  <c r="L88"/>
  <c r="L26" s="1"/>
  <c r="N123"/>
  <c r="L90"/>
  <c r="L28" s="1"/>
  <c r="N28" s="1"/>
  <c r="D4" i="13"/>
  <c r="D3" s="1"/>
  <c r="M117" i="7"/>
  <c r="N117" s="1"/>
  <c r="L570"/>
  <c r="N579"/>
  <c r="I287"/>
  <c r="H285"/>
  <c r="I285" s="1"/>
  <c r="I356"/>
  <c r="H354"/>
  <c r="I354" s="1"/>
  <c r="I374"/>
  <c r="H372"/>
  <c r="I372" s="1"/>
  <c r="I493"/>
  <c r="H492"/>
  <c r="I492" s="1"/>
  <c r="H901"/>
  <c r="I901" s="1"/>
  <c r="I910"/>
  <c r="D21" i="12"/>
  <c r="C5"/>
  <c r="D28"/>
  <c r="C28" s="1"/>
  <c r="C9"/>
  <c r="J15" i="7"/>
  <c r="I578"/>
  <c r="I655"/>
  <c r="M655"/>
  <c r="C4" i="16" s="1"/>
  <c r="L575" i="7"/>
  <c r="B8" i="11"/>
  <c r="C3"/>
  <c r="C2" s="1"/>
  <c r="F36" i="12"/>
  <c r="I627" i="7"/>
  <c r="L613"/>
  <c r="N118"/>
  <c r="M572"/>
  <c r="K697"/>
  <c r="K696" s="1"/>
  <c r="M917"/>
  <c r="C9" i="16" s="1"/>
  <c r="H622" i="7"/>
  <c r="I33"/>
  <c r="H571"/>
  <c r="C8" i="12"/>
  <c r="N122" i="7"/>
  <c r="L89"/>
  <c r="L655"/>
  <c r="L573"/>
  <c r="N573" s="1"/>
  <c r="N622"/>
  <c r="L578"/>
  <c r="N578" s="1"/>
  <c r="K172"/>
  <c r="H27"/>
  <c r="H18" s="1"/>
  <c r="L677"/>
  <c r="N677" s="1"/>
  <c r="L572"/>
  <c r="N572" s="1"/>
  <c r="N97"/>
  <c r="I97"/>
  <c r="L193"/>
  <c r="G937"/>
  <c r="I937" s="1"/>
  <c r="G93"/>
  <c r="I93" s="1"/>
  <c r="K93"/>
  <c r="I502"/>
  <c r="M570"/>
  <c r="J18"/>
  <c r="N699"/>
  <c r="H473"/>
  <c r="I473" s="1"/>
  <c r="K615"/>
  <c r="K571" s="1"/>
  <c r="K572"/>
  <c r="K899"/>
  <c r="K90"/>
  <c r="K296"/>
  <c r="M90"/>
  <c r="M28" s="1"/>
  <c r="I581"/>
  <c r="I697"/>
  <c r="C6" i="12"/>
  <c r="L574" i="7"/>
  <c r="H163"/>
  <c r="I163" s="1"/>
  <c r="G12" i="14"/>
  <c r="N172" i="7"/>
  <c r="I587"/>
  <c r="I657"/>
  <c r="J677"/>
  <c r="I733"/>
  <c r="I743"/>
  <c r="I752"/>
  <c r="I762"/>
  <c r="N793"/>
  <c r="I814"/>
  <c r="I866"/>
  <c r="N866"/>
  <c r="I888"/>
  <c r="I918"/>
  <c r="N926"/>
  <c r="N939"/>
  <c r="I940"/>
  <c r="N202"/>
  <c r="N296"/>
  <c r="N314"/>
  <c r="N399"/>
  <c r="I435"/>
  <c r="N482"/>
  <c r="K502"/>
  <c r="K501" s="1"/>
  <c r="I533"/>
  <c r="K743"/>
  <c r="K814"/>
  <c r="K835"/>
  <c r="K946"/>
  <c r="I65"/>
  <c r="N75"/>
  <c r="K75"/>
  <c r="K34"/>
  <c r="K36"/>
  <c r="K97"/>
  <c r="K88" s="1"/>
  <c r="K89"/>
  <c r="K120"/>
  <c r="K117" s="1"/>
  <c r="K167"/>
  <c r="K163" s="1"/>
  <c r="K199"/>
  <c r="K197"/>
  <c r="K26" s="1"/>
  <c r="K17" s="1"/>
  <c r="K239"/>
  <c r="K248"/>
  <c r="K258"/>
  <c r="K276"/>
  <c r="K285"/>
  <c r="K336"/>
  <c r="K354"/>
  <c r="K363"/>
  <c r="K372"/>
  <c r="K408"/>
  <c r="K417"/>
  <c r="K435"/>
  <c r="K473"/>
  <c r="J87"/>
  <c r="J25" s="1"/>
  <c r="J16" s="1"/>
  <c r="I2" i="12"/>
  <c r="N505" i="7"/>
  <c r="I584"/>
  <c r="I699"/>
  <c r="L696"/>
  <c r="N696" s="1"/>
  <c r="M899"/>
  <c r="C6" i="16" s="1"/>
  <c r="H239" i="7"/>
  <c r="I239" s="1"/>
  <c r="H258"/>
  <c r="I258" s="1"/>
  <c r="C11" i="11"/>
  <c r="E11"/>
  <c r="G11"/>
  <c r="B15"/>
  <c r="F15" i="12"/>
  <c r="C14" i="14"/>
  <c r="K677" i="7"/>
  <c r="K575"/>
  <c r="L569"/>
  <c r="N574"/>
  <c r="M18"/>
  <c r="I573"/>
  <c r="I677"/>
  <c r="J17"/>
  <c r="N655"/>
  <c r="E24" i="12"/>
  <c r="N197" i="7"/>
  <c r="M193"/>
  <c r="G622"/>
  <c r="I622" s="1"/>
  <c r="G614"/>
  <c r="G570" s="1"/>
  <c r="G90"/>
  <c r="I99"/>
  <c r="G87"/>
  <c r="I96"/>
  <c r="F4" i="12"/>
  <c r="M87" i="7"/>
  <c r="M25" s="1"/>
  <c r="F4" i="13"/>
  <c r="G3" i="12"/>
  <c r="M88" i="7"/>
  <c r="N502"/>
  <c r="M501"/>
  <c r="C7" i="15" s="1"/>
  <c r="C13" i="12"/>
  <c r="M14" i="7"/>
  <c r="N618"/>
  <c r="I32" i="12"/>
  <c r="G501" i="7"/>
  <c r="I501" s="1"/>
  <c r="I623"/>
  <c r="I696"/>
  <c r="G574"/>
  <c r="I574" s="1"/>
  <c r="N752"/>
  <c r="L917"/>
  <c r="N917" s="1"/>
  <c r="I267"/>
  <c r="N363"/>
  <c r="K627"/>
  <c r="K32"/>
  <c r="K182"/>
  <c r="K198"/>
  <c r="K196"/>
  <c r="K492"/>
  <c r="H197"/>
  <c r="J28"/>
  <c r="J193"/>
  <c r="H24" i="12"/>
  <c r="F12"/>
  <c r="D15"/>
  <c r="D12" s="1"/>
  <c r="H15"/>
  <c r="H23" s="1"/>
  <c r="E4" i="13"/>
  <c r="I12" i="14"/>
  <c r="G85" i="7"/>
  <c r="I94"/>
  <c r="H616"/>
  <c r="I625"/>
  <c r="E7" i="13"/>
  <c r="C7" s="1"/>
  <c r="E4" i="12"/>
  <c r="N165" i="7"/>
  <c r="L163"/>
  <c r="N163" s="1"/>
  <c r="I204"/>
  <c r="H202"/>
  <c r="I202" s="1"/>
  <c r="H194"/>
  <c r="I194" s="1"/>
  <c r="I249"/>
  <c r="H248"/>
  <c r="I248" s="1"/>
  <c r="I278"/>
  <c r="H276"/>
  <c r="I276" s="1"/>
  <c r="I340"/>
  <c r="H336"/>
  <c r="I336" s="1"/>
  <c r="I365"/>
  <c r="H363"/>
  <c r="I363" s="1"/>
  <c r="H902"/>
  <c r="H899" s="1"/>
  <c r="H908"/>
  <c r="I908" s="1"/>
  <c r="K202"/>
  <c r="C4" i="13"/>
  <c r="G571" i="7"/>
  <c r="I571" s="1"/>
  <c r="J575"/>
  <c r="J569" s="1"/>
  <c r="H575"/>
  <c r="I575" s="1"/>
  <c r="H195"/>
  <c r="I195" s="1"/>
  <c r="K195"/>
  <c r="D15" i="14"/>
  <c r="H15"/>
  <c r="B7" i="11"/>
  <c r="B9"/>
  <c r="D11"/>
  <c r="F11"/>
  <c r="H11"/>
  <c r="D3" i="12"/>
  <c r="E15"/>
  <c r="E12" s="1"/>
  <c r="G15"/>
  <c r="I15"/>
  <c r="I12" s="1"/>
  <c r="C13" i="14"/>
  <c r="H12"/>
  <c r="E12"/>
  <c r="C27" i="12"/>
  <c r="H36"/>
  <c r="B12" i="11"/>
  <c r="C36" i="12" l="1"/>
  <c r="B3" i="11"/>
  <c r="F3" i="13"/>
  <c r="C35" i="12"/>
  <c r="H32"/>
  <c r="E32"/>
  <c r="D32"/>
  <c r="K25" i="7"/>
  <c r="K16" s="1"/>
  <c r="M16"/>
  <c r="N16" s="1"/>
  <c r="M24"/>
  <c r="L19"/>
  <c r="N19" s="1"/>
  <c r="L16"/>
  <c r="K28"/>
  <c r="K19" s="1"/>
  <c r="B2" i="11"/>
  <c r="F32" i="12"/>
  <c r="M571" i="7"/>
  <c r="N571" s="1"/>
  <c r="L17"/>
  <c r="M575"/>
  <c r="M569" s="1"/>
  <c r="N569" s="1"/>
  <c r="N617"/>
  <c r="N616"/>
  <c r="M613"/>
  <c r="C5" i="16" s="1"/>
  <c r="C2" s="1"/>
  <c r="M19" i="7"/>
  <c r="F23" i="12"/>
  <c r="F20" s="1"/>
  <c r="D38"/>
  <c r="H38"/>
  <c r="G38"/>
  <c r="F38"/>
  <c r="I38"/>
  <c r="E38"/>
  <c r="L27" i="7"/>
  <c r="N89"/>
  <c r="C21" i="12"/>
  <c r="D31" s="1"/>
  <c r="J84" i="7"/>
  <c r="J23"/>
  <c r="J14" s="1"/>
  <c r="L14"/>
  <c r="N23"/>
  <c r="B11" i="11"/>
  <c r="J22" i="7"/>
  <c r="N899"/>
  <c r="L84"/>
  <c r="K84"/>
  <c r="F2" i="12"/>
  <c r="I899" i="7"/>
  <c r="K27"/>
  <c r="N90"/>
  <c r="K570"/>
  <c r="N570"/>
  <c r="H20" i="12"/>
  <c r="G569" i="7"/>
  <c r="I570"/>
  <c r="G12" i="12"/>
  <c r="G23"/>
  <c r="D24"/>
  <c r="D2"/>
  <c r="C3"/>
  <c r="K193" i="7"/>
  <c r="K24"/>
  <c r="K15" s="1"/>
  <c r="I197"/>
  <c r="H26"/>
  <c r="K618"/>
  <c r="K622"/>
  <c r="M26"/>
  <c r="M22" s="1"/>
  <c r="N88"/>
  <c r="I87"/>
  <c r="G25"/>
  <c r="G28"/>
  <c r="I90"/>
  <c r="C3" i="15"/>
  <c r="N193" i="7"/>
  <c r="E23" i="12"/>
  <c r="H12"/>
  <c r="D23"/>
  <c r="G18" i="7"/>
  <c r="I18" s="1"/>
  <c r="N14"/>
  <c r="C4" i="12"/>
  <c r="E2"/>
  <c r="I23"/>
  <c r="G15" i="7"/>
  <c r="M84"/>
  <c r="C15" i="14"/>
  <c r="D12"/>
  <c r="C12" s="1"/>
  <c r="H572" i="7"/>
  <c r="I616"/>
  <c r="H613"/>
  <c r="G84"/>
  <c r="I84" s="1"/>
  <c r="G23"/>
  <c r="I85"/>
  <c r="K23"/>
  <c r="K31"/>
  <c r="G2" i="12"/>
  <c r="G24"/>
  <c r="I614" i="7"/>
  <c r="G613"/>
  <c r="M15"/>
  <c r="N15" s="1"/>
  <c r="N24"/>
  <c r="H24"/>
  <c r="H193"/>
  <c r="I193" s="1"/>
  <c r="E3" i="13"/>
  <c r="C3" s="1"/>
  <c r="C15" i="12"/>
  <c r="J19" i="7"/>
  <c r="J13" s="1"/>
  <c r="I902"/>
  <c r="H19"/>
  <c r="N501"/>
  <c r="H23"/>
  <c r="G37" i="12"/>
  <c r="H37"/>
  <c r="I37"/>
  <c r="E37"/>
  <c r="F37"/>
  <c r="C32"/>
  <c r="D37"/>
  <c r="I613" i="7" l="1"/>
  <c r="N613"/>
  <c r="N575"/>
  <c r="C37" i="12"/>
  <c r="C12"/>
  <c r="C38"/>
  <c r="L18" i="7"/>
  <c r="N18" s="1"/>
  <c r="L22"/>
  <c r="N27"/>
  <c r="H31" i="12"/>
  <c r="I31"/>
  <c r="F31"/>
  <c r="E31"/>
  <c r="C31" s="1"/>
  <c r="G31"/>
  <c r="N22" i="7"/>
  <c r="H15"/>
  <c r="I24"/>
  <c r="K22"/>
  <c r="K14"/>
  <c r="G22"/>
  <c r="I23"/>
  <c r="G14"/>
  <c r="H16"/>
  <c r="H569"/>
  <c r="I572"/>
  <c r="C4" i="15"/>
  <c r="N84" i="7"/>
  <c r="G16"/>
  <c r="I25"/>
  <c r="H17"/>
  <c r="I17" s="1"/>
  <c r="I26"/>
  <c r="C24" i="12"/>
  <c r="I569" i="7"/>
  <c r="H14"/>
  <c r="H22"/>
  <c r="I20" i="12"/>
  <c r="C23"/>
  <c r="D20"/>
  <c r="E33"/>
  <c r="E20"/>
  <c r="G19" i="7"/>
  <c r="I19" s="1"/>
  <c r="I28"/>
  <c r="M17"/>
  <c r="N17" s="1"/>
  <c r="N26"/>
  <c r="K574"/>
  <c r="K613"/>
  <c r="G33" i="12"/>
  <c r="G20"/>
  <c r="I15" i="7"/>
  <c r="C2" i="15"/>
  <c r="C2" i="12"/>
  <c r="L13" i="7" l="1"/>
  <c r="M13"/>
  <c r="H13"/>
  <c r="I16"/>
  <c r="H33" i="12"/>
  <c r="F33"/>
  <c r="E34"/>
  <c r="I34"/>
  <c r="H34"/>
  <c r="G34"/>
  <c r="F34"/>
  <c r="D34"/>
  <c r="I14" i="7"/>
  <c r="G13"/>
  <c r="C20" i="12"/>
  <c r="E30" s="1"/>
  <c r="I33"/>
  <c r="I22" i="7"/>
  <c r="K18"/>
  <c r="K13" s="1"/>
  <c r="K569"/>
  <c r="D33" i="12"/>
  <c r="C33" l="1"/>
  <c r="C34"/>
  <c r="N13" i="7"/>
  <c r="I13"/>
  <c r="D30" i="12"/>
  <c r="H30"/>
  <c r="F30"/>
  <c r="G30"/>
  <c r="I30"/>
  <c r="C30" l="1"/>
</calcChain>
</file>

<file path=xl/sharedStrings.xml><?xml version="1.0" encoding="utf-8"?>
<sst xmlns="http://schemas.openxmlformats.org/spreadsheetml/2006/main" count="2016" uniqueCount="518">
  <si>
    <t>Stan zaawansowania prac,                                                                          zrealizowany zakres rzeczowy - wskaźniki ilościowe</t>
  </si>
  <si>
    <t>1.</t>
  </si>
  <si>
    <t>I.</t>
  </si>
  <si>
    <t>A</t>
  </si>
  <si>
    <t>w zł</t>
  </si>
  <si>
    <t>Lp.</t>
  </si>
  <si>
    <t>Źródło</t>
  </si>
  <si>
    <t>- środki wymienione w art. 5 ust. 1 pkt 2 i 3 u.f.p.</t>
  </si>
  <si>
    <t>- kredyty, pożyczki, obligacje</t>
  </si>
  <si>
    <t>Program:</t>
  </si>
  <si>
    <t>Priorytet:</t>
  </si>
  <si>
    <t>Działanie:</t>
  </si>
  <si>
    <t>Projekt:</t>
  </si>
  <si>
    <t>II.</t>
  </si>
  <si>
    <t>Plan                       na początek                       roku</t>
  </si>
  <si>
    <t>- środki własne miasta</t>
  </si>
  <si>
    <t>Miasto Kielce</t>
  </si>
  <si>
    <t>Wykaz programów, projektów lub zadań związanych z programami realizowanymi z udziałem środków,</t>
  </si>
  <si>
    <t>o których mowa w art. 5 ust. 1 pkt 2 i 3 ufp</t>
  </si>
  <si>
    <t>Nazwa i cel przedsięwzięcia</t>
  </si>
  <si>
    <t>Ogółem przedsięwzięcia:</t>
  </si>
  <si>
    <t>Ogółem przedsięwzięcia bieżące:</t>
  </si>
  <si>
    <t>- środki inne</t>
  </si>
  <si>
    <t>Cel:</t>
  </si>
  <si>
    <t>Łączne nakłady finansowe</t>
  </si>
  <si>
    <t>Przewidywane nakłady i źródła finansowania</t>
  </si>
  <si>
    <t>Okres                 realizacji</t>
  </si>
  <si>
    <t>Ogółem przedsięwzięcia majątkowe:</t>
  </si>
  <si>
    <t>Wartość przedsięwzięcia:</t>
  </si>
  <si>
    <t>Dział           Rozdział</t>
  </si>
  <si>
    <t>Zmiany dokonane w trakcie roku budżetowego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</si>
  <si>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</si>
  <si>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</si>
  <si>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</si>
  <si>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</si>
  <si>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</si>
  <si>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</si>
  <si>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</si>
  <si>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</si>
  <si>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</si>
  <si>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</si>
  <si>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</si>
  <si>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</si>
  <si>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</si>
  <si>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</si>
  <si>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- kredyty, pożyczki i obligacje pozaprojektowe</t>
  </si>
  <si>
    <t>- środki własne miasta pozaprojektowe</t>
  </si>
  <si>
    <t>Stopień realizacji   projektów         %                 7:6</t>
  </si>
  <si>
    <t>Stopień realizacji   projektów   %               12:11</t>
  </si>
  <si>
    <t>KIELECKI PARK TECHNOLOGICZNY</t>
  </si>
  <si>
    <t>Program Operacyjny Innowacyjna Gospodarka</t>
  </si>
  <si>
    <t>2.</t>
  </si>
  <si>
    <t>2011   2013</t>
  </si>
  <si>
    <t>710  71095</t>
  </si>
  <si>
    <t>2010  2011</t>
  </si>
  <si>
    <t>852  85219</t>
  </si>
  <si>
    <t>853  85395</t>
  </si>
  <si>
    <t>Program Operacyjny Kapitał Ludzki</t>
  </si>
  <si>
    <t>852   85201</t>
  </si>
  <si>
    <t>852  85204</t>
  </si>
  <si>
    <t>852  85214</t>
  </si>
  <si>
    <t>2008  2011</t>
  </si>
  <si>
    <t>3.</t>
  </si>
  <si>
    <t>MIEJSKI URZAD PRACY</t>
  </si>
  <si>
    <t>2010  2012</t>
  </si>
  <si>
    <t>2011  2012</t>
  </si>
  <si>
    <t>4.</t>
  </si>
  <si>
    <t>WYDZIAŁ EDUKACJI, KULTURY I SPORTU</t>
  </si>
  <si>
    <t>Priorytet VI: Rynek otwarty dla wszystkich</t>
  </si>
  <si>
    <t>Priorytet VII: Promocja integracji społecznej</t>
  </si>
  <si>
    <t>Rok 2011</t>
  </si>
  <si>
    <t>gospodarki</t>
  </si>
  <si>
    <t>Priorytet VIII: Społeczeństwo informacyjne - zwiększenie innowacyjności</t>
  </si>
  <si>
    <t>Działanie 8.3: Przeciwdziałanie wykluczeniu cyfrowemu e-inclusion</t>
  </si>
  <si>
    <t>Przeciwdziałanie wykluczeniu cyfrowemu osób dotkniętych ubóstwem</t>
  </si>
  <si>
    <t>Działanie 7.1: Rozwój i upowszechnienie aktywnej integracji</t>
  </si>
  <si>
    <t xml:space="preserve">Zapewnienie równego dostępu do zatrudnienia osobom zagrożonym </t>
  </si>
  <si>
    <t xml:space="preserve">wykluczeniem społecznym oraz dyskryminowanym na rynku pracy, </t>
  </si>
  <si>
    <t>a także podwyższenie ich umiejętności życiowych, społecznych</t>
  </si>
  <si>
    <t>i zawodowych</t>
  </si>
  <si>
    <t xml:space="preserve">Działanie 6.1: Poprawa dostępu do zatrudnienia oraz wspieranie </t>
  </si>
  <si>
    <t>aktywności zawodowej w regionie</t>
  </si>
  <si>
    <t xml:space="preserve">Upowszechnienie pośrednictwa pracy i poradnictwa zawodowego </t>
  </si>
  <si>
    <t>w regionie poprzez dofinansowanie zatrudnienia doradców zawodowych</t>
  </si>
  <si>
    <t>i pośredników pracy</t>
  </si>
  <si>
    <t xml:space="preserve">Wzmocnienie i rozwój usług pośrednictwa pracy i poradnictwa </t>
  </si>
  <si>
    <t>zawodowego poprzez dofinansowanie zatrudnienia pośredników pracy</t>
  </si>
  <si>
    <t xml:space="preserve">i doradców zawodowych oraz podniesienie ich kwalifikacji i kompetencji </t>
  </si>
  <si>
    <t>zawodowych</t>
  </si>
  <si>
    <t>Priorytet IX: Rozwój wykształcenia i kompetencji w regionach</t>
  </si>
  <si>
    <t>2009  2011</t>
  </si>
  <si>
    <t>5.</t>
  </si>
  <si>
    <t>6.</t>
  </si>
  <si>
    <t>Działanie 9.2: Podniesienie atrakcyjności i jakości szkolnictwa zawodowego</t>
  </si>
  <si>
    <t>7.</t>
  </si>
  <si>
    <t>8.</t>
  </si>
  <si>
    <t>9.</t>
  </si>
  <si>
    <t>10.</t>
  </si>
  <si>
    <t>11.</t>
  </si>
  <si>
    <t>Działanie 9.4: Wysoko wykwalifikowane kadry systemu oświaty</t>
  </si>
  <si>
    <t>12.</t>
  </si>
  <si>
    <t>13.</t>
  </si>
  <si>
    <t>14.</t>
  </si>
  <si>
    <t>Program Uczenie Się Przez Całe Życie</t>
  </si>
  <si>
    <t>Comenius</t>
  </si>
  <si>
    <t>Partnerski Projekt Comeniusa</t>
  </si>
  <si>
    <t>15.</t>
  </si>
  <si>
    <t>16.</t>
  </si>
  <si>
    <t>17.</t>
  </si>
  <si>
    <t>18.</t>
  </si>
  <si>
    <t>19.</t>
  </si>
  <si>
    <t>Leonardo Da Vinci</t>
  </si>
  <si>
    <t>Projekt Mobilności Leonardo Da Vinci</t>
  </si>
  <si>
    <t>Regionalny Program Operacyjny Województwa Świętokrzyskiego</t>
  </si>
  <si>
    <t>Oś Priorytetowa 2: Wsparcie innowacyjności, budowa społeczeństwa</t>
  </si>
  <si>
    <t>informacyjnego oraz wzrost potencjału inwestycyjnego regionu</t>
  </si>
  <si>
    <t>Działanie 3.3: Promocja gospodarcza i turystyczna regionu</t>
  </si>
  <si>
    <t>Promocja Kielc i regionu świętokrzyskiego poprzez sztuke festiwalową</t>
  </si>
  <si>
    <t>WYDZIAŁ PROJEKTÓW STRUKTURALNYCH I STRATEGII MIASTA</t>
  </si>
  <si>
    <t>Program Operacyjny Rozwój Polski Wschodniej</t>
  </si>
  <si>
    <t>Oś Priorytetowa 3: Wojewódzkie ośrodki wzrostu</t>
  </si>
  <si>
    <t>Działanie 3.1: Systemy miejskiego transportu zbiorowego</t>
  </si>
  <si>
    <t>2009  2012</t>
  </si>
  <si>
    <t>600  60095</t>
  </si>
  <si>
    <t>Priorytet I: Nowoczesna Gospodarka</t>
  </si>
  <si>
    <t>Promocja i Współpraca, Komponent Promocja</t>
  </si>
  <si>
    <t xml:space="preserve">Stworzenie sieci współpracy pomiędzy regionami Polski Wschodniej dla </t>
  </si>
  <si>
    <t xml:space="preserve">wzmocnienia konkurencyjności i innowacyjności regionalnej gospodarki </t>
  </si>
  <si>
    <t xml:space="preserve">poprzez standaryzację obsługi inwestora, stałą współpracę i wymianę </t>
  </si>
  <si>
    <t xml:space="preserve">doświadczeń, wymianę informacji, w tym szczególnie o terenach </t>
  </si>
  <si>
    <t>inwestycyjnych, wspólną bazę terenów inwestycyjnych</t>
  </si>
  <si>
    <t>2010  2014</t>
  </si>
  <si>
    <t>750  75075</t>
  </si>
  <si>
    <t>Oś Priorytetowa 6: Wzmocnienie ośrodków miejskich i rewitalizacja</t>
  </si>
  <si>
    <t>małych miast</t>
  </si>
  <si>
    <t>wzrostu</t>
  </si>
  <si>
    <t xml:space="preserve">Promocja projektu, mającego na celu zwiększenie atrakcyjności </t>
  </si>
  <si>
    <t>społeczno-gospodarczej i przestrzennej Kielc oraz zapewnienie skute-</t>
  </si>
  <si>
    <t>cznego pełnienia przez miasto funkcji regionalnego ośrodka metropoli-</t>
  </si>
  <si>
    <t xml:space="preserve">talnego. Dzięki jego realizacji nastąpi poprawa estetyki rewitalizowanego </t>
  </si>
  <si>
    <t>terenu, co będzie miało wpływ na jakość życia mieszkańców</t>
  </si>
  <si>
    <t>Promocja projektu, majacego na celu zwiekszenie konkurencyjności re-</t>
  </si>
  <si>
    <t>gionu oraz rozwój funkcji metropolitalnych miasta Kielce poprzez popra-</t>
  </si>
  <si>
    <t>wę jakości infrastruktury drogowej i transportu publicznego w mieście oraz</t>
  </si>
  <si>
    <t>stworzenie przyjaznej mieszkańcom i środowisku komunikacji publicznej</t>
  </si>
  <si>
    <t>URBACT II</t>
  </si>
  <si>
    <t>Priorytet 2. Atrakcyjne i spójne miasta</t>
  </si>
  <si>
    <t>Cel 3: Europejska Współpraca Terytorialna</t>
  </si>
  <si>
    <t xml:space="preserve">Opracowanie programów operacyjnych i rekomendacji usprawniających </t>
  </si>
  <si>
    <t xml:space="preserve">współpracę pomiędzy miastem, a otaczającymi je mniejszymi gminami </t>
  </si>
  <si>
    <t>m.in. w zakresie wspólnych polityk wykorzystania terenów</t>
  </si>
  <si>
    <t>ZAKŁAD OBSŁUGI I INFORMATYKI URZĘDU MIASTA</t>
  </si>
  <si>
    <t>Działanie 2.2: Budowa infrastruktury społeczeństwa informacyjnego</t>
  </si>
  <si>
    <t xml:space="preserve">Rozbudowa lokalnej infrastruktury społeczeństwa informacyjnego w </t>
  </si>
  <si>
    <t xml:space="preserve">formie budowy miejskiej sieci światłowodowej w latach 2010-2012 dla </t>
  </si>
  <si>
    <t>jednostek sektora publicznego, zapewniającej bezpieczny internet szero-</t>
  </si>
  <si>
    <t>kopasmowy i wyrównanie dysproporcji w zakresie dostępu do internetu,</t>
  </si>
  <si>
    <t>a także umożliwiającej wykorzystanie nowoczesnych technologii</t>
  </si>
  <si>
    <t>2007  2012</t>
  </si>
  <si>
    <t>750  75023</t>
  </si>
  <si>
    <t xml:space="preserve">Ulepszona wymiana danych, lepsza komunikacja na wielu szczeblach </t>
  </si>
  <si>
    <t xml:space="preserve">administracji, szybki dostęp o każdej porze do serwisu informacyjnego, </t>
  </si>
  <si>
    <t xml:space="preserve">czytelne zarządzanie ładem przestrzennym w województwie. (Kolejny </t>
  </si>
  <si>
    <t>etap informatyzacji Ośrodka Dokumentacji Geodezyjnej i Kartograficznej)</t>
  </si>
  <si>
    <t>720  72095</t>
  </si>
  <si>
    <t>GEOPARK KIELCE</t>
  </si>
  <si>
    <t>Oś Priorytetowa 6: Polska gospodarka na rynku międzynarodowym</t>
  </si>
  <si>
    <t xml:space="preserve">Działanie 6.4: Inwestycje w produkty turystyczne o znaczeniu </t>
  </si>
  <si>
    <t>ponadregionalnym</t>
  </si>
  <si>
    <t>Edukacyjno-turystyczny</t>
  </si>
  <si>
    <t>150  15095</t>
  </si>
  <si>
    <t xml:space="preserve">Stymulowanie rozwoju turystyki i promowanie Kielc oraz regionu </t>
  </si>
  <si>
    <t>w Polsce i za granicą</t>
  </si>
  <si>
    <t>2004  2011</t>
  </si>
  <si>
    <t>Priorytet I: Innowacyjna Gospodarka</t>
  </si>
  <si>
    <t>Działanie 1.3: Wspieranie innowacji</t>
  </si>
  <si>
    <t xml:space="preserve">Utworzenie wielofunkcyjnego terenu aktywności gospodarczej pn. </t>
  </si>
  <si>
    <t xml:space="preserve">Kielecki Park Technologiczny (KPT) stanowiącego kluczowy element </t>
  </si>
  <si>
    <t xml:space="preserve">regionalnego systemu innowacji wojeówdztwa świętokrzyskiego </t>
  </si>
  <si>
    <t xml:space="preserve">świadczącego kompleksowe i profesjonalne usługi w postaci wynajmu </t>
  </si>
  <si>
    <t xml:space="preserve">powierzchni biurowo-usługowo-produkcyjnej oraz usług biznesowych </t>
  </si>
  <si>
    <t xml:space="preserve">i rozwojowych na rzecz przedsiębiorstw działających w oparciu </t>
  </si>
  <si>
    <t>o innowacyjne rozwiązania technologiczne</t>
  </si>
  <si>
    <t>MIEJSKI ZARZĄD DRÓG</t>
  </si>
  <si>
    <t>-</t>
  </si>
  <si>
    <t>Poprawa i rozbudowa infrastruktury drogowej</t>
  </si>
  <si>
    <t>Rozwój systemów komunikacji publicznej</t>
  </si>
  <si>
    <t>600  60016</t>
  </si>
  <si>
    <t>2004  2015</t>
  </si>
  <si>
    <t>600  60015</t>
  </si>
  <si>
    <t xml:space="preserve">Metropolitalnym - budowa ulic usprawniających obsługę komunikacyjną </t>
  </si>
  <si>
    <t>litalnym - węzeł drogowy u zbiegu ulic: Żelazna, 1 Maja, Zagnańska wraz</t>
  </si>
  <si>
    <t>z przebudową Ronda im. Gustawa Herlinga - Grudzińskiego (skrzyżowa-</t>
  </si>
  <si>
    <t>nie drogi wojewódzkiej nr 762 z drogą wojewódzką nr 786)</t>
  </si>
  <si>
    <t>2004  2013</t>
  </si>
  <si>
    <t>Oś Priorytetowa 3: Podniesienie jakości systemu komunikacyjnego regionu</t>
  </si>
  <si>
    <t>Działanie 3.1: Rozwój nowoczesnej infrastruktury komunikacyjnej</t>
  </si>
  <si>
    <t>o znaczeniu regionalnym i ponadregionalnym</t>
  </si>
  <si>
    <t>2008  2012</t>
  </si>
  <si>
    <t xml:space="preserve">od granicy miasta do ul. Karczówkowskiej w Kielcach (ul. Krakowska </t>
  </si>
  <si>
    <t>2005  2012</t>
  </si>
  <si>
    <t xml:space="preserve">skrzyżowań: z ul. Ściegiennego i Husarską oraz z ul. Ks. J. Popiełuszki </t>
  </si>
  <si>
    <t>2008  2013</t>
  </si>
  <si>
    <t xml:space="preserve">Kielce - Rozbudowa ul. Wikaryjskiej na odcinku od drogi krajowej nr 74 </t>
  </si>
  <si>
    <t>Kielce - Rozbudowa ul. Zagórskiej na odcinku od ul. Szczecińskiej</t>
  </si>
  <si>
    <t xml:space="preserve">i otwarcie komunikacyjne historycznego obszaru Stadion - Ogród </t>
  </si>
  <si>
    <t>Ożywienie i poprawa funkcjonalnosci zabytkowego Śródmieścia Miasta</t>
  </si>
  <si>
    <t>2007  2011</t>
  </si>
  <si>
    <t>Marii Panny i okolicznych ulic (odcinek od ul. Sienkiewicza do Pl. NMP)</t>
  </si>
  <si>
    <t xml:space="preserve">od ul. Sienkiewicza do ul. Seminaryjskiej), Czerwonego Krzyża, </t>
  </si>
  <si>
    <t xml:space="preserve">Działanie 6.1: Wzmocnienie regionalnych i sub-regionalnych ośrodków </t>
  </si>
  <si>
    <t xml:space="preserve">pod śródmiejską zabudowę: obszar w rejonie ul. Piotrkowskiej, </t>
  </si>
  <si>
    <t>ul. Silnicznej i Al. IX Wieków Kielc wraz z przebudową skrzyżowania</t>
  </si>
  <si>
    <t>Rozwój bazy do upowszechniania kultury</t>
  </si>
  <si>
    <t>921  92109</t>
  </si>
  <si>
    <t>ZARZĄD TRANSPORTU MIEJSKIEGO W KIELCACH</t>
  </si>
  <si>
    <t>Metropolitalnym - zakup i montaż elektronicznych tablic informacyjnych</t>
  </si>
  <si>
    <t>Stworzenie mieszkańcom przyjaznej komunikacji publicznej</t>
  </si>
  <si>
    <t>600  60004</t>
  </si>
  <si>
    <t>MIEJSKI OŚRODEK POMOCY RODZINIE</t>
  </si>
  <si>
    <t>Świadczenie  usług doradczych w postaci audytów marketingowych</t>
  </si>
  <si>
    <t>Wartość projektu:</t>
  </si>
  <si>
    <t>Priorytet 8: Regionalne Kadry Gospodarki</t>
  </si>
  <si>
    <t>Działanie 8.2: Transfer wiedzy</t>
  </si>
  <si>
    <t>Działanie 8.1: Rozwój pracowników i przedsiębiorstw w regionie</t>
  </si>
  <si>
    <t>Kompleksowe wsparcie szkoleniowo-doradcze dla przedsiębiorstw</t>
  </si>
  <si>
    <t xml:space="preserve">Okres realizacji projektu 1.10.2011 – 30.06.2013. Jedynym zadaniem przewidzianym do realizacji do końca 2011r. był zakup komputera z oprogramowaniem   </t>
  </si>
  <si>
    <t>710      71095</t>
  </si>
  <si>
    <t>150       15013</t>
  </si>
  <si>
    <t>150     15013</t>
  </si>
  <si>
    <t>150     15011</t>
  </si>
  <si>
    <t>Wydatki poniesione                do dnia              31.12.2011r.</t>
  </si>
  <si>
    <t>Planowane wydatki                      po zmianach                          na 31.12.2011r.</t>
  </si>
  <si>
    <t>Wykonanie                       na dzień            31.12.2011r.</t>
  </si>
  <si>
    <t xml:space="preserve">Wydatki poniesione w projekcie do dnia 31.12.2011r to głównie koszty wynagrodzeń. Znaczący postęp              w realizacji projektu przewiduje się w 2012 roku. </t>
  </si>
  <si>
    <t>Projekt zakończony</t>
  </si>
  <si>
    <t xml:space="preserve">Działanie 9.1: Wyrównywanie szans edukacyjnych i zapewnienie wysokiej </t>
  </si>
  <si>
    <t>jakości usług edukacyjnych świadczonych w systemie oświaty</t>
  </si>
  <si>
    <t>Działanie 9.1: Wyrównywanie szans edukacyjnych i zapewnienie wysokiej</t>
  </si>
  <si>
    <t xml:space="preserve">poprzez doradztwo zawodowe i podwyższenie jakości kształcenia </t>
  </si>
  <si>
    <t>wyrównywanie szans eudukacyjnych w ramach Programu Operacyjnego</t>
  </si>
  <si>
    <t>Projekt w trakcie realizacji</t>
  </si>
  <si>
    <t>Działanie 9.4: Wyrównanie szans edukacyjnych i zapewnienie wysokiej</t>
  </si>
  <si>
    <t>Gminie Kielce</t>
  </si>
  <si>
    <t>Regionalny program operacyjny województwa swiętokrzyskiego</t>
  </si>
  <si>
    <t>Oś Priorytetowa 2: Wsparcie innowacyjności, budowa społeczeństwa informacyjnego oraz wzrost potencjału inwestycyjnego regionu</t>
  </si>
  <si>
    <t>Poniesione wydatki dotyczą promocji projektu, tj. zakupu materiałów promocyjnych. Pozostała kwota z uwagi na zmiany w harmonogramie rzeczowo – finansowym, będzie wydatkowana w roku 2012.</t>
  </si>
  <si>
    <t>Zrealizowana kwota wydatków dotyczy zakupu materiałów promocyjnych na potrzeby realizacji projektu.Pozostała kwota z uwagi na zmiany w harmonogramie rzeczowo – finansowym, będzie wydatkowana w roku 2012. Ponadto kwota 6.352zł zostala ujęta w wykazie wydatkow, niewygasajacych.</t>
  </si>
  <si>
    <t>Realizacja wydatków nastąpi w 2012r. W 2011r. przeprowadzono postępowanie o zamówienie publiczne na dygitalizację i wektoryzację PZG i K i zawarto umowę z wyłonionym wykonawcą. 
 W 2012r. zostanie przeprowadzone postępowanie o zamówienie publiczne na zakup sprzętu i oprogramowania.</t>
  </si>
  <si>
    <t>Został zrealizowany i odebrany budynek Centrum Geoedukacji wraz z zagospodarowaniem terenu. Uzyskano decyzję o pozwoleniu na użytkowanie.         Trwają prace związane z wykonaiem ekspozycji stałej  - planowany termin zakńczenia 31.05.2012r</t>
  </si>
  <si>
    <t>Polecenie zapłaty nakazu sądowego- zrealizowane w 05/2011r</t>
  </si>
  <si>
    <t>Regionalny program operacyjny województwa świętokrzyskiego</t>
  </si>
  <si>
    <t>Oś. Priorytetowa 6. Wzmocnienie ośrodków miejskich i rewitalizacja małych miast</t>
  </si>
  <si>
    <t>Projekt zakończony, środki przeniesione na wydatki niewygasające</t>
  </si>
  <si>
    <t>W założeniach projektu przewidziano podwyżki wynagrodzeń dla uczestników projektu, z których zrezygnowano w roku 2011. Zaaoszczędzone środki finansowe pozwoliły na przedłużenie okresu realizacji projektu do końca listopada 2012 roku.</t>
  </si>
  <si>
    <t>Dzięki środkom zaoszczędzonym w roku 2011 udało się przedłużyć okres realizacji projektu o dwa miesiące.</t>
  </si>
  <si>
    <t xml:space="preserve">Planowany termin realizacji inwestycji uzależniony od uzyskania dofinansowania na realizację. </t>
  </si>
  <si>
    <t>Inwestycja zakończona. Wykonano pętle autobusowe na ul. Nowaka-Jeziorańskiego, Massalskiego, Piekoszowskiej, zbudowano zatoki autobusowe w ul. Zagórskiej, Domaszowskiej, Zagórskiej II, Okrzei. Przy ul. Nowaka-Jeziorańskiego oraz Massalskiego wykonano również infrastrukturę dla obsługi pasażerów - dworce autobusowe. Petle i zatoki autobusowe przebudowano wraz z infrastrukturą  techniczną.</t>
  </si>
  <si>
    <t>Inwestycja zakończona. Trwa procedura ostatecznego rozliczenia inwestycji</t>
  </si>
  <si>
    <t>Inwestycja w trakcie realizacji: Prace budowlane zgodnie z harmonogramem. Planowany termin zakończenia budowy: 15.03.2013 r.</t>
  </si>
  <si>
    <t>Inwestycja w trakcie realizacji. Trwają prace budowlane zgodnie z harmonogramem. Planowany termin zakończenia inwestycji drogowej: 10.12.2012 r.</t>
  </si>
  <si>
    <t>Inwestycja w trakcie realizacji: Trwają prace budowlane zgodnie z harmonogramem. Planowany termin zakończenia budowy: 28.09.2012 r.</t>
  </si>
  <si>
    <t>Inwestycja zakończona. Wykonano: wymianę nawierzchni jezdni , chdników, zieleńców. Jednia o dwóch pasach ruchu 2x3,5 m długości 590m,  przebudowano system odwodnienia, przebudowano oświetlenie uliczne i kolidującej sieci linii NN</t>
  </si>
  <si>
    <t>Planowany termin realizacji inwestycji uzależniony od uzyskania  środków finansowych na realizację inwestycji. Dokumentacja projektowa przygotowana. Brak wystąpienia o ZRID (możliwy po zapewnieniu środków na odszkodowania).</t>
  </si>
  <si>
    <t>Trwają prace projektowe.Po odbiorze zostanie złożony wniosek o ZRID. Realizacja w latach 2012 - 2013</t>
  </si>
  <si>
    <t xml:space="preserve">Inwestycja zakończona. Trwają procedury ostatecznego rozliczenia. </t>
  </si>
  <si>
    <t>Inwestycja zakończona. Trwają procedury ostatecznego rozliczenia.</t>
  </si>
  <si>
    <t>Inwestycja zakończona. Trwają procedury ostatecznego rozliczenia oraz odbioru inwestycji</t>
  </si>
  <si>
    <t xml:space="preserve">Inwestycja w trakcie realizacji: Wydłużono aneksem termin zakończenia prac do maja 2012 r. Trwają prace budowlane zgodne z nowym harmonogramem prac budowlanych. </t>
  </si>
  <si>
    <t>Trwają prace projektowe.Realizację prac budowlanych zaplanowano na  II połowę 2012 r.</t>
  </si>
  <si>
    <t xml:space="preserve"> Środki zostały przeznaczone na zakup oprogramowania komputerowego na potrzeby realizacji projektu.Pozostała kwota z uwagi na zmiany w harmonogramie rzeczowo – finansowym, będzie wydatkowana w roku 2012.</t>
  </si>
  <si>
    <t>Działanie 6.1: Wzmocnienie regionalnych i sub - regionalnych ośrodków</t>
  </si>
  <si>
    <t>Zadanie jest elementem projektu obejmującego głównie wydatki bieżące; część inwestycyjna projektu została zakończona w latach ubiegłych</t>
  </si>
  <si>
    <t xml:space="preserve">Największe nakłady finansowe w kwocie 41 322 938,88 zł zostały poniesione na roboty budowlane: rozbudowę istniejącego budynku Inkubatora Technologicznego, budowę Centrum Technologicznego </t>
  </si>
  <si>
    <t>Audyt Marketingowy Młodej  Firmy - nową usługą dla przedsiębiorstw</t>
  </si>
  <si>
    <t>świadczoną przez instytucje otoczenia biznesu"</t>
  </si>
  <si>
    <t>proinnowacyjne oraz ich sieci o znaczeniu ponadregionalnym</t>
  </si>
  <si>
    <t xml:space="preserve">Realizacja projektu rozpoczęła się w dniu 1.03.2011r i będzie trwała do 30.06.2013r. Do końca 2011r. zrealizowano wszystkie zadania przewidziane w harmonogramie finansowo - rzeczowym projektu. </t>
  </si>
  <si>
    <t xml:space="preserve">Kręgi Innowacji - rozwój zintegrowanych narzędzi wspierania </t>
  </si>
  <si>
    <t>innowacyjności województwa w obszarach o dużym potencjale wzrostu</t>
  </si>
  <si>
    <t xml:space="preserve">Stworzenie formalnego forum współpracy instytucji regionalnych </t>
  </si>
  <si>
    <t xml:space="preserve">tj. uczestników procesów innowacji bazujących na procesach transferu </t>
  </si>
  <si>
    <t xml:space="preserve">wiedzy i technologii pomiędzy sferą B+R i przedsiębiorstwami w zakresie </t>
  </si>
  <si>
    <t xml:space="preserve">wzornictwa w postaci Kręgu Innowacji wzornictwo. Ponadto w wyniku </t>
  </si>
  <si>
    <t xml:space="preserve">realizacji projektu zostanie wdrożony portfel proinnowacyjnych usług </t>
  </si>
  <si>
    <t xml:space="preserve">doradczych (strategie produktowe, rebranding marki) w oparciu </t>
  </si>
  <si>
    <t>o Laboratorium Design</t>
  </si>
  <si>
    <t>Priorytet 5. Dyfuzja innowacji</t>
  </si>
  <si>
    <t xml:space="preserve">Działanie 5.2 Wspieranie instytucji otoczenia biznesu świadczących usługi </t>
  </si>
  <si>
    <t xml:space="preserve">Ludzie-Biznes-Innowacje - kompleksowe wsparcie szkoleniowo-doradcze dla </t>
  </si>
  <si>
    <t>kadry zarządzajacej i pracowników/nic firm</t>
  </si>
  <si>
    <t xml:space="preserve">Wiedza i gospodarka -rozwój kompetencji naukowych i biznesowych dla </t>
  </si>
  <si>
    <t>wzrostu konkurencyjności gospodarki regionalnej</t>
  </si>
  <si>
    <t xml:space="preserve">Rozwój kompetencji naukowych i biznesowych dla wzrostu </t>
  </si>
  <si>
    <t>konkurencyjności gospodarki regionalnej</t>
  </si>
  <si>
    <t>Stan zaawansowania prac na dzień 31.12.2011r.: zatrudnionych - 25 osób, liczba objętych wsparciem - 434,  liczba OP biorących udział w inicjatywach integracyjnych - 397 OP, liczba OP którzy ukończyli kursy i szkolenia zawodowe - 437 OP</t>
  </si>
  <si>
    <t>Stworzenie warunków dogodnego dostępu do edukacji przedszkolnej</t>
  </si>
  <si>
    <t>i umożliwienie dzieciom udziału w dodatkowych zajęciach dydakty-</t>
  </si>
  <si>
    <t>cznych, które mają zasadniczy wpływ na ich równy start w edukacji</t>
  </si>
  <si>
    <t>Wzbogacenie oferty edukacyjnej ZSO 26 poprzez doradztwo zawodowe</t>
  </si>
  <si>
    <t>dla uczniów gimnazjum oraz podniesienie jakości kształcenia z wykorzy-</t>
  </si>
  <si>
    <t>staniem ICT, nowoczesnych metod i środków dydaktycznych w konte-</t>
  </si>
  <si>
    <t>kście zmieniających się potrzeb rynku pracy</t>
  </si>
  <si>
    <t>2009  2010</t>
  </si>
  <si>
    <t xml:space="preserve">Wdrożenie planu rozwojowego w III LO w Kielcach polegającego na </t>
  </si>
  <si>
    <t xml:space="preserve">podniesieniu poziomu osiąganego na maturze do poziomu dobrego </t>
  </si>
  <si>
    <t xml:space="preserve">poprzez podniesienie jakości kształcenia w zakresie nauk mat.-przyr. </t>
  </si>
  <si>
    <t xml:space="preserve">i ICT oraz rozwój kompetencji kluczowych uczniów w przeciągu 12 mies. </t>
  </si>
  <si>
    <t>trwania projektu</t>
  </si>
  <si>
    <t>Rozwój uzdolnień u 188 uczniów SP 33 w zakresie kompetencji</t>
  </si>
  <si>
    <t>kluczowych w latach 2010-2011</t>
  </si>
  <si>
    <t xml:space="preserve">Podniesienie kwalifikacji zawodowych uczniów ZSI, z ukierunkowaniem </t>
  </si>
  <si>
    <t xml:space="preserve">na rozwój kompetencji kluczowych ze szczególnym uwzględnieniem ICT, </t>
  </si>
  <si>
    <t>przedmiotów ścisłych, przedsiębiorczości i języka angielskiego</t>
  </si>
  <si>
    <t>Wyposażenie w dodatkową wiedzę i umiejętności zawodowe 350 uczniów</t>
  </si>
  <si>
    <t>ZSPS, umożliwiające im mobilność na krajowym i europejskim rynku pracy</t>
  </si>
  <si>
    <t>Podniesienie atrakcyjności i jakości oferty edukacyjnej ZSElek. służące</t>
  </si>
  <si>
    <t>rozwojowi kompetencji kluczowych i kwalifikacji zawodowych oraz</t>
  </si>
  <si>
    <t>zwiększeniu zdolności uczniów do przyszłego zatrudnienia</t>
  </si>
  <si>
    <t>Planowane wydatki dotyczą promocji projektu. W związku ze zmianą harmonogramu projektu środki te będą wydatkowane w roku 2012. Niewykorzystana kwota z uwagi na zmiany w harmonogramie rzeczowo-finansowym, będzie wydatkowana w roku 2012.</t>
  </si>
  <si>
    <t>2011  2013</t>
  </si>
  <si>
    <t xml:space="preserve">Podniesienie kompetencji podstawowych i specjalistycznych kwalifikacji </t>
  </si>
  <si>
    <t xml:space="preserve">zawodowych dla zawodów nauczanych w ZSZ6 w ZSPg1 wśród 140 </t>
  </si>
  <si>
    <t>uczniów</t>
  </si>
  <si>
    <t xml:space="preserve">Wzmocnienie atrakcyjności i podniesienie jakości kształcenia </t>
  </si>
  <si>
    <t xml:space="preserve">zawodowego służącego podniesieniu zdolności uczniów ZSPg2 </t>
  </si>
  <si>
    <t xml:space="preserve">do zatrudnienia w Polsce, ale także na rynku europejskim oraz </t>
  </si>
  <si>
    <t xml:space="preserve">podniesienie poziomu zdawalności Ugzaminu z Przygotowania </t>
  </si>
  <si>
    <t>Zawodowego</t>
  </si>
  <si>
    <t>Poszerzenie kwalifikacji nauczycieli kształcenia zawodowego oraz</t>
  </si>
  <si>
    <t>podniesienie jakości procesu nauczania</t>
  </si>
  <si>
    <t>Nabycie lub poszerzenie posiadanych umiejętności językowych a przez</t>
  </si>
  <si>
    <t>to zwiększenie aktywności i efektywności zawodowej, a także otwarcie</t>
  </si>
  <si>
    <t>drogi do uzupełnienia kwalifikacji nauczycieli</t>
  </si>
  <si>
    <t>2010  2013</t>
  </si>
  <si>
    <t>Podniesienie efektywności kształcenia kieleckich nauczycieli gimnazjów</t>
  </si>
  <si>
    <t>w zakresie umiejętności sprawdzanych na egzaminach zewnętrznych</t>
  </si>
  <si>
    <t>Wyeliminowanie trudności oraz rozszerzenie umiejętności uczniów</t>
  </si>
  <si>
    <t>w procesie edukacyjnym poprzez indywidualizację procesu kształcenia</t>
  </si>
  <si>
    <t>dzieci z klas I-III w Gminie Kielce oraz zapewnienie oferty edukacyjno-</t>
  </si>
  <si>
    <t>wychowawczo-profilaktycznej zgodnej z potrzebami i możliwościami edu-</t>
  </si>
  <si>
    <t>kacyjnymi i rozwojowymi dzieci biorącymi udział w I etapie edukacyjnym</t>
  </si>
  <si>
    <t>801  80130</t>
  </si>
  <si>
    <t>Podniesienie wśród uczniów ZSM i całej lokalnej społeczności poziomu</t>
  </si>
  <si>
    <t xml:space="preserve">rzetelnej i precyzyjnej wiedzy na temat odnawialnych źródeł energii oraz </t>
  </si>
  <si>
    <t>możliwości ich wykorzystania w skali globalnej i w regionie</t>
  </si>
  <si>
    <t>Przedszkole dla Mnie i dla Ciebie - Bajkowe Królestwo</t>
  </si>
  <si>
    <t>WIEDZA DROGĄ DO SUKCESU. Rozszerzenie oferty edukacyjnej szkoły</t>
  </si>
  <si>
    <t>z wykorzystaniem ICT</t>
  </si>
  <si>
    <t>Nowoczesny Absolwent. Rozwijanie kompetencji kluczowych, wyrównywanie</t>
  </si>
  <si>
    <t>Operacyjnego Kapitał Ludzki</t>
  </si>
  <si>
    <t>Budowa infrastruktury Kieleckiego Parku Technologicznego</t>
  </si>
  <si>
    <t>Świat w moim domu</t>
  </si>
  <si>
    <t>Działanie szansą na przyszłość</t>
  </si>
  <si>
    <t>Poszukiwana, Poszukiwany</t>
  </si>
  <si>
    <t>Profesjonalni na co dzień</t>
  </si>
  <si>
    <t>Wysokie kwalifikacje przyszłych absolwentów szkoły gwarancją sukcesu</t>
  </si>
  <si>
    <t>zawodowego</t>
  </si>
  <si>
    <t>Doskonalenie zawodowe szansą większej konkurencyjności na rynku pracy</t>
  </si>
  <si>
    <t>ZSE szkołą zawodowych kompetencji</t>
  </si>
  <si>
    <t>Mój zawód przyszłości</t>
  </si>
  <si>
    <t>Szkolne labolatorium ochrony środowiska na miarę XXI wieku</t>
  </si>
  <si>
    <t>Kurs AutoCADa dla nauczycieli kształcenia zawodowego</t>
  </si>
  <si>
    <t>Nauczyciel mówi po angielsku - kurs doskonalający</t>
  </si>
  <si>
    <t>Nauczyciel sukcesu</t>
  </si>
  <si>
    <t>Indywidualizacja nauczania i wychowania, klas I-III Szkół podstawowych w</t>
  </si>
  <si>
    <t>Nowoczesny budowlaniec</t>
  </si>
  <si>
    <t>Energia pochodzi z nieba … ale i z piekła trochę też</t>
  </si>
  <si>
    <t>Jeśli chcesz zobaczyć piękno świata, najpierw musisz je dostrzec w sobie</t>
  </si>
  <si>
    <t>801  80101</t>
  </si>
  <si>
    <t>Polepszenie jakości i europejskiego wymiaru komunikacji uczniów SP2</t>
  </si>
  <si>
    <t>801  80110</t>
  </si>
  <si>
    <t>Zbadanie podobieństw i różnic codziennego życia w poszczególnych kra-</t>
  </si>
  <si>
    <t>jach w kontekście dziedzin: tradycji, religii, geograficznego odosobnienia</t>
  </si>
  <si>
    <t>i ekonomii poszczególnych krajów ze szkół partnerskich w projekcie</t>
  </si>
  <si>
    <t xml:space="preserve">Zachęcanie uczniów szkół partnerskich do współzawodnictwa w grach </t>
  </si>
  <si>
    <t xml:space="preserve">tematycznie związanych z dziedzictwem i różnorodnością kulturową </t>
  </si>
  <si>
    <t>w celu odkrywania własnej tożsamości narodowej</t>
  </si>
  <si>
    <t>Odżywianie poprzez wieki</t>
  </si>
  <si>
    <t>Eurogames. Games connecting Europe</t>
  </si>
  <si>
    <t>Sensing.Europe</t>
  </si>
  <si>
    <t>20.</t>
  </si>
  <si>
    <t>Wyeliminowanie negatywnych stereotypów o europejskich stylach życia</t>
  </si>
  <si>
    <t>i zbudowanie w uczniach szkół partnerskich europejskiej tożsamości</t>
  </si>
  <si>
    <t>Words that brings us together - languages and creativity</t>
  </si>
  <si>
    <t>Przełamanie barier językowych uczniów szkół partnerskich oraz podwyż-</t>
  </si>
  <si>
    <t>szenie jakości metod nauczania języków obcych przez nauczycieli</t>
  </si>
  <si>
    <t>21.</t>
  </si>
  <si>
    <t>22.</t>
  </si>
  <si>
    <t>23.</t>
  </si>
  <si>
    <t>24.</t>
  </si>
  <si>
    <t>25.</t>
  </si>
  <si>
    <t>801  80120</t>
  </si>
  <si>
    <t>26.</t>
  </si>
  <si>
    <t>27.</t>
  </si>
  <si>
    <t>28.</t>
  </si>
  <si>
    <t>29.</t>
  </si>
  <si>
    <t>30.</t>
  </si>
  <si>
    <t>Umożliwienie uczniom ZSE M.Kopernika zastosowania i pogłębienia</t>
  </si>
  <si>
    <t xml:space="preserve">nabytej w szkole wiedzy i umiejętności w rzeczywistych warunkach </t>
  </si>
  <si>
    <t>pracy, zdobycie i poszerzenie kwalifikacji zawodowych uczniów, podnie-</t>
  </si>
  <si>
    <t>sienie ich kompetencji językowych i jakości kształcenia zawodowego</t>
  </si>
  <si>
    <t>Poszerzenie kwalifikacji zawodowych, kompetencji językowych, podnie-</t>
  </si>
  <si>
    <t xml:space="preserve">sienie jakości kształcenia zawodowego oraz atrakcyjności przyszłych </t>
  </si>
  <si>
    <t xml:space="preserve">techników - absolwentów ZSPg2 na trudnym i konkurencyjnym rynku </t>
  </si>
  <si>
    <t>pracy</t>
  </si>
  <si>
    <t>31.</t>
  </si>
  <si>
    <t>921  92114</t>
  </si>
  <si>
    <t>Promocja Kielc i regionu świętokrzyskiego poprzez sztukę festiwalową</t>
  </si>
  <si>
    <t>Promocja i reklama warunkiem sukcesu firmy</t>
  </si>
  <si>
    <t>Wymiana doświadczeń nauczycieli w dziedzinie szkolnictwa zawodo-</t>
  </si>
  <si>
    <t>wego, poznanie brytyjskiego szkolnictwa zawodowego, organizacja</t>
  </si>
  <si>
    <t xml:space="preserve">nauczania i certyfikowania umiejętności zawodowych, systemu </t>
  </si>
  <si>
    <t>organizacji praktyk zawodowych</t>
  </si>
  <si>
    <t xml:space="preserve">Reklama i sprzedaż z wykorzystaniem nowoczesnych technologii </t>
  </si>
  <si>
    <t>informatycznych</t>
  </si>
  <si>
    <t>Kształcenie zawodowe na przykładzie brytyjskim</t>
  </si>
  <si>
    <t>Europejskie standardy kształcenia zawodowego - system brytyjski</t>
  </si>
  <si>
    <t>Ochrona środowiska w Unii Europejskiej na przykładzie brytyjskim</t>
  </si>
  <si>
    <t>Supporting Intercultural Education through Museums: Think, Talk, Touch</t>
  </si>
  <si>
    <t>Euroguide: A Students Guidebook through Young Europe</t>
  </si>
  <si>
    <t>The World through Our Eyes</t>
  </si>
  <si>
    <t>Young Explorers</t>
  </si>
  <si>
    <t xml:space="preserve">Rozwój systemu komunikacji publicznej w Kieleckim Obszarze </t>
  </si>
  <si>
    <t>Metropolitalnym</t>
  </si>
  <si>
    <t>Tworzenie i rozwój sieci współpracy Centrów Obsługi Inwestora</t>
  </si>
  <si>
    <t>Rewitalizacja Zabytkowego Sródmieścia Kielc - etap I</t>
  </si>
  <si>
    <t>Rewitalizacja Zabytkowego Sródmieścia Kielc - etap II</t>
  </si>
  <si>
    <t>Rola miast w zintegrowanym rozwoju regionalnym</t>
  </si>
  <si>
    <t xml:space="preserve">E- Świętokrzyskie - budowa sieci światłowodowych wraz z urządzeniami </t>
  </si>
  <si>
    <t>na terenie Miasta Kielce</t>
  </si>
  <si>
    <t xml:space="preserve">E- Świętokrzyskie  Budowa Systemu Informacji Przestrzennej </t>
  </si>
  <si>
    <t>Województwa Świętokrzyskiego</t>
  </si>
  <si>
    <t>Geopark Kielce - Centrum Geoedukacji</t>
  </si>
  <si>
    <t>Geopark Kielce - przebudowa Amfiteatru Kadzielnia</t>
  </si>
  <si>
    <t>Rozbudowa ul. Ściegiennego w ciągu drogi krajowej nr 73 w Kielcach</t>
  </si>
  <si>
    <t>Metropolitalnym - budowa pętli i zatok autobusowych</t>
  </si>
  <si>
    <t>w zachodniej części miasta (rejon Targów Kielce)</t>
  </si>
  <si>
    <t>Rozwój systemu komunikacji publicznej w Kieleckim Obszarze Metropo-</t>
  </si>
  <si>
    <t xml:space="preserve">Budowa węzła drogowego u zbiegu ulic: Armii Krajowej, Żelaznej, </t>
  </si>
  <si>
    <t>Grunwaldzkiej, Żytniej w Kielcach</t>
  </si>
  <si>
    <t xml:space="preserve">Przebudowa i rozbudowa drogi wojewódzkiej nr 762 na odcinku </t>
  </si>
  <si>
    <t>i ul. Armii Krajowej)</t>
  </si>
  <si>
    <t>Przebudowa i rozbudowa ul. Chęcińskiej na odcinku od ul. Karczów-</t>
  </si>
  <si>
    <t>kowskiej do ul. Krakowskiej</t>
  </si>
  <si>
    <t xml:space="preserve">Rozbudowa ulic usprawniających powiązania komunikacyjne miasta </t>
  </si>
  <si>
    <t>i Armii Ludowej w Kielcach - dokumentacja, wykupy, roboty rozbiórkowe</t>
  </si>
  <si>
    <t xml:space="preserve">Kielce - Rozbudowa ul. Wapiennikowej w Kielcach wraz z rozbudową </t>
  </si>
  <si>
    <t>do ul. Prostej</t>
  </si>
  <si>
    <t xml:space="preserve">Rewitalizacja Miasta Kielce - przywrócenie przestrzeni publicznej </t>
  </si>
  <si>
    <t xml:space="preserve"> - otwarcie komunikacyjne obszaru rewitalizowanego</t>
  </si>
  <si>
    <t xml:space="preserve">Rewitalizacja Śródmieścia Kielc - budowa ul. Nowosilnicznej (odcinek </t>
  </si>
  <si>
    <t>od ul. Warszawskiej do Pl. Św. Wojciecha)</t>
  </si>
  <si>
    <t xml:space="preserve">Rewitalizacja Śródmieścia Kielc - przebudowa płyty Placu Najświętszej </t>
  </si>
  <si>
    <t>i ul. Kapitulnej</t>
  </si>
  <si>
    <t xml:space="preserve">Rewitalizacja Śródmieścia Kielc - przebudowa płyty Rynku i okolicznych </t>
  </si>
  <si>
    <t>ulic (odcinek od ul. Sienkiewicza do Rynku)</t>
  </si>
  <si>
    <t xml:space="preserve">Rewitalizacja Śródmieścia Kielc - przebudowa ulic: Wesoła (na odcinku </t>
  </si>
  <si>
    <t>Mickiewicza i Św. Leonarda (na odcinku od Rynku do ul. Wesołej)</t>
  </si>
  <si>
    <t xml:space="preserve">Rewitalizacja Śródmieścia Kielc - przebudowa wnętrza ul. Warszawskiej </t>
  </si>
  <si>
    <t>(odcinek od Al. IX Wieków Kielc do ul. Orlej)</t>
  </si>
  <si>
    <t xml:space="preserve">Rewitalizacja Śródmieścia Kielc - przygotowanie infrastrukturalne terenu </t>
  </si>
  <si>
    <t>ul. Nowy Świat z Al. IX Wieków Kielc</t>
  </si>
  <si>
    <t xml:space="preserve">Rewitalizacja Śródmieścia Kielc - zagospodarowanie miejskich </t>
  </si>
  <si>
    <t>przestrzeni publicznych - przebudowa ul. Leśnej</t>
  </si>
  <si>
    <t>przestrzeni publicznych - przebudowa ul. Planty</t>
  </si>
  <si>
    <t xml:space="preserve">Rewitalizacja Śródmieścia Kielc - przebudowa Zespołu Obiektów </t>
  </si>
  <si>
    <t>Powięziennych przy ul. Zamkowej 3</t>
  </si>
  <si>
    <t>i stacjonarnych automatów do sprzedaży biletów</t>
  </si>
  <si>
    <t>Zadanie zrealizowane; zakupiono i zamontowano 24 elektroniczne tablice informacyjne i 20 stacjonarnych automatów do sprzedaży biletów</t>
  </si>
  <si>
    <t>Bieżące</t>
  </si>
  <si>
    <t>POKL</t>
  </si>
  <si>
    <t>POIG</t>
  </si>
  <si>
    <t>PORPW</t>
  </si>
  <si>
    <t>RPOWŚ</t>
  </si>
  <si>
    <t>Majątkowe</t>
  </si>
  <si>
    <t>Leonardo da Vinci</t>
  </si>
  <si>
    <t>POIŚ</t>
  </si>
  <si>
    <t>Razem</t>
  </si>
  <si>
    <t>własne</t>
  </si>
  <si>
    <t>UE</t>
  </si>
  <si>
    <t>kredyty</t>
  </si>
  <si>
    <t>kredyty poza.</t>
  </si>
  <si>
    <t>własne poza.</t>
  </si>
  <si>
    <t>dotacje i inne</t>
  </si>
  <si>
    <t xml:space="preserve">Uczeń z pasją. Rozwijanie kompetencji kluczowych w powiązaniu z dalszą </t>
  </si>
  <si>
    <t>edukacją i rynkiem pracy</t>
  </si>
  <si>
    <t>Wydatki bieżące</t>
  </si>
  <si>
    <t>w tym:</t>
  </si>
  <si>
    <t>Łączne wydatki</t>
  </si>
  <si>
    <t>Liczba przedsięwzięć</t>
  </si>
  <si>
    <t>Wydatki na przedsięwzięcia majątkowe</t>
  </si>
  <si>
    <t>Wydatki na przedsięwzięcia majątkowe:</t>
  </si>
  <si>
    <t>Program Operacyjny Infrastruktura i Środowisko</t>
  </si>
  <si>
    <t>kredyty poza-             projektowe</t>
  </si>
  <si>
    <t>własne poza-             projektowe</t>
  </si>
  <si>
    <t>Liczba przedsię-wzięć</t>
  </si>
  <si>
    <t>Miejski Ośrodek Pomocy Rodzinie</t>
  </si>
  <si>
    <t>Miejski Urząd Pracy</t>
  </si>
  <si>
    <t>Wydział Edukacji, Kultury i Sportu</t>
  </si>
  <si>
    <t>Wydział Projektów Strukturalnych i Strategii Miasta</t>
  </si>
  <si>
    <t>Wydatki na przedsięwzięcia bieżące</t>
  </si>
  <si>
    <t>Zakład Obsługi i Informatyki Urzędu Miasta</t>
  </si>
  <si>
    <t>Geopark Kielce</t>
  </si>
  <si>
    <t>Kielecki Park Technologiczny</t>
  </si>
  <si>
    <t>Miejski Zarząd Dróg</t>
  </si>
  <si>
    <t xml:space="preserve">Zarząd transportu Miejskiego </t>
  </si>
  <si>
    <t xml:space="preserve">Okres realizacji projektu 1.09.2011 – 30.06.2013. Do końca 2011r. zrealizowano wszystkie zadania przewidziane w harmonogramie finansowo - rzeczowym projektu. Poniesiono wydatki na: wynagrodzenia zespołu projektowego, zakup komputerów wraz z oprogramowaniem,  zorganizowanie spotkania inicjującego krąg Wzornictwo, wynagrodzenia ekspertów zagranicznych, koszty prowadzenia wydzielonego biura projektu. </t>
  </si>
  <si>
    <t xml:space="preserve">Okres realizacji projektu 01.12.2011 – 31.05.2013. Do końca 2011r. zrealizowano wszystkie zadania przewidziane w harmonogramie finansowo - rzeczowym projektu.  Poniesiono wydatki na:wynagrodzenia zespołu projektowego, obsługę prawną oraz promocję. </t>
  </si>
  <si>
    <t>Realizacja wydatków dotyczących tego projektu objęła wydatki związane z: aktualizacją ofert inwestycyjnych z 14 gmin Kieleckiego Obszaru Metropolitalnego, zakupem sprzętu komputerowego wraz z oprogramowaniem na potrzeby realizacji projektu. Pozostała kwota z uwagi na zmiany w harmonogramie rzeczowo – finansowym, będzie wydatkowana w roku 2012.</t>
  </si>
  <si>
    <t>Środki wydatkowano m.in.na: wynagrodzenie wraz z pochodnymi dla koordynatora projektu, koszty krajowych i zagranicznych podróży służbowych w związku z realizacją projektu, moderacja spotkania Lokalnej Grupy Wsparcia w ramach realizacji projektu, organizację spotkania kończącego realizację projektu w tym; opracowanie konspektu, tłumaczenie rozmów, usługa cateringowa,
Projekt został zakończony i rozliczony.</t>
  </si>
  <si>
    <t xml:space="preserve">Poniesione wydatki dotyczą: wykonania kanalizacji teletechnicznej w ul. Częstochowskiej, Skłodowskiej-Curie, Górniczej, Rynek, Dużej, Warszawskiej, Świętokrzyskiej, kosztów osobowych związanych z zarządzaniem projektem, nadzoru inwestorskiego  i autorskiego,  promocję Projektu,  odsetek od  kredytu zaciągniętego w ING Banku Śląskim na sfinsowanie zadania. Pozostałe wydatki realizowanego projektu (wymienione wyżej oraz zakup sprzętu /część aktywna projektu/  będą poniesione w 2012r.. </t>
  </si>
  <si>
    <t xml:space="preserve">Inwestycja zakończona. Wykonano: roboty drogowe na długość 1.800 m, jezdnia dwukierunkowa o szer. 6 m,  chodniki z kostki betonowej, kanalizację deszczową, przebudowano wodociąg, wykonano nowe gazociągi średniego ciśnienia, oświetlenie uliczne na dł. 1.300m, nowe słupy napowietrzne 42 szt.. </t>
  </si>
  <si>
    <t>Inwestycja zakończona. Wykonano: Kanalizację deszczową, oświetlenie, telekomunikację, małą architekturę i fontannę, ławki, stojaki na rowery, szalet miejski, nawierzchnia z płyt granitowych na powierzchni Rynku i Placu Św. Tekli 8.960 m2</t>
  </si>
  <si>
    <t>Inwestycja zakończona. Wykonano: kanalizację deszczową, oświetlenie i jezdnię. Długość 300 m, pow. 1.520 m2</t>
  </si>
  <si>
    <t>Inwestycja zakończona. Wykonano: kanał deszczowy, oświetlenie,  kładkę dla pieszych nad Silnicą, jezdnię. Długość 260 m, powierzchnia 1.235 m2</t>
  </si>
  <si>
    <t>Szkolny Klub Utalentowanych Ludzi</t>
  </si>
  <si>
    <t>Tabela Nr 2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</si>
</sst>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i/>
      <sz val="6.5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6"/>
      <name val="Arial"/>
      <family val="2"/>
      <charset val="238"/>
    </font>
    <font>
      <b/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4" fontId="6" fillId="4" borderId="5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vertical="center"/>
    </xf>
    <xf numFmtId="164" fontId="8" fillId="4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4" fontId="8" fillId="0" borderId="6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 wrapText="1"/>
    </xf>
    <xf numFmtId="4" fontId="8" fillId="5" borderId="6" xfId="0" applyNumberFormat="1" applyFont="1" applyFill="1" applyBorder="1" applyAlignment="1">
      <alignment vertical="center"/>
    </xf>
    <xf numFmtId="164" fontId="8" fillId="5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8" fillId="3" borderId="7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7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9" fontId="10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8" fillId="3" borderId="8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3" fontId="8" fillId="5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9" fontId="8" fillId="8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center" vertical="center"/>
    </xf>
    <xf numFmtId="49" fontId="8" fillId="8" borderId="8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4" fontId="8" fillId="0" borderId="8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8" fillId="0" borderId="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vertical="center"/>
    </xf>
    <xf numFmtId="4" fontId="8" fillId="7" borderId="2" xfId="0" applyNumberFormat="1" applyFont="1" applyFill="1" applyBorder="1" applyAlignment="1">
      <alignment vertical="center"/>
    </xf>
    <xf numFmtId="164" fontId="8" fillId="7" borderId="2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49" fontId="8" fillId="8" borderId="9" xfId="0" applyNumberFormat="1" applyFont="1" applyFill="1" applyBorder="1" applyAlignment="1">
      <alignment vertical="center"/>
    </xf>
    <xf numFmtId="3" fontId="8" fillId="0" borderId="9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vertical="center" wrapText="1"/>
    </xf>
    <xf numFmtId="4" fontId="8" fillId="0" borderId="9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0" fillId="0" borderId="0" xfId="0" applyNumberFormat="1"/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2" fontId="0" fillId="0" borderId="0" xfId="0" applyNumberFormat="1"/>
    <xf numFmtId="2" fontId="7" fillId="0" borderId="0" xfId="0" applyNumberFormat="1" applyFont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49" fontId="8" fillId="2" borderId="6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ta\AppData\Local\Microsoft\Windows\Temporary%20Internet%20Files\Content.Outlook\IL5WC2HP\Tabela_Nr_8_unij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9"/>
    </sheetNames>
    <sheetDataSet>
      <sheetData sheetId="0">
        <row r="31">
          <cell r="I31">
            <v>3533.26</v>
          </cell>
        </row>
        <row r="32">
          <cell r="G32">
            <v>4400</v>
          </cell>
          <cell r="I32">
            <v>3533.26</v>
          </cell>
        </row>
        <row r="45">
          <cell r="I45">
            <v>39474.31</v>
          </cell>
        </row>
        <row r="53">
          <cell r="G53">
            <v>0</v>
          </cell>
          <cell r="I53">
            <v>0</v>
          </cell>
        </row>
        <row r="54">
          <cell r="G54">
            <v>43092</v>
          </cell>
          <cell r="I54">
            <v>27603.159999999996</v>
          </cell>
        </row>
        <row r="55">
          <cell r="G55">
            <v>0</v>
          </cell>
          <cell r="I55">
            <v>0</v>
          </cell>
        </row>
        <row r="56">
          <cell r="G56">
            <v>7605</v>
          </cell>
          <cell r="I56">
            <v>4871.1499999999996</v>
          </cell>
        </row>
        <row r="61">
          <cell r="G61">
            <v>0</v>
          </cell>
          <cell r="I61">
            <v>0</v>
          </cell>
        </row>
        <row r="62">
          <cell r="G62">
            <v>5950</v>
          </cell>
          <cell r="I62">
            <v>5950</v>
          </cell>
        </row>
        <row r="63">
          <cell r="G63">
            <v>0</v>
          </cell>
          <cell r="I63">
            <v>0</v>
          </cell>
        </row>
        <row r="64">
          <cell r="G64">
            <v>1050</v>
          </cell>
          <cell r="I64">
            <v>1050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9"/>
  <sheetViews>
    <sheetView tabSelected="1" topLeftCell="A511" zoomScaleNormal="100" zoomScaleSheetLayoutView="85" workbookViewId="0">
      <selection activeCell="M521" sqref="M521"/>
    </sheetView>
  </sheetViews>
  <sheetFormatPr defaultRowHeight="11.25" outlineLevelRow="1"/>
  <cols>
    <col min="1" max="1" width="3" style="15" customWidth="1"/>
    <col min="2" max="2" width="7" style="15" customWidth="1"/>
    <col min="3" max="3" width="53.42578125" style="15" customWidth="1"/>
    <col min="4" max="4" width="4.7109375" style="9" customWidth="1"/>
    <col min="5" max="5" width="5.7109375" style="9" customWidth="1"/>
    <col min="6" max="6" width="33.85546875" style="15" customWidth="1"/>
    <col min="7" max="7" width="11.28515625" style="15" bestFit="1" customWidth="1"/>
    <col min="8" max="8" width="11.28515625" style="15" customWidth="1"/>
    <col min="9" max="9" width="6.7109375" style="15" customWidth="1"/>
    <col min="10" max="12" width="9.7109375" style="15" customWidth="1"/>
    <col min="13" max="13" width="11.7109375" style="15" customWidth="1"/>
    <col min="14" max="14" width="6.7109375" style="15" customWidth="1"/>
    <col min="15" max="15" width="24.7109375" style="95" customWidth="1"/>
    <col min="16" max="16384" width="9.140625" style="96"/>
  </cols>
  <sheetData>
    <row r="1" spans="1:15" s="234" customFormat="1" ht="20.25">
      <c r="C1" s="235"/>
      <c r="D1" s="235"/>
      <c r="O1" s="236" t="s">
        <v>517</v>
      </c>
    </row>
    <row r="2" spans="1:15" s="1" customFormat="1" ht="12.75" customHeight="1">
      <c r="C2" s="237"/>
      <c r="D2" s="237"/>
      <c r="O2" s="236"/>
    </row>
    <row r="3" spans="1:15" s="1" customFormat="1" ht="14.25" customHeight="1">
      <c r="C3" s="237"/>
      <c r="D3" s="237"/>
      <c r="H3" s="15"/>
      <c r="N3" s="15"/>
      <c r="O3" s="236"/>
    </row>
    <row r="4" spans="1:15" ht="14.25" customHeight="1">
      <c r="A4" s="238" t="s">
        <v>16</v>
      </c>
      <c r="O4" s="109"/>
    </row>
    <row r="5" spans="1:15" ht="9.75" customHeight="1">
      <c r="O5" s="110"/>
    </row>
    <row r="6" spans="1:15" s="104" customFormat="1" ht="15" customHeight="1">
      <c r="A6" s="376" t="s">
        <v>17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</row>
    <row r="7" spans="1:15" s="104" customFormat="1" ht="15" customHeight="1">
      <c r="A7" s="376" t="s">
        <v>18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</row>
    <row r="8" spans="1:15" ht="15.95" customHeight="1">
      <c r="N8" s="40"/>
      <c r="O8" s="40" t="s">
        <v>4</v>
      </c>
    </row>
    <row r="9" spans="1:15" ht="15.95" customHeight="1">
      <c r="A9" s="381" t="s">
        <v>5</v>
      </c>
      <c r="B9" s="381" t="s">
        <v>19</v>
      </c>
      <c r="C9" s="381"/>
      <c r="D9" s="382" t="s">
        <v>26</v>
      </c>
      <c r="E9" s="382" t="s">
        <v>29</v>
      </c>
      <c r="F9" s="381" t="s">
        <v>25</v>
      </c>
      <c r="G9" s="381"/>
      <c r="H9" s="381"/>
      <c r="I9" s="381"/>
      <c r="J9" s="375" t="s">
        <v>70</v>
      </c>
      <c r="K9" s="375"/>
      <c r="L9" s="375"/>
      <c r="M9" s="375"/>
      <c r="N9" s="375"/>
      <c r="O9" s="375"/>
    </row>
    <row r="10" spans="1:15" s="97" customFormat="1" ht="47.25" customHeight="1">
      <c r="A10" s="381"/>
      <c r="B10" s="381"/>
      <c r="C10" s="381"/>
      <c r="D10" s="382"/>
      <c r="E10" s="382"/>
      <c r="F10" s="2" t="s">
        <v>6</v>
      </c>
      <c r="G10" s="3" t="s">
        <v>24</v>
      </c>
      <c r="H10" s="3" t="s">
        <v>231</v>
      </c>
      <c r="I10" s="215" t="s">
        <v>47</v>
      </c>
      <c r="J10" s="3" t="s">
        <v>14</v>
      </c>
      <c r="K10" s="3" t="s">
        <v>30</v>
      </c>
      <c r="L10" s="3" t="s">
        <v>232</v>
      </c>
      <c r="M10" s="3" t="s">
        <v>233</v>
      </c>
      <c r="N10" s="215" t="s">
        <v>48</v>
      </c>
      <c r="O10" s="102" t="s">
        <v>0</v>
      </c>
    </row>
    <row r="11" spans="1:15" s="99" customFormat="1" ht="12" customHeight="1">
      <c r="A11" s="4" t="s">
        <v>32</v>
      </c>
      <c r="B11" s="377" t="s">
        <v>33</v>
      </c>
      <c r="C11" s="378"/>
      <c r="D11" s="4" t="s">
        <v>34</v>
      </c>
      <c r="E11" s="4" t="s">
        <v>35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40</v>
      </c>
      <c r="K11" s="4" t="s">
        <v>31</v>
      </c>
      <c r="L11" s="5" t="s">
        <v>41</v>
      </c>
      <c r="M11" s="5" t="s">
        <v>42</v>
      </c>
      <c r="N11" s="4" t="s">
        <v>43</v>
      </c>
      <c r="O11" s="103" t="s">
        <v>44</v>
      </c>
    </row>
    <row r="12" spans="1:15" s="98" customFormat="1" ht="3.95" customHeight="1" outlineLevel="1">
      <c r="A12" s="6"/>
      <c r="B12" s="7"/>
      <c r="C12" s="8"/>
      <c r="D12" s="6"/>
      <c r="E12" s="6"/>
      <c r="F12" s="6"/>
      <c r="G12" s="6"/>
      <c r="H12" s="6"/>
      <c r="I12" s="6"/>
      <c r="J12" s="100"/>
      <c r="K12" s="100"/>
      <c r="L12" s="101"/>
      <c r="M12" s="101"/>
      <c r="N12" s="100"/>
      <c r="O12" s="153"/>
    </row>
    <row r="13" spans="1:15" ht="11.45" customHeight="1" outlineLevel="1">
      <c r="A13" s="10" t="s">
        <v>3</v>
      </c>
      <c r="B13" s="379" t="s">
        <v>20</v>
      </c>
      <c r="C13" s="380"/>
      <c r="D13" s="11"/>
      <c r="E13" s="11"/>
      <c r="F13" s="12"/>
      <c r="G13" s="127">
        <f>SUM(G14:G19)</f>
        <v>828431247.20000005</v>
      </c>
      <c r="H13" s="127">
        <f>SUM(H14:H19)</f>
        <v>347091022</v>
      </c>
      <c r="I13" s="14">
        <f t="shared" ref="I13:I19" si="0">IF(G13&gt;0,H13/G13*100,"-")</f>
        <v>41.897384142996387</v>
      </c>
      <c r="J13" s="127">
        <f>SUM(J14:J19)</f>
        <v>312553780</v>
      </c>
      <c r="K13" s="127">
        <f>SUM(K14:K19)</f>
        <v>-73413079</v>
      </c>
      <c r="L13" s="127">
        <f>SUM(L14:L19)</f>
        <v>239140701</v>
      </c>
      <c r="M13" s="13">
        <f>SUM(M14:M19)</f>
        <v>217975224.10000002</v>
      </c>
      <c r="N13" s="14">
        <f t="shared" ref="N13:N19" si="1">IF(L13&gt;0,M13/L13*100,"-")</f>
        <v>91.149362358020355</v>
      </c>
      <c r="O13" s="353"/>
    </row>
    <row r="14" spans="1:15" ht="11.45" customHeight="1" outlineLevel="1">
      <c r="A14" s="12"/>
      <c r="B14" s="383" t="s">
        <v>15</v>
      </c>
      <c r="C14" s="384"/>
      <c r="D14" s="11"/>
      <c r="E14" s="11"/>
      <c r="F14" s="16"/>
      <c r="G14" s="128">
        <f t="shared" ref="G14:H19" si="2">G23+G570</f>
        <v>133259070</v>
      </c>
      <c r="H14" s="128">
        <f t="shared" si="2"/>
        <v>41224423</v>
      </c>
      <c r="I14" s="18">
        <f t="shared" si="0"/>
        <v>30.935547576611484</v>
      </c>
      <c r="J14" s="128">
        <f t="shared" ref="J14:M19" si="3">J23+J570</f>
        <v>5645432</v>
      </c>
      <c r="K14" s="128">
        <f t="shared" si="3"/>
        <v>2463805</v>
      </c>
      <c r="L14" s="128">
        <f t="shared" si="3"/>
        <v>8109237</v>
      </c>
      <c r="M14" s="17">
        <f t="shared" si="3"/>
        <v>6627779.9000000004</v>
      </c>
      <c r="N14" s="18">
        <f t="shared" si="1"/>
        <v>81.731239326215274</v>
      </c>
      <c r="O14" s="353"/>
    </row>
    <row r="15" spans="1:15" ht="11.45" customHeight="1" outlineLevel="1">
      <c r="A15" s="12"/>
      <c r="B15" s="383" t="s">
        <v>7</v>
      </c>
      <c r="C15" s="384"/>
      <c r="D15" s="11"/>
      <c r="E15" s="11"/>
      <c r="F15" s="16"/>
      <c r="G15" s="128">
        <f t="shared" si="2"/>
        <v>509293309.19999999</v>
      </c>
      <c r="H15" s="128">
        <f t="shared" si="2"/>
        <v>209000905</v>
      </c>
      <c r="I15" s="18">
        <f t="shared" si="0"/>
        <v>41.037433876423677</v>
      </c>
      <c r="J15" s="128">
        <f t="shared" si="3"/>
        <v>229879775</v>
      </c>
      <c r="K15" s="128">
        <f t="shared" si="3"/>
        <v>-70925277</v>
      </c>
      <c r="L15" s="128">
        <f t="shared" si="3"/>
        <v>158954498</v>
      </c>
      <c r="M15" s="17">
        <f t="shared" si="3"/>
        <v>144062772.62</v>
      </c>
      <c r="N15" s="18">
        <f t="shared" si="1"/>
        <v>90.631453927148385</v>
      </c>
      <c r="O15" s="353"/>
    </row>
    <row r="16" spans="1:15" ht="11.45" customHeight="1" outlineLevel="1">
      <c r="A16" s="12"/>
      <c r="B16" s="383" t="s">
        <v>8</v>
      </c>
      <c r="C16" s="384"/>
      <c r="D16" s="11"/>
      <c r="E16" s="11"/>
      <c r="F16" s="16"/>
      <c r="G16" s="128">
        <f t="shared" si="2"/>
        <v>174816419</v>
      </c>
      <c r="H16" s="128">
        <f t="shared" si="2"/>
        <v>87055919</v>
      </c>
      <c r="I16" s="18">
        <f t="shared" si="0"/>
        <v>49.798479741196395</v>
      </c>
      <c r="J16" s="128">
        <f t="shared" si="3"/>
        <v>74253411</v>
      </c>
      <c r="K16" s="128">
        <f t="shared" si="3"/>
        <v>-11268608</v>
      </c>
      <c r="L16" s="128">
        <f t="shared" si="3"/>
        <v>62984803</v>
      </c>
      <c r="M16" s="17">
        <f t="shared" si="3"/>
        <v>58600803.039999992</v>
      </c>
      <c r="N16" s="18">
        <f t="shared" si="1"/>
        <v>93.039590899411067</v>
      </c>
      <c r="O16" s="353"/>
    </row>
    <row r="17" spans="1:15" ht="11.45" customHeight="1" outlineLevel="1">
      <c r="A17" s="12"/>
      <c r="B17" s="383" t="s">
        <v>22</v>
      </c>
      <c r="C17" s="384"/>
      <c r="D17" s="11"/>
      <c r="E17" s="11"/>
      <c r="F17" s="16"/>
      <c r="G17" s="128">
        <f t="shared" si="2"/>
        <v>6842143</v>
      </c>
      <c r="H17" s="128">
        <f t="shared" si="2"/>
        <v>5845752</v>
      </c>
      <c r="I17" s="18">
        <f t="shared" si="0"/>
        <v>85.437442625797217</v>
      </c>
      <c r="J17" s="128">
        <f t="shared" si="3"/>
        <v>2775162</v>
      </c>
      <c r="K17" s="128">
        <f t="shared" si="3"/>
        <v>2226960</v>
      </c>
      <c r="L17" s="128">
        <f t="shared" si="3"/>
        <v>5002122</v>
      </c>
      <c r="M17" s="17">
        <f t="shared" si="3"/>
        <v>4719849.97</v>
      </c>
      <c r="N17" s="18">
        <f t="shared" si="1"/>
        <v>94.356954308591426</v>
      </c>
      <c r="O17" s="353"/>
    </row>
    <row r="18" spans="1:15" ht="11.45" customHeight="1" outlineLevel="1">
      <c r="A18" s="12"/>
      <c r="B18" s="16" t="s">
        <v>45</v>
      </c>
      <c r="C18" s="106"/>
      <c r="D18" s="11"/>
      <c r="E18" s="11"/>
      <c r="F18" s="16"/>
      <c r="G18" s="128">
        <f t="shared" si="2"/>
        <v>150000</v>
      </c>
      <c r="H18" s="128">
        <f t="shared" si="2"/>
        <v>29120</v>
      </c>
      <c r="I18" s="18">
        <f t="shared" si="0"/>
        <v>19.413333333333334</v>
      </c>
      <c r="J18" s="128">
        <f t="shared" si="3"/>
        <v>0</v>
      </c>
      <c r="K18" s="128">
        <f t="shared" si="3"/>
        <v>29735</v>
      </c>
      <c r="L18" s="128">
        <f t="shared" si="3"/>
        <v>29735</v>
      </c>
      <c r="M18" s="17">
        <f t="shared" si="3"/>
        <v>29119.02</v>
      </c>
      <c r="N18" s="18">
        <f t="shared" si="1"/>
        <v>97.928434504792335</v>
      </c>
      <c r="O18" s="353"/>
    </row>
    <row r="19" spans="1:15" ht="11.45" customHeight="1" outlineLevel="1">
      <c r="A19" s="12"/>
      <c r="B19" s="16" t="s">
        <v>46</v>
      </c>
      <c r="C19" s="106"/>
      <c r="D19" s="11"/>
      <c r="E19" s="11"/>
      <c r="F19" s="16"/>
      <c r="G19" s="128">
        <f t="shared" si="2"/>
        <v>4070306</v>
      </c>
      <c r="H19" s="128">
        <f t="shared" si="2"/>
        <v>3934903</v>
      </c>
      <c r="I19" s="18">
        <f t="shared" si="0"/>
        <v>96.673395071525334</v>
      </c>
      <c r="J19" s="128">
        <f t="shared" si="3"/>
        <v>0</v>
      </c>
      <c r="K19" s="128">
        <f t="shared" si="3"/>
        <v>4060306</v>
      </c>
      <c r="L19" s="128">
        <f t="shared" si="3"/>
        <v>4060306</v>
      </c>
      <c r="M19" s="17">
        <f t="shared" si="3"/>
        <v>3934899.55</v>
      </c>
      <c r="N19" s="18">
        <f t="shared" si="1"/>
        <v>96.911403968075305</v>
      </c>
      <c r="O19" s="353"/>
    </row>
    <row r="20" spans="1:15" ht="3.95" customHeight="1" outlineLevel="1">
      <c r="A20" s="41"/>
      <c r="B20" s="42"/>
      <c r="C20" s="43"/>
      <c r="D20" s="44"/>
      <c r="E20" s="44"/>
      <c r="F20" s="41"/>
      <c r="G20" s="129"/>
      <c r="H20" s="129"/>
      <c r="I20" s="41"/>
      <c r="J20" s="129"/>
      <c r="K20" s="129"/>
      <c r="L20" s="129"/>
      <c r="M20" s="45"/>
      <c r="N20" s="46"/>
      <c r="O20" s="354"/>
    </row>
    <row r="21" spans="1:15" ht="3.95" customHeight="1" outlineLevel="1">
      <c r="A21" s="47"/>
      <c r="B21" s="48"/>
      <c r="C21" s="49"/>
      <c r="D21" s="50"/>
      <c r="E21" s="50"/>
      <c r="F21" s="47"/>
      <c r="G21" s="130"/>
      <c r="H21" s="130"/>
      <c r="I21" s="47"/>
      <c r="J21" s="130"/>
      <c r="K21" s="130"/>
      <c r="L21" s="130"/>
      <c r="M21" s="51"/>
      <c r="N21" s="52"/>
      <c r="O21" s="355"/>
    </row>
    <row r="22" spans="1:15" ht="11.45" customHeight="1" outlineLevel="1">
      <c r="A22" s="19" t="s">
        <v>2</v>
      </c>
      <c r="B22" s="385" t="s">
        <v>21</v>
      </c>
      <c r="C22" s="386"/>
      <c r="D22" s="20"/>
      <c r="E22" s="20"/>
      <c r="F22" s="21"/>
      <c r="G22" s="131">
        <f>SUM(G23:G28)</f>
        <v>27460511.199999999</v>
      </c>
      <c r="H22" s="131">
        <f>SUM(H23:H28)</f>
        <v>18824264</v>
      </c>
      <c r="I22" s="23">
        <f t="shared" ref="I22:I28" si="4">IF(G22&gt;0,H22/G22*100,"-")</f>
        <v>68.550304336650512</v>
      </c>
      <c r="J22" s="131">
        <f>SUM(J23:J28)</f>
        <v>5532381</v>
      </c>
      <c r="K22" s="131">
        <f>SUM(K23:K28)</f>
        <v>5178405</v>
      </c>
      <c r="L22" s="131">
        <f>SUM(L23:L28)</f>
        <v>10710786</v>
      </c>
      <c r="M22" s="22">
        <f>SUM(M23:M28)</f>
        <v>8176958.7599999998</v>
      </c>
      <c r="N22" s="23">
        <f t="shared" ref="N22:N28" si="5">IF(L22&gt;0,M22/L22*100,"-")</f>
        <v>76.343218508893742</v>
      </c>
      <c r="O22" s="217"/>
    </row>
    <row r="23" spans="1:15" ht="11.45" customHeight="1" outlineLevel="1">
      <c r="A23" s="21"/>
      <c r="B23" s="25" t="s">
        <v>15</v>
      </c>
      <c r="C23" s="24"/>
      <c r="D23" s="20"/>
      <c r="E23" s="20"/>
      <c r="F23" s="25"/>
      <c r="G23" s="132">
        <f t="shared" ref="G23:H28" si="6">G32+G85+G164+G194+G502</f>
        <v>2460034</v>
      </c>
      <c r="H23" s="132">
        <f t="shared" si="6"/>
        <v>1390531</v>
      </c>
      <c r="I23" s="27">
        <f t="shared" si="4"/>
        <v>56.524869168474915</v>
      </c>
      <c r="J23" s="132">
        <f t="shared" ref="J23:M28" si="7">J32+J85+J164+J194+J502</f>
        <v>528623</v>
      </c>
      <c r="K23" s="132">
        <f t="shared" si="7"/>
        <v>466939</v>
      </c>
      <c r="L23" s="132">
        <f t="shared" si="7"/>
        <v>995562</v>
      </c>
      <c r="M23" s="26">
        <f t="shared" si="7"/>
        <v>383233.64</v>
      </c>
      <c r="N23" s="27">
        <f t="shared" si="5"/>
        <v>38.494201265215025</v>
      </c>
      <c r="O23" s="217"/>
    </row>
    <row r="24" spans="1:15" ht="11.45" customHeight="1" outlineLevel="1">
      <c r="A24" s="21"/>
      <c r="B24" s="25" t="s">
        <v>7</v>
      </c>
      <c r="C24" s="24"/>
      <c r="D24" s="20"/>
      <c r="E24" s="20"/>
      <c r="F24" s="25"/>
      <c r="G24" s="132">
        <f t="shared" si="6"/>
        <v>23247405.199999999</v>
      </c>
      <c r="H24" s="132">
        <f t="shared" si="6"/>
        <v>16426083</v>
      </c>
      <c r="I24" s="27">
        <f t="shared" si="4"/>
        <v>70.657705058627357</v>
      </c>
      <c r="J24" s="132">
        <f t="shared" si="7"/>
        <v>4680796</v>
      </c>
      <c r="K24" s="132">
        <f t="shared" si="7"/>
        <v>4415960</v>
      </c>
      <c r="L24" s="132">
        <f t="shared" si="7"/>
        <v>9096756</v>
      </c>
      <c r="M24" s="26">
        <f t="shared" si="7"/>
        <v>7339863.3600000003</v>
      </c>
      <c r="N24" s="27">
        <f t="shared" si="5"/>
        <v>80.686602564694496</v>
      </c>
      <c r="O24" s="217"/>
    </row>
    <row r="25" spans="1:15" ht="11.45" customHeight="1" outlineLevel="1">
      <c r="A25" s="21"/>
      <c r="B25" s="25" t="s">
        <v>8</v>
      </c>
      <c r="C25" s="24"/>
      <c r="D25" s="20"/>
      <c r="E25" s="20"/>
      <c r="F25" s="25"/>
      <c r="G25" s="132">
        <f t="shared" si="6"/>
        <v>0</v>
      </c>
      <c r="H25" s="132">
        <f t="shared" si="6"/>
        <v>0</v>
      </c>
      <c r="I25" s="27" t="str">
        <f t="shared" si="4"/>
        <v>-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26">
        <f t="shared" si="7"/>
        <v>0</v>
      </c>
      <c r="N25" s="27" t="str">
        <f t="shared" si="5"/>
        <v>-</v>
      </c>
      <c r="O25" s="217"/>
    </row>
    <row r="26" spans="1:15" ht="11.45" customHeight="1" outlineLevel="1">
      <c r="A26" s="21"/>
      <c r="B26" s="25" t="s">
        <v>22</v>
      </c>
      <c r="C26" s="24"/>
      <c r="D26" s="20"/>
      <c r="E26" s="20"/>
      <c r="F26" s="25"/>
      <c r="G26" s="132">
        <f t="shared" si="6"/>
        <v>1753072</v>
      </c>
      <c r="H26" s="132">
        <f t="shared" si="6"/>
        <v>1007650</v>
      </c>
      <c r="I26" s="27">
        <f t="shared" si="4"/>
        <v>57.47909954639627</v>
      </c>
      <c r="J26" s="132">
        <f t="shared" si="7"/>
        <v>322962</v>
      </c>
      <c r="K26" s="132">
        <f t="shared" si="7"/>
        <v>295506</v>
      </c>
      <c r="L26" s="132">
        <f t="shared" si="7"/>
        <v>618468</v>
      </c>
      <c r="M26" s="26">
        <f t="shared" si="7"/>
        <v>453861.75999999995</v>
      </c>
      <c r="N26" s="27">
        <f t="shared" si="5"/>
        <v>73.384841252902319</v>
      </c>
      <c r="O26" s="217"/>
    </row>
    <row r="27" spans="1:15" ht="11.45" customHeight="1" outlineLevel="1">
      <c r="A27" s="21"/>
      <c r="B27" s="25" t="s">
        <v>45</v>
      </c>
      <c r="C27" s="24"/>
      <c r="D27" s="20"/>
      <c r="E27" s="20"/>
      <c r="F27" s="25"/>
      <c r="G27" s="132">
        <f t="shared" si="6"/>
        <v>0</v>
      </c>
      <c r="H27" s="132">
        <f t="shared" si="6"/>
        <v>0</v>
      </c>
      <c r="I27" s="27" t="str">
        <f t="shared" si="4"/>
        <v>-</v>
      </c>
      <c r="J27" s="132">
        <f t="shared" si="7"/>
        <v>0</v>
      </c>
      <c r="K27" s="132">
        <f t="shared" si="7"/>
        <v>0</v>
      </c>
      <c r="L27" s="132">
        <f t="shared" si="7"/>
        <v>0</v>
      </c>
      <c r="M27" s="26">
        <f t="shared" si="7"/>
        <v>0</v>
      </c>
      <c r="N27" s="27" t="str">
        <f t="shared" si="5"/>
        <v>-</v>
      </c>
      <c r="O27" s="217"/>
    </row>
    <row r="28" spans="1:15" ht="11.45" customHeight="1" outlineLevel="1">
      <c r="A28" s="21"/>
      <c r="B28" s="25" t="s">
        <v>46</v>
      </c>
      <c r="C28" s="24"/>
      <c r="D28" s="20"/>
      <c r="E28" s="20"/>
      <c r="F28" s="25"/>
      <c r="G28" s="132">
        <f t="shared" si="6"/>
        <v>0</v>
      </c>
      <c r="H28" s="132">
        <f t="shared" si="6"/>
        <v>0</v>
      </c>
      <c r="I28" s="27" t="str">
        <f t="shared" si="4"/>
        <v>-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26">
        <f t="shared" si="7"/>
        <v>0</v>
      </c>
      <c r="N28" s="27" t="str">
        <f t="shared" si="5"/>
        <v>-</v>
      </c>
      <c r="O28" s="217"/>
    </row>
    <row r="29" spans="1:15" ht="3.95" customHeight="1" outlineLevel="1">
      <c r="A29" s="53"/>
      <c r="B29" s="54"/>
      <c r="C29" s="55"/>
      <c r="D29" s="56"/>
      <c r="E29" s="56"/>
      <c r="F29" s="53"/>
      <c r="G29" s="133"/>
      <c r="H29" s="133"/>
      <c r="I29" s="53"/>
      <c r="J29" s="133"/>
      <c r="K29" s="133"/>
      <c r="L29" s="133"/>
      <c r="M29" s="57"/>
      <c r="N29" s="58"/>
      <c r="O29" s="218"/>
    </row>
    <row r="30" spans="1:15" ht="3.95" customHeight="1" outlineLevel="1">
      <c r="A30" s="59"/>
      <c r="B30" s="60"/>
      <c r="C30" s="61"/>
      <c r="D30" s="62"/>
      <c r="E30" s="62"/>
      <c r="F30" s="59"/>
      <c r="G30" s="134"/>
      <c r="H30" s="134"/>
      <c r="I30" s="59"/>
      <c r="J30" s="134"/>
      <c r="K30" s="134"/>
      <c r="L30" s="134"/>
      <c r="M30" s="63"/>
      <c r="N30" s="64"/>
      <c r="O30" s="219"/>
    </row>
    <row r="31" spans="1:15" ht="11.45" customHeight="1" outlineLevel="1">
      <c r="A31" s="28" t="s">
        <v>1</v>
      </c>
      <c r="B31" s="387" t="s">
        <v>49</v>
      </c>
      <c r="C31" s="372"/>
      <c r="D31" s="29"/>
      <c r="E31" s="29"/>
      <c r="F31" s="30"/>
      <c r="G31" s="135">
        <f>SUM(G32:G37)</f>
        <v>2084470</v>
      </c>
      <c r="H31" s="135">
        <f>SUM(H32:H37)</f>
        <v>226609</v>
      </c>
      <c r="I31" s="32">
        <f>IF(G31&gt;0,H31/G31*100,"-")</f>
        <v>10.871300618382611</v>
      </c>
      <c r="J31" s="135">
        <f>SUM(J32:J37)</f>
        <v>260150</v>
      </c>
      <c r="K31" s="135">
        <f>SUM(K32:K37)</f>
        <v>54340</v>
      </c>
      <c r="L31" s="135">
        <f>SUM(L32:L37)</f>
        <v>314490</v>
      </c>
      <c r="M31" s="31">
        <f>SUM(M32:M37)</f>
        <v>226604.96999999994</v>
      </c>
      <c r="N31" s="32">
        <f t="shared" ref="N31:N37" si="8">IF(L31&gt;0,M31/L31*100,"-")</f>
        <v>72.054745778880076</v>
      </c>
      <c r="O31" s="220"/>
    </row>
    <row r="32" spans="1:15" ht="11.45" customHeight="1" outlineLevel="1">
      <c r="A32" s="30"/>
      <c r="B32" s="33"/>
      <c r="C32" s="34"/>
      <c r="D32" s="29"/>
      <c r="E32" s="29"/>
      <c r="F32" s="35" t="s">
        <v>15</v>
      </c>
      <c r="G32" s="136">
        <f>G41+G50+G66+G76</f>
        <v>0</v>
      </c>
      <c r="H32" s="136">
        <f>H41+H50+H66+H76</f>
        <v>0</v>
      </c>
      <c r="I32" s="37" t="str">
        <f t="shared" ref="I32:I37" si="9">IF(G32&gt;0,H32/G32*100,"-")</f>
        <v>-</v>
      </c>
      <c r="J32" s="136">
        <f t="shared" ref="J32:M37" si="10">J41+J50+J66+J76</f>
        <v>0</v>
      </c>
      <c r="K32" s="136">
        <f t="shared" si="10"/>
        <v>0</v>
      </c>
      <c r="L32" s="136">
        <f t="shared" si="10"/>
        <v>0</v>
      </c>
      <c r="M32" s="36">
        <f t="shared" si="10"/>
        <v>0</v>
      </c>
      <c r="N32" s="37" t="str">
        <f t="shared" si="8"/>
        <v>-</v>
      </c>
      <c r="O32" s="220"/>
    </row>
    <row r="33" spans="1:15" ht="11.45" customHeight="1" outlineLevel="1">
      <c r="A33" s="30"/>
      <c r="B33" s="33"/>
      <c r="C33" s="34"/>
      <c r="D33" s="29"/>
      <c r="E33" s="29"/>
      <c r="F33" s="35" t="s">
        <v>7</v>
      </c>
      <c r="G33" s="136">
        <f t="shared" ref="G33:H37" si="11">G42+G51+G67+G77</f>
        <v>1771801</v>
      </c>
      <c r="H33" s="136">
        <f t="shared" si="11"/>
        <v>192616</v>
      </c>
      <c r="I33" s="37">
        <f t="shared" si="9"/>
        <v>10.871198289198391</v>
      </c>
      <c r="J33" s="136">
        <f t="shared" si="10"/>
        <v>221127</v>
      </c>
      <c r="K33" s="136">
        <f t="shared" si="10"/>
        <v>46190</v>
      </c>
      <c r="L33" s="136">
        <f t="shared" si="10"/>
        <v>267317</v>
      </c>
      <c r="M33" s="36">
        <f t="shared" si="10"/>
        <v>192614.22999999995</v>
      </c>
      <c r="N33" s="37">
        <f t="shared" si="8"/>
        <v>72.054613062394068</v>
      </c>
      <c r="O33" s="220"/>
    </row>
    <row r="34" spans="1:15" ht="11.45" customHeight="1" outlineLevel="1">
      <c r="A34" s="30"/>
      <c r="B34" s="33"/>
      <c r="C34" s="34"/>
      <c r="D34" s="29"/>
      <c r="E34" s="29"/>
      <c r="F34" s="35" t="s">
        <v>8</v>
      </c>
      <c r="G34" s="136">
        <f t="shared" si="11"/>
        <v>0</v>
      </c>
      <c r="H34" s="136">
        <f t="shared" si="11"/>
        <v>0</v>
      </c>
      <c r="I34" s="37" t="str">
        <f t="shared" si="9"/>
        <v>-</v>
      </c>
      <c r="J34" s="136">
        <f t="shared" si="10"/>
        <v>0</v>
      </c>
      <c r="K34" s="136">
        <f t="shared" si="10"/>
        <v>0</v>
      </c>
      <c r="L34" s="136">
        <f t="shared" si="10"/>
        <v>0</v>
      </c>
      <c r="M34" s="36">
        <f t="shared" si="10"/>
        <v>0</v>
      </c>
      <c r="N34" s="37" t="str">
        <f t="shared" si="8"/>
        <v>-</v>
      </c>
      <c r="O34" s="220"/>
    </row>
    <row r="35" spans="1:15" ht="11.45" customHeight="1" outlineLevel="1">
      <c r="A35" s="30"/>
      <c r="B35" s="33"/>
      <c r="C35" s="34"/>
      <c r="D35" s="29"/>
      <c r="E35" s="29"/>
      <c r="F35" s="35" t="s">
        <v>22</v>
      </c>
      <c r="G35" s="136">
        <f t="shared" si="11"/>
        <v>312669</v>
      </c>
      <c r="H35" s="136">
        <f t="shared" si="11"/>
        <v>33993</v>
      </c>
      <c r="I35" s="37">
        <f t="shared" si="9"/>
        <v>10.871880487032612</v>
      </c>
      <c r="J35" s="136">
        <f t="shared" si="10"/>
        <v>39023</v>
      </c>
      <c r="K35" s="136">
        <f t="shared" si="10"/>
        <v>8150</v>
      </c>
      <c r="L35" s="136">
        <f t="shared" si="10"/>
        <v>47173</v>
      </c>
      <c r="M35" s="36">
        <f t="shared" si="10"/>
        <v>33990.74</v>
      </c>
      <c r="N35" s="37">
        <f t="shared" si="8"/>
        <v>72.055497848345453</v>
      </c>
      <c r="O35" s="220"/>
    </row>
    <row r="36" spans="1:15" ht="11.45" customHeight="1" outlineLevel="1">
      <c r="A36" s="30"/>
      <c r="B36" s="33"/>
      <c r="C36" s="34"/>
      <c r="D36" s="29"/>
      <c r="E36" s="29"/>
      <c r="F36" s="35" t="s">
        <v>45</v>
      </c>
      <c r="G36" s="136">
        <f t="shared" si="11"/>
        <v>0</v>
      </c>
      <c r="H36" s="136">
        <f t="shared" si="11"/>
        <v>0</v>
      </c>
      <c r="I36" s="37" t="str">
        <f t="shared" si="9"/>
        <v>-</v>
      </c>
      <c r="J36" s="136">
        <f t="shared" si="10"/>
        <v>0</v>
      </c>
      <c r="K36" s="136">
        <f t="shared" si="10"/>
        <v>0</v>
      </c>
      <c r="L36" s="136">
        <f t="shared" si="10"/>
        <v>0</v>
      </c>
      <c r="M36" s="36">
        <f t="shared" si="10"/>
        <v>0</v>
      </c>
      <c r="N36" s="37" t="str">
        <f t="shared" si="8"/>
        <v>-</v>
      </c>
      <c r="O36" s="220"/>
    </row>
    <row r="37" spans="1:15" ht="11.45" customHeight="1" outlineLevel="1">
      <c r="A37" s="30"/>
      <c r="B37" s="33"/>
      <c r="C37" s="34"/>
      <c r="D37" s="29"/>
      <c r="E37" s="29"/>
      <c r="F37" s="35" t="s">
        <v>46</v>
      </c>
      <c r="G37" s="136">
        <f t="shared" si="11"/>
        <v>0</v>
      </c>
      <c r="H37" s="136">
        <f t="shared" si="11"/>
        <v>0</v>
      </c>
      <c r="I37" s="37" t="str">
        <f t="shared" si="9"/>
        <v>-</v>
      </c>
      <c r="J37" s="136">
        <f t="shared" si="10"/>
        <v>0</v>
      </c>
      <c r="K37" s="136">
        <f t="shared" si="10"/>
        <v>0</v>
      </c>
      <c r="L37" s="136">
        <f t="shared" si="10"/>
        <v>0</v>
      </c>
      <c r="M37" s="36">
        <f t="shared" si="10"/>
        <v>0</v>
      </c>
      <c r="N37" s="37" t="str">
        <f t="shared" si="8"/>
        <v>-</v>
      </c>
      <c r="O37" s="220"/>
    </row>
    <row r="38" spans="1:15" ht="3.95" customHeight="1" outlineLevel="1">
      <c r="A38" s="65"/>
      <c r="B38" s="66"/>
      <c r="C38" s="67"/>
      <c r="D38" s="68"/>
      <c r="E38" s="68"/>
      <c r="F38" s="65"/>
      <c r="G38" s="137"/>
      <c r="H38" s="137"/>
      <c r="I38" s="70"/>
      <c r="J38" s="137"/>
      <c r="K38" s="137"/>
      <c r="L38" s="137"/>
      <c r="M38" s="69"/>
      <c r="N38" s="70"/>
      <c r="O38" s="221"/>
    </row>
    <row r="39" spans="1:15" s="95" customFormat="1" ht="3.95" customHeight="1" outlineLevel="1">
      <c r="A39" s="157"/>
      <c r="B39" s="72"/>
      <c r="C39" s="73"/>
      <c r="D39" s="71"/>
      <c r="E39" s="71"/>
      <c r="F39" s="72"/>
      <c r="G39" s="138"/>
      <c r="H39" s="138"/>
      <c r="I39" s="75"/>
      <c r="J39" s="139"/>
      <c r="K39" s="139"/>
      <c r="L39" s="139"/>
      <c r="M39" s="159"/>
      <c r="N39" s="75"/>
      <c r="O39" s="208"/>
    </row>
    <row r="40" spans="1:15" s="95" customFormat="1" ht="11.1" customHeight="1" outlineLevel="1">
      <c r="A40" s="370" t="s">
        <v>1</v>
      </c>
      <c r="B40" s="76" t="s">
        <v>9</v>
      </c>
      <c r="C40" s="77" t="s">
        <v>50</v>
      </c>
      <c r="D40" s="369" t="s">
        <v>52</v>
      </c>
      <c r="E40" s="369" t="s">
        <v>227</v>
      </c>
      <c r="F40" s="78" t="s">
        <v>28</v>
      </c>
      <c r="G40" s="140">
        <f>SUM(G41:G46)</f>
        <v>552340</v>
      </c>
      <c r="H40" s="140">
        <f>SUM(H41:H46)</f>
        <v>160777</v>
      </c>
      <c r="I40" s="39">
        <f t="shared" ref="I40:I45" si="12">IF(G40&gt;0,H40/G40*100,"-")</f>
        <v>29.108339066517004</v>
      </c>
      <c r="J40" s="140">
        <f>SUM(J41:J44)</f>
        <v>175000</v>
      </c>
      <c r="K40" s="140">
        <f>SUM(K41:K44)</f>
        <v>54340</v>
      </c>
      <c r="L40" s="140">
        <f>SUM(L41:L44)</f>
        <v>229340</v>
      </c>
      <c r="M40" s="38">
        <f>SUM(M41:M44)</f>
        <v>160775.5</v>
      </c>
      <c r="N40" s="39">
        <f t="shared" ref="N40:N46" si="13">IF(L40&gt;0,M40/L40*100,"-")</f>
        <v>70.103558036103593</v>
      </c>
      <c r="O40" s="366" t="s">
        <v>277</v>
      </c>
    </row>
    <row r="41" spans="1:15" s="95" customFormat="1" ht="11.1" customHeight="1" outlineLevel="1">
      <c r="A41" s="370"/>
      <c r="B41" s="76" t="s">
        <v>10</v>
      </c>
      <c r="C41" s="77" t="s">
        <v>287</v>
      </c>
      <c r="D41" s="369"/>
      <c r="E41" s="369"/>
      <c r="F41" s="79" t="s">
        <v>15</v>
      </c>
      <c r="G41" s="141">
        <v>0</v>
      </c>
      <c r="H41" s="141">
        <v>0</v>
      </c>
      <c r="I41" s="81" t="str">
        <f t="shared" si="12"/>
        <v>-</v>
      </c>
      <c r="J41" s="141">
        <v>0</v>
      </c>
      <c r="K41" s="141">
        <f t="shared" ref="K41:K46" si="14">L41-J41</f>
        <v>0</v>
      </c>
      <c r="L41" s="141">
        <v>0</v>
      </c>
      <c r="M41" s="80">
        <v>0</v>
      </c>
      <c r="N41" s="81" t="str">
        <f t="shared" si="13"/>
        <v>-</v>
      </c>
      <c r="O41" s="366"/>
    </row>
    <row r="42" spans="1:15" s="95" customFormat="1" ht="11.1" customHeight="1" outlineLevel="1">
      <c r="A42" s="370"/>
      <c r="B42" s="76" t="s">
        <v>11</v>
      </c>
      <c r="C42" s="82" t="s">
        <v>288</v>
      </c>
      <c r="D42" s="369"/>
      <c r="E42" s="369"/>
      <c r="F42" s="79" t="s">
        <v>7</v>
      </c>
      <c r="G42" s="141">
        <v>469490</v>
      </c>
      <c r="H42" s="141">
        <v>136660</v>
      </c>
      <c r="I42" s="81">
        <f t="shared" si="12"/>
        <v>29.108181217917316</v>
      </c>
      <c r="J42" s="141">
        <v>148750</v>
      </c>
      <c r="K42" s="141">
        <f t="shared" si="14"/>
        <v>46190</v>
      </c>
      <c r="L42" s="141">
        <v>194940</v>
      </c>
      <c r="M42" s="80">
        <v>136659.18</v>
      </c>
      <c r="N42" s="81">
        <f t="shared" si="13"/>
        <v>70.103200984918431</v>
      </c>
      <c r="O42" s="366"/>
    </row>
    <row r="43" spans="1:15" s="95" customFormat="1" ht="11.1" customHeight="1" outlineLevel="1">
      <c r="A43" s="120"/>
      <c r="B43" s="76"/>
      <c r="C43" s="82" t="s">
        <v>276</v>
      </c>
      <c r="D43" s="111"/>
      <c r="E43" s="111"/>
      <c r="F43" s="79" t="s">
        <v>8</v>
      </c>
      <c r="G43" s="141">
        <v>0</v>
      </c>
      <c r="H43" s="141">
        <v>0</v>
      </c>
      <c r="I43" s="81" t="str">
        <f t="shared" si="12"/>
        <v>-</v>
      </c>
      <c r="J43" s="141">
        <v>0</v>
      </c>
      <c r="K43" s="141">
        <f t="shared" si="14"/>
        <v>0</v>
      </c>
      <c r="L43" s="141">
        <v>0</v>
      </c>
      <c r="M43" s="80">
        <v>0</v>
      </c>
      <c r="N43" s="81" t="str">
        <f t="shared" si="13"/>
        <v>-</v>
      </c>
      <c r="O43" s="366"/>
    </row>
    <row r="44" spans="1:15" s="95" customFormat="1" ht="11.1" customHeight="1" outlineLevel="1">
      <c r="A44" s="120"/>
      <c r="B44" s="76" t="s">
        <v>12</v>
      </c>
      <c r="C44" s="82" t="s">
        <v>274</v>
      </c>
      <c r="D44" s="111"/>
      <c r="E44" s="111"/>
      <c r="F44" s="79" t="s">
        <v>22</v>
      </c>
      <c r="G44" s="141">
        <v>82850</v>
      </c>
      <c r="H44" s="141">
        <v>24117</v>
      </c>
      <c r="I44" s="81">
        <f t="shared" si="12"/>
        <v>29.109233554616775</v>
      </c>
      <c r="J44" s="141">
        <v>26250</v>
      </c>
      <c r="K44" s="141">
        <f t="shared" si="14"/>
        <v>8150</v>
      </c>
      <c r="L44" s="141">
        <v>34400</v>
      </c>
      <c r="M44" s="80">
        <v>24116.32</v>
      </c>
      <c r="N44" s="81">
        <f t="shared" si="13"/>
        <v>70.105581395348835</v>
      </c>
      <c r="O44" s="366"/>
    </row>
    <row r="45" spans="1:15" s="95" customFormat="1" ht="11.1" customHeight="1" outlineLevel="1">
      <c r="A45" s="120"/>
      <c r="B45" s="76"/>
      <c r="C45" s="82" t="s">
        <v>275</v>
      </c>
      <c r="D45" s="90"/>
      <c r="E45" s="90"/>
      <c r="F45" s="107" t="s">
        <v>45</v>
      </c>
      <c r="G45" s="142">
        <v>0</v>
      </c>
      <c r="H45" s="142">
        <v>0</v>
      </c>
      <c r="I45" s="81" t="str">
        <f t="shared" si="12"/>
        <v>-</v>
      </c>
      <c r="J45" s="141">
        <v>0</v>
      </c>
      <c r="K45" s="141">
        <f t="shared" si="14"/>
        <v>0</v>
      </c>
      <c r="L45" s="141">
        <v>0</v>
      </c>
      <c r="M45" s="83">
        <v>0</v>
      </c>
      <c r="N45" s="81" t="str">
        <f t="shared" si="13"/>
        <v>-</v>
      </c>
      <c r="O45" s="366"/>
    </row>
    <row r="46" spans="1:15" s="95" customFormat="1" ht="11.1" customHeight="1" outlineLevel="1">
      <c r="A46" s="120"/>
      <c r="B46" s="76" t="s">
        <v>23</v>
      </c>
      <c r="C46" s="82" t="s">
        <v>220</v>
      </c>
      <c r="D46" s="90"/>
      <c r="E46" s="90"/>
      <c r="F46" s="107" t="s">
        <v>46</v>
      </c>
      <c r="G46" s="142">
        <v>0</v>
      </c>
      <c r="H46" s="142">
        <v>0</v>
      </c>
      <c r="I46" s="81" t="str">
        <f>IF(G46&gt;0,H46/G46*100,"-")</f>
        <v>-</v>
      </c>
      <c r="J46" s="141">
        <v>0</v>
      </c>
      <c r="K46" s="141">
        <f t="shared" si="14"/>
        <v>0</v>
      </c>
      <c r="L46" s="141">
        <v>0</v>
      </c>
      <c r="M46" s="83">
        <v>0</v>
      </c>
      <c r="N46" s="81" t="str">
        <f t="shared" si="13"/>
        <v>-</v>
      </c>
      <c r="O46" s="366"/>
    </row>
    <row r="47" spans="1:15" s="95" customFormat="1" ht="3.95" customHeight="1" outlineLevel="1">
      <c r="A47" s="121"/>
      <c r="B47" s="76"/>
      <c r="C47" s="82"/>
      <c r="D47" s="156"/>
      <c r="E47" s="156"/>
      <c r="F47" s="76"/>
      <c r="G47" s="142"/>
      <c r="H47" s="142"/>
      <c r="I47" s="81"/>
      <c r="J47" s="141"/>
      <c r="K47" s="144"/>
      <c r="L47" s="141"/>
      <c r="M47" s="80"/>
      <c r="N47" s="81"/>
      <c r="O47" s="356"/>
    </row>
    <row r="48" spans="1:15" s="95" customFormat="1" ht="3.95" customHeight="1" outlineLevel="1">
      <c r="A48" s="212"/>
      <c r="B48" s="72"/>
      <c r="C48" s="73"/>
      <c r="D48" s="225"/>
      <c r="E48" s="71"/>
      <c r="F48" s="158"/>
      <c r="G48" s="139"/>
      <c r="H48" s="139"/>
      <c r="I48" s="227"/>
      <c r="J48" s="139"/>
      <c r="K48" s="139"/>
      <c r="L48" s="250"/>
      <c r="M48" s="159"/>
      <c r="N48" s="75"/>
      <c r="O48" s="208"/>
    </row>
    <row r="49" spans="1:15" s="15" customFormat="1" ht="11.1" customHeight="1" outlineLevel="1">
      <c r="A49" s="370" t="s">
        <v>51</v>
      </c>
      <c r="B49" s="76" t="s">
        <v>9</v>
      </c>
      <c r="C49" s="77" t="s">
        <v>57</v>
      </c>
      <c r="D49" s="369" t="s">
        <v>52</v>
      </c>
      <c r="E49" s="369" t="s">
        <v>228</v>
      </c>
      <c r="F49" s="224" t="s">
        <v>221</v>
      </c>
      <c r="G49" s="140">
        <f>SUM(G50:G55)</f>
        <v>928450</v>
      </c>
      <c r="H49" s="140">
        <f>SUM(H50:H55)</f>
        <v>57264</v>
      </c>
      <c r="I49" s="39">
        <f t="shared" ref="I49:I55" si="15">IF(G49&gt;0,H49/G49*100,"-")</f>
        <v>6.1676988529269217</v>
      </c>
      <c r="J49" s="140">
        <f>SUM(J50:J53)</f>
        <v>76000</v>
      </c>
      <c r="K49" s="140">
        <f>SUM(K50:K53)</f>
        <v>0</v>
      </c>
      <c r="L49" s="254">
        <f>SUM(L50:L53)</f>
        <v>76000</v>
      </c>
      <c r="M49" s="38">
        <f>SUM(M50:M53)</f>
        <v>57263.44</v>
      </c>
      <c r="N49" s="39">
        <f t="shared" ref="N49:N55" si="16">IF(L49&gt;0,M49/L49*100,"-")</f>
        <v>75.346631578947381</v>
      </c>
      <c r="O49" s="367" t="s">
        <v>507</v>
      </c>
    </row>
    <row r="50" spans="1:15" s="15" customFormat="1" ht="11.1" customHeight="1" outlineLevel="1">
      <c r="A50" s="370"/>
      <c r="B50" s="76" t="s">
        <v>10</v>
      </c>
      <c r="C50" s="77" t="s">
        <v>222</v>
      </c>
      <c r="D50" s="369"/>
      <c r="E50" s="369"/>
      <c r="F50" s="155" t="s">
        <v>15</v>
      </c>
      <c r="G50" s="141">
        <v>0</v>
      </c>
      <c r="H50" s="141">
        <v>0</v>
      </c>
      <c r="I50" s="165" t="str">
        <f t="shared" si="15"/>
        <v>-</v>
      </c>
      <c r="J50" s="141">
        <v>0</v>
      </c>
      <c r="K50" s="141">
        <f t="shared" ref="K50:K55" si="17">L50-J50</f>
        <v>0</v>
      </c>
      <c r="L50" s="191">
        <v>0</v>
      </c>
      <c r="M50" s="80">
        <v>0</v>
      </c>
      <c r="N50" s="81" t="str">
        <f t="shared" si="16"/>
        <v>-</v>
      </c>
      <c r="O50" s="367"/>
    </row>
    <row r="51" spans="1:15" s="15" customFormat="1" ht="11.1" customHeight="1" outlineLevel="1">
      <c r="A51" s="370"/>
      <c r="B51" s="76" t="s">
        <v>11</v>
      </c>
      <c r="C51" s="82" t="s">
        <v>223</v>
      </c>
      <c r="D51" s="369"/>
      <c r="E51" s="369"/>
      <c r="F51" s="155" t="s">
        <v>7</v>
      </c>
      <c r="G51" s="141">
        <v>789183</v>
      </c>
      <c r="H51" s="141">
        <v>48674</v>
      </c>
      <c r="I51" s="165">
        <f t="shared" si="15"/>
        <v>6.1676442599498467</v>
      </c>
      <c r="J51" s="141">
        <v>64600</v>
      </c>
      <c r="K51" s="141">
        <f t="shared" si="17"/>
        <v>0</v>
      </c>
      <c r="L51" s="191">
        <v>64600</v>
      </c>
      <c r="M51" s="80">
        <v>48673.919999999998</v>
      </c>
      <c r="N51" s="81">
        <f t="shared" si="16"/>
        <v>75.346625386996905</v>
      </c>
      <c r="O51" s="367"/>
    </row>
    <row r="52" spans="1:15" s="15" customFormat="1" ht="11.1" customHeight="1" outlineLevel="1">
      <c r="A52" s="120"/>
      <c r="B52" s="76" t="s">
        <v>12</v>
      </c>
      <c r="C52" s="82" t="s">
        <v>278</v>
      </c>
      <c r="D52" s="228"/>
      <c r="E52" s="111"/>
      <c r="F52" s="155" t="s">
        <v>8</v>
      </c>
      <c r="G52" s="141">
        <v>0</v>
      </c>
      <c r="H52" s="141">
        <v>0</v>
      </c>
      <c r="I52" s="165" t="str">
        <f t="shared" si="15"/>
        <v>-</v>
      </c>
      <c r="J52" s="141">
        <v>0</v>
      </c>
      <c r="K52" s="141">
        <f t="shared" si="17"/>
        <v>0</v>
      </c>
      <c r="L52" s="191">
        <v>0</v>
      </c>
      <c r="M52" s="80">
        <v>0</v>
      </c>
      <c r="N52" s="81" t="str">
        <f t="shared" si="16"/>
        <v>-</v>
      </c>
      <c r="O52" s="367"/>
    </row>
    <row r="53" spans="1:15" s="15" customFormat="1" ht="11.1" customHeight="1" outlineLevel="1">
      <c r="A53" s="120"/>
      <c r="B53" s="76"/>
      <c r="C53" s="239" t="s">
        <v>279</v>
      </c>
      <c r="D53" s="228"/>
      <c r="E53" s="111"/>
      <c r="F53" s="155" t="s">
        <v>22</v>
      </c>
      <c r="G53" s="141">
        <v>139267</v>
      </c>
      <c r="H53" s="141">
        <v>8590</v>
      </c>
      <c r="I53" s="165">
        <f t="shared" si="15"/>
        <v>6.168008214437017</v>
      </c>
      <c r="J53" s="141">
        <v>11400</v>
      </c>
      <c r="K53" s="141">
        <f t="shared" si="17"/>
        <v>0</v>
      </c>
      <c r="L53" s="191">
        <v>11400</v>
      </c>
      <c r="M53" s="80">
        <v>8589.52</v>
      </c>
      <c r="N53" s="81">
        <f t="shared" si="16"/>
        <v>75.346666666666678</v>
      </c>
      <c r="O53" s="367"/>
    </row>
    <row r="54" spans="1:15" s="15" customFormat="1" ht="11.1" customHeight="1" outlineLevel="1">
      <c r="A54" s="120"/>
      <c r="B54" s="76" t="s">
        <v>23</v>
      </c>
      <c r="C54" s="239" t="s">
        <v>280</v>
      </c>
      <c r="D54" s="161"/>
      <c r="E54" s="156"/>
      <c r="F54" s="155" t="s">
        <v>45</v>
      </c>
      <c r="G54" s="142">
        <v>0</v>
      </c>
      <c r="H54" s="142">
        <v>0</v>
      </c>
      <c r="I54" s="81" t="str">
        <f t="shared" si="15"/>
        <v>-</v>
      </c>
      <c r="J54" s="141">
        <v>0</v>
      </c>
      <c r="K54" s="141">
        <f t="shared" si="17"/>
        <v>0</v>
      </c>
      <c r="L54" s="253">
        <v>0</v>
      </c>
      <c r="M54" s="83">
        <v>0</v>
      </c>
      <c r="N54" s="81" t="str">
        <f t="shared" si="16"/>
        <v>-</v>
      </c>
      <c r="O54" s="367"/>
    </row>
    <row r="55" spans="1:15" s="15" customFormat="1" ht="11.1" customHeight="1" outlineLevel="1">
      <c r="A55" s="213"/>
      <c r="B55" s="76"/>
      <c r="C55" s="239" t="s">
        <v>281</v>
      </c>
      <c r="D55" s="161"/>
      <c r="E55" s="156"/>
      <c r="F55" s="79" t="s">
        <v>46</v>
      </c>
      <c r="G55" s="142">
        <v>0</v>
      </c>
      <c r="H55" s="142">
        <v>0</v>
      </c>
      <c r="I55" s="81" t="str">
        <f t="shared" si="15"/>
        <v>-</v>
      </c>
      <c r="J55" s="141">
        <v>0</v>
      </c>
      <c r="K55" s="141">
        <f t="shared" si="17"/>
        <v>0</v>
      </c>
      <c r="L55" s="253">
        <v>0</v>
      </c>
      <c r="M55" s="83">
        <v>0</v>
      </c>
      <c r="N55" s="81" t="str">
        <f t="shared" si="16"/>
        <v>-</v>
      </c>
      <c r="O55" s="367"/>
    </row>
    <row r="56" spans="1:15" s="15" customFormat="1" ht="11.1" customHeight="1" outlineLevel="1">
      <c r="A56" s="213"/>
      <c r="B56" s="76"/>
      <c r="C56" s="239" t="s">
        <v>282</v>
      </c>
      <c r="D56" s="161"/>
      <c r="E56" s="213"/>
      <c r="F56" s="79"/>
      <c r="G56" s="245"/>
      <c r="H56" s="245"/>
      <c r="I56" s="165"/>
      <c r="J56" s="245"/>
      <c r="K56" s="141"/>
      <c r="L56" s="252"/>
      <c r="M56" s="120"/>
      <c r="N56" s="120"/>
      <c r="O56" s="367"/>
    </row>
    <row r="57" spans="1:15" s="15" customFormat="1" ht="11.1" customHeight="1" outlineLevel="1">
      <c r="A57" s="213"/>
      <c r="B57" s="76"/>
      <c r="C57" s="239" t="s">
        <v>283</v>
      </c>
      <c r="D57" s="161"/>
      <c r="E57" s="213"/>
      <c r="F57" s="79"/>
      <c r="G57" s="245"/>
      <c r="H57" s="245"/>
      <c r="I57" s="165"/>
      <c r="J57" s="245"/>
      <c r="K57" s="141"/>
      <c r="L57" s="252"/>
      <c r="M57" s="120"/>
      <c r="N57" s="120"/>
      <c r="O57" s="367"/>
    </row>
    <row r="58" spans="1:15" s="15" customFormat="1" ht="11.1" customHeight="1" outlineLevel="1">
      <c r="A58" s="213"/>
      <c r="B58" s="76"/>
      <c r="C58" s="239" t="s">
        <v>284</v>
      </c>
      <c r="D58" s="161"/>
      <c r="E58" s="213"/>
      <c r="F58" s="79"/>
      <c r="G58" s="245"/>
      <c r="H58" s="245"/>
      <c r="I58" s="165"/>
      <c r="J58" s="245"/>
      <c r="K58" s="141"/>
      <c r="L58" s="252"/>
      <c r="M58" s="120"/>
      <c r="N58" s="120"/>
      <c r="O58" s="367"/>
    </row>
    <row r="59" spans="1:15" s="15" customFormat="1" ht="11.1" customHeight="1" outlineLevel="1">
      <c r="A59" s="213"/>
      <c r="B59" s="76"/>
      <c r="C59" s="239" t="s">
        <v>285</v>
      </c>
      <c r="D59" s="161"/>
      <c r="E59" s="213"/>
      <c r="F59" s="79"/>
      <c r="G59" s="245"/>
      <c r="H59" s="245"/>
      <c r="I59" s="165"/>
      <c r="J59" s="245"/>
      <c r="K59" s="141"/>
      <c r="L59" s="252"/>
      <c r="M59" s="120"/>
      <c r="N59" s="120"/>
      <c r="O59" s="367"/>
    </row>
    <row r="60" spans="1:15" s="15" customFormat="1" ht="11.1" customHeight="1" outlineLevel="1">
      <c r="A60" s="213"/>
      <c r="B60" s="76"/>
      <c r="C60" s="239" t="s">
        <v>286</v>
      </c>
      <c r="D60" s="161"/>
      <c r="E60" s="213"/>
      <c r="F60" s="79"/>
      <c r="G60" s="245"/>
      <c r="H60" s="245"/>
      <c r="I60" s="165"/>
      <c r="J60" s="245"/>
      <c r="K60" s="141"/>
      <c r="L60" s="252"/>
      <c r="M60" s="120"/>
      <c r="N60" s="120"/>
      <c r="O60" s="367"/>
    </row>
    <row r="61" spans="1:15" s="15" customFormat="1" ht="5.25" customHeight="1" outlineLevel="1">
      <c r="A61" s="213"/>
      <c r="B61" s="76"/>
      <c r="C61" s="239"/>
      <c r="D61" s="161"/>
      <c r="E61" s="213"/>
      <c r="F61" s="79"/>
      <c r="G61" s="245"/>
      <c r="H61" s="245"/>
      <c r="I61" s="165"/>
      <c r="J61" s="245"/>
      <c r="K61" s="141"/>
      <c r="L61" s="252"/>
      <c r="M61" s="120"/>
      <c r="N61" s="120"/>
      <c r="O61" s="367"/>
    </row>
    <row r="62" spans="1:15" s="15" customFormat="1" ht="7.5" hidden="1" customHeight="1" outlineLevel="1">
      <c r="A62" s="213"/>
      <c r="B62" s="76"/>
      <c r="C62" s="239"/>
      <c r="D62" s="161"/>
      <c r="E62" s="213"/>
      <c r="F62" s="79"/>
      <c r="G62" s="245"/>
      <c r="H62" s="245"/>
      <c r="I62" s="165"/>
      <c r="J62" s="245"/>
      <c r="K62" s="141"/>
      <c r="L62" s="252"/>
      <c r="M62" s="120"/>
      <c r="N62" s="120"/>
      <c r="O62" s="367"/>
    </row>
    <row r="63" spans="1:15" s="15" customFormat="1" ht="3.95" customHeight="1" outlineLevel="1">
      <c r="A63" s="213"/>
      <c r="B63" s="76"/>
      <c r="C63" s="239"/>
      <c r="D63" s="161"/>
      <c r="E63" s="213"/>
      <c r="F63" s="79"/>
      <c r="G63" s="246"/>
      <c r="H63" s="246"/>
      <c r="I63" s="165"/>
      <c r="J63" s="246"/>
      <c r="K63" s="144"/>
      <c r="L63" s="252"/>
      <c r="M63" s="120"/>
      <c r="N63" s="120"/>
      <c r="O63" s="357"/>
    </row>
    <row r="64" spans="1:15" s="15" customFormat="1" ht="3.95" customHeight="1" outlineLevel="1">
      <c r="A64" s="212"/>
      <c r="B64" s="72"/>
      <c r="C64" s="240"/>
      <c r="D64" s="225"/>
      <c r="E64" s="212"/>
      <c r="F64" s="226"/>
      <c r="G64" s="247"/>
      <c r="H64" s="247"/>
      <c r="I64" s="227"/>
      <c r="J64" s="247"/>
      <c r="K64" s="139"/>
      <c r="L64" s="248"/>
      <c r="M64" s="157"/>
      <c r="N64" s="157"/>
      <c r="O64" s="280"/>
    </row>
    <row r="65" spans="1:15" s="15" customFormat="1" ht="11.1" customHeight="1" outlineLevel="1">
      <c r="A65" s="370" t="s">
        <v>62</v>
      </c>
      <c r="B65" s="76" t="s">
        <v>9</v>
      </c>
      <c r="C65" s="77" t="s">
        <v>57</v>
      </c>
      <c r="D65" s="369" t="s">
        <v>52</v>
      </c>
      <c r="E65" s="369" t="s">
        <v>229</v>
      </c>
      <c r="F65" s="78" t="s">
        <v>221</v>
      </c>
      <c r="G65" s="140">
        <f>SUM(G66:G71)</f>
        <v>242280</v>
      </c>
      <c r="H65" s="140">
        <f>SUM(H66:H71)</f>
        <v>5086</v>
      </c>
      <c r="I65" s="164">
        <f t="shared" ref="I65:I71" si="18">IF(G65&gt;0,H65/G65*100,"-")</f>
        <v>2.0992240383027898</v>
      </c>
      <c r="J65" s="140">
        <f>SUM(J66:J69)</f>
        <v>5650</v>
      </c>
      <c r="K65" s="140">
        <f>SUM(K66:K69)</f>
        <v>0</v>
      </c>
      <c r="L65" s="254">
        <f>SUM(L66:L69)</f>
        <v>5650</v>
      </c>
      <c r="M65" s="38">
        <f>SUM(M66:M69)</f>
        <v>5085.1299999999992</v>
      </c>
      <c r="N65" s="39">
        <f t="shared" ref="N65:N71" si="19">IF(L65&gt;0,M65/L65*100,"-")</f>
        <v>90.00230088495573</v>
      </c>
      <c r="O65" s="367" t="s">
        <v>508</v>
      </c>
    </row>
    <row r="66" spans="1:15" s="15" customFormat="1" ht="11.1" customHeight="1" outlineLevel="1">
      <c r="A66" s="370"/>
      <c r="B66" s="76" t="s">
        <v>10</v>
      </c>
      <c r="C66" s="77" t="s">
        <v>222</v>
      </c>
      <c r="D66" s="369"/>
      <c r="E66" s="369"/>
      <c r="F66" s="79" t="s">
        <v>15</v>
      </c>
      <c r="G66" s="141">
        <v>0</v>
      </c>
      <c r="H66" s="141">
        <v>0</v>
      </c>
      <c r="I66" s="165" t="str">
        <f t="shared" si="18"/>
        <v>-</v>
      </c>
      <c r="J66" s="141">
        <v>0</v>
      </c>
      <c r="K66" s="141">
        <f t="shared" ref="K66:K71" si="20">L66-J66</f>
        <v>0</v>
      </c>
      <c r="L66" s="191">
        <v>0</v>
      </c>
      <c r="M66" s="80">
        <v>0</v>
      </c>
      <c r="N66" s="81" t="str">
        <f t="shared" si="19"/>
        <v>-</v>
      </c>
      <c r="O66" s="367"/>
    </row>
    <row r="67" spans="1:15" s="15" customFormat="1" ht="11.1" customHeight="1" outlineLevel="1">
      <c r="A67" s="370"/>
      <c r="B67" s="76" t="s">
        <v>11</v>
      </c>
      <c r="C67" s="82" t="s">
        <v>224</v>
      </c>
      <c r="D67" s="369"/>
      <c r="E67" s="369"/>
      <c r="F67" s="79" t="s">
        <v>7</v>
      </c>
      <c r="G67" s="141">
        <v>205938</v>
      </c>
      <c r="H67" s="141">
        <v>4323</v>
      </c>
      <c r="I67" s="165">
        <f t="shared" si="18"/>
        <v>2.0991754799988342</v>
      </c>
      <c r="J67" s="141">
        <v>4802</v>
      </c>
      <c r="K67" s="141">
        <f t="shared" si="20"/>
        <v>0</v>
      </c>
      <c r="L67" s="191">
        <v>4802</v>
      </c>
      <c r="M67" s="80">
        <v>4322.3599999999997</v>
      </c>
      <c r="N67" s="81">
        <f t="shared" si="19"/>
        <v>90.011661807580168</v>
      </c>
      <c r="O67" s="367"/>
    </row>
    <row r="68" spans="1:15" s="15" customFormat="1" ht="11.1" customHeight="1" outlineLevel="1">
      <c r="A68" s="120"/>
      <c r="B68" s="76" t="s">
        <v>12</v>
      </c>
      <c r="C68" s="82" t="s">
        <v>289</v>
      </c>
      <c r="D68" s="228"/>
      <c r="E68" s="111"/>
      <c r="F68" s="79" t="s">
        <v>8</v>
      </c>
      <c r="G68" s="141">
        <v>0</v>
      </c>
      <c r="H68" s="141">
        <v>0</v>
      </c>
      <c r="I68" s="165" t="str">
        <f t="shared" si="18"/>
        <v>-</v>
      </c>
      <c r="J68" s="141">
        <v>0</v>
      </c>
      <c r="K68" s="141">
        <f t="shared" si="20"/>
        <v>0</v>
      </c>
      <c r="L68" s="191">
        <v>0</v>
      </c>
      <c r="M68" s="80">
        <v>0</v>
      </c>
      <c r="N68" s="81" t="str">
        <f t="shared" si="19"/>
        <v>-</v>
      </c>
      <c r="O68" s="367"/>
    </row>
    <row r="69" spans="1:15" s="15" customFormat="1" ht="11.1" customHeight="1" outlineLevel="1">
      <c r="A69" s="120"/>
      <c r="B69" s="76"/>
      <c r="C69" s="82" t="s">
        <v>290</v>
      </c>
      <c r="D69" s="228"/>
      <c r="E69" s="111"/>
      <c r="F69" s="79" t="s">
        <v>22</v>
      </c>
      <c r="G69" s="141">
        <v>36342</v>
      </c>
      <c r="H69" s="141">
        <v>763</v>
      </c>
      <c r="I69" s="165">
        <f t="shared" si="18"/>
        <v>2.0994992020252052</v>
      </c>
      <c r="J69" s="141">
        <v>848</v>
      </c>
      <c r="K69" s="141">
        <f t="shared" si="20"/>
        <v>0</v>
      </c>
      <c r="L69" s="191">
        <v>848</v>
      </c>
      <c r="M69" s="80">
        <v>762.77</v>
      </c>
      <c r="N69" s="81">
        <f t="shared" si="19"/>
        <v>89.949292452830193</v>
      </c>
      <c r="O69" s="367"/>
    </row>
    <row r="70" spans="1:15" s="15" customFormat="1" ht="11.1" customHeight="1" outlineLevel="1">
      <c r="A70" s="120"/>
      <c r="B70" s="76" t="s">
        <v>23</v>
      </c>
      <c r="C70" s="82" t="s">
        <v>225</v>
      </c>
      <c r="D70" s="228"/>
      <c r="E70" s="111"/>
      <c r="F70" s="79" t="s">
        <v>45</v>
      </c>
      <c r="G70" s="142">
        <v>0</v>
      </c>
      <c r="H70" s="142">
        <v>0</v>
      </c>
      <c r="I70" s="81" t="str">
        <f t="shared" si="18"/>
        <v>-</v>
      </c>
      <c r="J70" s="141">
        <v>0</v>
      </c>
      <c r="K70" s="141">
        <f t="shared" si="20"/>
        <v>0</v>
      </c>
      <c r="L70" s="253">
        <v>0</v>
      </c>
      <c r="M70" s="83">
        <v>0</v>
      </c>
      <c r="N70" s="81" t="str">
        <f t="shared" si="19"/>
        <v>-</v>
      </c>
      <c r="O70" s="367"/>
    </row>
    <row r="71" spans="1:15" s="15" customFormat="1" ht="11.1" customHeight="1" outlineLevel="1">
      <c r="A71" s="120"/>
      <c r="B71" s="76"/>
      <c r="C71" s="82"/>
      <c r="D71" s="228"/>
      <c r="E71" s="111"/>
      <c r="F71" s="79" t="s">
        <v>46</v>
      </c>
      <c r="G71" s="142">
        <v>0</v>
      </c>
      <c r="H71" s="142">
        <v>0</v>
      </c>
      <c r="I71" s="81" t="str">
        <f t="shared" si="18"/>
        <v>-</v>
      </c>
      <c r="J71" s="141">
        <v>0</v>
      </c>
      <c r="K71" s="141">
        <f t="shared" si="20"/>
        <v>0</v>
      </c>
      <c r="L71" s="253">
        <v>0</v>
      </c>
      <c r="M71" s="83">
        <v>0</v>
      </c>
      <c r="N71" s="81" t="str">
        <f t="shared" si="19"/>
        <v>-</v>
      </c>
      <c r="O71" s="367"/>
    </row>
    <row r="72" spans="1:15" s="15" customFormat="1" ht="9.75" customHeight="1" outlineLevel="1">
      <c r="A72" s="120"/>
      <c r="B72" s="76"/>
      <c r="C72" s="82"/>
      <c r="D72" s="228"/>
      <c r="E72" s="231"/>
      <c r="F72" s="79"/>
      <c r="G72" s="245"/>
      <c r="H72" s="245"/>
      <c r="I72" s="165"/>
      <c r="J72" s="245"/>
      <c r="K72" s="141"/>
      <c r="L72" s="252"/>
      <c r="M72" s="120"/>
      <c r="N72" s="81"/>
      <c r="O72" s="367"/>
    </row>
    <row r="73" spans="1:15" s="15" customFormat="1" ht="3.95" customHeight="1" outlineLevel="1">
      <c r="A73" s="84"/>
      <c r="B73" s="85"/>
      <c r="C73" s="86"/>
      <c r="D73" s="229"/>
      <c r="E73" s="214"/>
      <c r="F73" s="163"/>
      <c r="G73" s="246"/>
      <c r="H73" s="246"/>
      <c r="I73" s="166"/>
      <c r="J73" s="246"/>
      <c r="K73" s="144"/>
      <c r="L73" s="255"/>
      <c r="M73" s="121"/>
      <c r="N73" s="88"/>
      <c r="O73" s="204"/>
    </row>
    <row r="74" spans="1:15" s="15" customFormat="1" ht="3.95" customHeight="1" outlineLevel="1">
      <c r="A74" s="71"/>
      <c r="B74" s="72"/>
      <c r="C74" s="73"/>
      <c r="D74" s="232"/>
      <c r="E74" s="233"/>
      <c r="F74" s="226"/>
      <c r="G74" s="248"/>
      <c r="H74" s="247"/>
      <c r="I74" s="227"/>
      <c r="J74" s="247"/>
      <c r="K74" s="139"/>
      <c r="L74" s="248"/>
      <c r="M74" s="157"/>
      <c r="N74" s="75"/>
      <c r="O74" s="269"/>
    </row>
    <row r="75" spans="1:15" s="15" customFormat="1" ht="11.1" customHeight="1" outlineLevel="1">
      <c r="A75" s="370" t="s">
        <v>66</v>
      </c>
      <c r="B75" s="76" t="s">
        <v>9</v>
      </c>
      <c r="C75" s="77" t="s">
        <v>57</v>
      </c>
      <c r="D75" s="369" t="s">
        <v>52</v>
      </c>
      <c r="E75" s="369" t="s">
        <v>230</v>
      </c>
      <c r="F75" s="78" t="s">
        <v>221</v>
      </c>
      <c r="G75" s="140">
        <f>SUM(G76:G81)</f>
        <v>361400</v>
      </c>
      <c r="H75" s="140">
        <f>SUM(H76:H81)</f>
        <v>3482</v>
      </c>
      <c r="I75" s="39">
        <f t="shared" ref="I75:I81" si="21">IF(G75&gt;0,H75/G75*100,"-")</f>
        <v>0.96347537354731594</v>
      </c>
      <c r="J75" s="140">
        <f>SUM(J76:J79)</f>
        <v>3500</v>
      </c>
      <c r="K75" s="140">
        <f>SUM(K76:K79)</f>
        <v>0</v>
      </c>
      <c r="L75" s="254">
        <f>SUM(L76:L79)</f>
        <v>3500</v>
      </c>
      <c r="M75" s="38">
        <f>SUM(M76:M79)</f>
        <v>3480.9</v>
      </c>
      <c r="N75" s="39">
        <f t="shared" ref="N75:N81" si="22">IF(L75&gt;0,M75/L75*100,"-")</f>
        <v>99.454285714285717</v>
      </c>
      <c r="O75" s="367" t="s">
        <v>226</v>
      </c>
    </row>
    <row r="76" spans="1:15" s="15" customFormat="1" ht="11.1" customHeight="1" outlineLevel="1">
      <c r="A76" s="370"/>
      <c r="B76" s="76" t="s">
        <v>10</v>
      </c>
      <c r="C76" s="77" t="s">
        <v>222</v>
      </c>
      <c r="D76" s="369"/>
      <c r="E76" s="369"/>
      <c r="F76" s="79" t="s">
        <v>15</v>
      </c>
      <c r="G76" s="191">
        <v>0</v>
      </c>
      <c r="H76" s="141">
        <v>0</v>
      </c>
      <c r="I76" s="81" t="str">
        <f t="shared" si="21"/>
        <v>-</v>
      </c>
      <c r="J76" s="141">
        <v>0</v>
      </c>
      <c r="K76" s="141">
        <f t="shared" ref="K76:K81" si="23">L76-J76</f>
        <v>0</v>
      </c>
      <c r="L76" s="253">
        <v>0</v>
      </c>
      <c r="M76" s="80">
        <v>0</v>
      </c>
      <c r="N76" s="81" t="str">
        <f t="shared" si="22"/>
        <v>-</v>
      </c>
      <c r="O76" s="367"/>
    </row>
    <row r="77" spans="1:15" s="15" customFormat="1" ht="11.1" customHeight="1" outlineLevel="1">
      <c r="A77" s="370"/>
      <c r="B77" s="76" t="s">
        <v>11</v>
      </c>
      <c r="C77" s="82" t="s">
        <v>223</v>
      </c>
      <c r="D77" s="369"/>
      <c r="E77" s="369"/>
      <c r="F77" s="79" t="s">
        <v>7</v>
      </c>
      <c r="G77" s="191">
        <v>307190</v>
      </c>
      <c r="H77" s="141">
        <v>2959</v>
      </c>
      <c r="I77" s="81">
        <f t="shared" si="21"/>
        <v>0.96324750154627437</v>
      </c>
      <c r="J77" s="141">
        <v>2975</v>
      </c>
      <c r="K77" s="141">
        <f t="shared" si="23"/>
        <v>0</v>
      </c>
      <c r="L77" s="253">
        <v>2975</v>
      </c>
      <c r="M77" s="80">
        <v>2958.77</v>
      </c>
      <c r="N77" s="81">
        <f t="shared" si="22"/>
        <v>99.454453781512612</v>
      </c>
      <c r="O77" s="367"/>
    </row>
    <row r="78" spans="1:15" s="15" customFormat="1" ht="11.1" customHeight="1" outlineLevel="1">
      <c r="A78" s="120"/>
      <c r="B78" s="76" t="s">
        <v>12</v>
      </c>
      <c r="C78" s="82" t="s">
        <v>291</v>
      </c>
      <c r="D78" s="228"/>
      <c r="E78" s="111"/>
      <c r="F78" s="79" t="s">
        <v>8</v>
      </c>
      <c r="G78" s="191">
        <v>0</v>
      </c>
      <c r="H78" s="141">
        <v>0</v>
      </c>
      <c r="I78" s="81" t="str">
        <f t="shared" si="21"/>
        <v>-</v>
      </c>
      <c r="J78" s="141">
        <v>0</v>
      </c>
      <c r="K78" s="141">
        <f t="shared" si="23"/>
        <v>0</v>
      </c>
      <c r="L78" s="253">
        <v>0</v>
      </c>
      <c r="M78" s="80">
        <v>0</v>
      </c>
      <c r="N78" s="81" t="str">
        <f t="shared" si="22"/>
        <v>-</v>
      </c>
      <c r="O78" s="368"/>
    </row>
    <row r="79" spans="1:15" s="15" customFormat="1" ht="11.1" customHeight="1" outlineLevel="1">
      <c r="A79" s="120"/>
      <c r="B79" s="76"/>
      <c r="C79" s="82" t="s">
        <v>292</v>
      </c>
      <c r="D79" s="228"/>
      <c r="E79" s="111"/>
      <c r="F79" s="79" t="s">
        <v>22</v>
      </c>
      <c r="G79" s="191">
        <v>54210</v>
      </c>
      <c r="H79" s="142">
        <v>523</v>
      </c>
      <c r="I79" s="81">
        <f t="shared" si="21"/>
        <v>0.96476664821988567</v>
      </c>
      <c r="J79" s="141">
        <v>525</v>
      </c>
      <c r="K79" s="141">
        <f t="shared" si="23"/>
        <v>0</v>
      </c>
      <c r="L79" s="253">
        <v>525</v>
      </c>
      <c r="M79" s="108">
        <v>522.13</v>
      </c>
      <c r="N79" s="81">
        <f t="shared" si="22"/>
        <v>99.453333333333333</v>
      </c>
      <c r="O79" s="368"/>
    </row>
    <row r="80" spans="1:15" s="15" customFormat="1" ht="11.1" customHeight="1" outlineLevel="1">
      <c r="A80" s="120"/>
      <c r="B80" s="76" t="s">
        <v>23</v>
      </c>
      <c r="C80" s="82" t="s">
        <v>293</v>
      </c>
      <c r="D80" s="156"/>
      <c r="E80" s="156"/>
      <c r="F80" s="155" t="s">
        <v>45</v>
      </c>
      <c r="G80" s="142">
        <v>0</v>
      </c>
      <c r="H80" s="142">
        <v>0</v>
      </c>
      <c r="I80" s="81" t="str">
        <f t="shared" si="21"/>
        <v>-</v>
      </c>
      <c r="J80" s="141">
        <v>0</v>
      </c>
      <c r="K80" s="141">
        <f t="shared" si="23"/>
        <v>0</v>
      </c>
      <c r="L80" s="253">
        <v>0</v>
      </c>
      <c r="M80" s="83">
        <v>0</v>
      </c>
      <c r="N80" s="81" t="str">
        <f t="shared" si="22"/>
        <v>-</v>
      </c>
      <c r="O80" s="368"/>
    </row>
    <row r="81" spans="1:15" s="15" customFormat="1" ht="11.1" customHeight="1" outlineLevel="1">
      <c r="A81" s="120"/>
      <c r="B81" s="76"/>
      <c r="C81" s="82" t="s">
        <v>294</v>
      </c>
      <c r="D81" s="120"/>
      <c r="E81" s="120"/>
      <c r="F81" s="79" t="s">
        <v>46</v>
      </c>
      <c r="G81" s="142">
        <v>0</v>
      </c>
      <c r="H81" s="142">
        <v>0</v>
      </c>
      <c r="I81" s="81" t="str">
        <f t="shared" si="21"/>
        <v>-</v>
      </c>
      <c r="J81" s="141">
        <v>0</v>
      </c>
      <c r="K81" s="141">
        <f t="shared" si="23"/>
        <v>0</v>
      </c>
      <c r="L81" s="253">
        <v>0</v>
      </c>
      <c r="M81" s="83">
        <v>0</v>
      </c>
      <c r="N81" s="81" t="str">
        <f t="shared" si="22"/>
        <v>-</v>
      </c>
      <c r="O81" s="368"/>
    </row>
    <row r="82" spans="1:15" s="15" customFormat="1" ht="3.95" customHeight="1" outlineLevel="1">
      <c r="A82" s="121"/>
      <c r="B82" s="85"/>
      <c r="C82" s="242"/>
      <c r="D82" s="121"/>
      <c r="E82" s="121"/>
      <c r="F82" s="243"/>
      <c r="G82" s="143"/>
      <c r="H82" s="143"/>
      <c r="I82" s="88"/>
      <c r="J82" s="144"/>
      <c r="K82" s="144"/>
      <c r="L82" s="256"/>
      <c r="M82" s="85"/>
      <c r="N82" s="88"/>
      <c r="O82" s="204"/>
    </row>
    <row r="83" spans="1:15" ht="3.95" customHeight="1" outlineLevel="1">
      <c r="A83" s="59"/>
      <c r="B83" s="60"/>
      <c r="C83" s="61"/>
      <c r="D83" s="62"/>
      <c r="E83" s="62"/>
      <c r="F83" s="59"/>
      <c r="G83" s="134"/>
      <c r="H83" s="134"/>
      <c r="I83" s="59"/>
      <c r="J83" s="134"/>
      <c r="K83" s="134"/>
      <c r="L83" s="134"/>
      <c r="M83" s="63"/>
      <c r="N83" s="64"/>
      <c r="O83" s="219"/>
    </row>
    <row r="84" spans="1:15" ht="11.45" customHeight="1" outlineLevel="1">
      <c r="A84" s="28" t="s">
        <v>51</v>
      </c>
      <c r="B84" s="387" t="s">
        <v>219</v>
      </c>
      <c r="C84" s="372"/>
      <c r="D84" s="29"/>
      <c r="E84" s="29"/>
      <c r="F84" s="30"/>
      <c r="G84" s="135">
        <f>SUM(G85:G90)</f>
        <v>9851203</v>
      </c>
      <c r="H84" s="135">
        <f>SUM(H85:H90)</f>
        <v>8720047</v>
      </c>
      <c r="I84" s="32">
        <f>IF(G84&gt;0,H84/G84*100,"-")</f>
        <v>88.517585111178803</v>
      </c>
      <c r="J84" s="135">
        <f>SUM(J85:J90)</f>
        <v>2423371</v>
      </c>
      <c r="K84" s="135">
        <f>SUM(K85:K90)</f>
        <v>1492254</v>
      </c>
      <c r="L84" s="135">
        <f>SUM(L85:L90)</f>
        <v>3915625</v>
      </c>
      <c r="M84" s="31">
        <f>SUM(M85:M90)</f>
        <v>2828235.38</v>
      </c>
      <c r="N84" s="32">
        <f t="shared" ref="N84:N90" si="24">IF(L84&gt;0,M84/L84*100,"-")</f>
        <v>72.229474988028727</v>
      </c>
      <c r="O84" s="220"/>
    </row>
    <row r="85" spans="1:15" ht="11.45" customHeight="1" outlineLevel="1">
      <c r="A85" s="30"/>
      <c r="B85" s="33"/>
      <c r="C85" s="34"/>
      <c r="D85" s="29"/>
      <c r="E85" s="29"/>
      <c r="F85" s="35" t="s">
        <v>15</v>
      </c>
      <c r="G85" s="136">
        <f>G94+G118</f>
        <v>1017656</v>
      </c>
      <c r="H85" s="136">
        <f>H94+H118</f>
        <v>870475</v>
      </c>
      <c r="I85" s="37">
        <f t="shared" ref="I85:I90" si="25">IF(G85&gt;0,H85/G85*100,"-")</f>
        <v>85.537254239153498</v>
      </c>
      <c r="J85" s="136">
        <f>J94+J118</f>
        <v>402550</v>
      </c>
      <c r="K85" s="136">
        <f>K94+K118</f>
        <v>49736</v>
      </c>
      <c r="L85" s="136">
        <f>L94+L118</f>
        <v>452286</v>
      </c>
      <c r="M85" s="36">
        <f>M94+M118</f>
        <v>305102.76</v>
      </c>
      <c r="N85" s="37">
        <f t="shared" si="24"/>
        <v>67.457927063848985</v>
      </c>
      <c r="O85" s="220"/>
    </row>
    <row r="86" spans="1:15" ht="11.45" customHeight="1" outlineLevel="1">
      <c r="A86" s="30"/>
      <c r="B86" s="33"/>
      <c r="C86" s="34"/>
      <c r="D86" s="29"/>
      <c r="E86" s="29"/>
      <c r="F86" s="35" t="s">
        <v>7</v>
      </c>
      <c r="G86" s="136">
        <f t="shared" ref="G86:H90" si="26">G95+G119</f>
        <v>8174135</v>
      </c>
      <c r="H86" s="136">
        <f t="shared" si="26"/>
        <v>7330628</v>
      </c>
      <c r="I86" s="37">
        <f t="shared" si="25"/>
        <v>89.680779678828401</v>
      </c>
      <c r="J86" s="136">
        <f t="shared" ref="J86:K90" si="27">J95+J119</f>
        <v>1837363</v>
      </c>
      <c r="K86" s="136">
        <f t="shared" si="27"/>
        <v>1369989</v>
      </c>
      <c r="L86" s="136">
        <f t="shared" ref="L86:M90" si="28">L95+L119</f>
        <v>3207352</v>
      </c>
      <c r="M86" s="36">
        <f t="shared" si="28"/>
        <v>2391209.6199999996</v>
      </c>
      <c r="N86" s="37">
        <f t="shared" si="24"/>
        <v>74.554012780636484</v>
      </c>
      <c r="O86" s="220"/>
    </row>
    <row r="87" spans="1:15" ht="11.45" customHeight="1" outlineLevel="1">
      <c r="A87" s="30"/>
      <c r="B87" s="33"/>
      <c r="C87" s="34"/>
      <c r="D87" s="29"/>
      <c r="E87" s="29"/>
      <c r="F87" s="35" t="s">
        <v>8</v>
      </c>
      <c r="G87" s="136">
        <f t="shared" si="26"/>
        <v>0</v>
      </c>
      <c r="H87" s="136">
        <f t="shared" si="26"/>
        <v>0</v>
      </c>
      <c r="I87" s="37" t="str">
        <f t="shared" si="25"/>
        <v>-</v>
      </c>
      <c r="J87" s="136">
        <f t="shared" si="27"/>
        <v>0</v>
      </c>
      <c r="K87" s="136">
        <f t="shared" si="27"/>
        <v>0</v>
      </c>
      <c r="L87" s="136">
        <f t="shared" si="28"/>
        <v>0</v>
      </c>
      <c r="M87" s="36">
        <f t="shared" si="28"/>
        <v>0</v>
      </c>
      <c r="N87" s="37" t="str">
        <f t="shared" si="24"/>
        <v>-</v>
      </c>
      <c r="O87" s="220"/>
    </row>
    <row r="88" spans="1:15" ht="11.45" customHeight="1" outlineLevel="1">
      <c r="A88" s="30"/>
      <c r="B88" s="33"/>
      <c r="C88" s="34"/>
      <c r="D88" s="29"/>
      <c r="E88" s="29"/>
      <c r="F88" s="35" t="s">
        <v>22</v>
      </c>
      <c r="G88" s="136">
        <f t="shared" si="26"/>
        <v>659412</v>
      </c>
      <c r="H88" s="136">
        <f t="shared" si="26"/>
        <v>518944</v>
      </c>
      <c r="I88" s="37">
        <f t="shared" si="25"/>
        <v>78.697991543981601</v>
      </c>
      <c r="J88" s="136">
        <f t="shared" si="27"/>
        <v>183458</v>
      </c>
      <c r="K88" s="136">
        <f t="shared" si="27"/>
        <v>72529</v>
      </c>
      <c r="L88" s="136">
        <f t="shared" si="28"/>
        <v>255987</v>
      </c>
      <c r="M88" s="36">
        <f t="shared" si="28"/>
        <v>131923</v>
      </c>
      <c r="N88" s="37">
        <f t="shared" si="24"/>
        <v>51.535038888693563</v>
      </c>
      <c r="O88" s="220"/>
    </row>
    <row r="89" spans="1:15" ht="11.45" customHeight="1" outlineLevel="1">
      <c r="A89" s="30"/>
      <c r="B89" s="33"/>
      <c r="C89" s="34"/>
      <c r="D89" s="29"/>
      <c r="E89" s="29"/>
      <c r="F89" s="35" t="s">
        <v>45</v>
      </c>
      <c r="G89" s="136">
        <f t="shared" si="26"/>
        <v>0</v>
      </c>
      <c r="H89" s="136">
        <f t="shared" si="26"/>
        <v>0</v>
      </c>
      <c r="I89" s="37" t="str">
        <f t="shared" si="25"/>
        <v>-</v>
      </c>
      <c r="J89" s="136">
        <f t="shared" si="27"/>
        <v>0</v>
      </c>
      <c r="K89" s="136">
        <f t="shared" si="27"/>
        <v>0</v>
      </c>
      <c r="L89" s="136">
        <f t="shared" si="28"/>
        <v>0</v>
      </c>
      <c r="M89" s="36">
        <f t="shared" si="28"/>
        <v>0</v>
      </c>
      <c r="N89" s="37" t="str">
        <f t="shared" si="24"/>
        <v>-</v>
      </c>
      <c r="O89" s="220"/>
    </row>
    <row r="90" spans="1:15" ht="11.45" customHeight="1" outlineLevel="1">
      <c r="A90" s="30"/>
      <c r="B90" s="33"/>
      <c r="C90" s="34"/>
      <c r="D90" s="29"/>
      <c r="E90" s="29"/>
      <c r="F90" s="35" t="s">
        <v>46</v>
      </c>
      <c r="G90" s="136">
        <f t="shared" si="26"/>
        <v>0</v>
      </c>
      <c r="H90" s="136">
        <f t="shared" si="26"/>
        <v>0</v>
      </c>
      <c r="I90" s="37" t="str">
        <f t="shared" si="25"/>
        <v>-</v>
      </c>
      <c r="J90" s="136">
        <f t="shared" si="27"/>
        <v>0</v>
      </c>
      <c r="K90" s="136">
        <f t="shared" si="27"/>
        <v>0</v>
      </c>
      <c r="L90" s="136">
        <f t="shared" si="28"/>
        <v>0</v>
      </c>
      <c r="M90" s="36">
        <f t="shared" si="28"/>
        <v>0</v>
      </c>
      <c r="N90" s="37" t="str">
        <f t="shared" si="24"/>
        <v>-</v>
      </c>
      <c r="O90" s="220"/>
    </row>
    <row r="91" spans="1:15" ht="3.95" customHeight="1" outlineLevel="1">
      <c r="A91" s="65"/>
      <c r="B91" s="66"/>
      <c r="C91" s="67"/>
      <c r="D91" s="68"/>
      <c r="E91" s="68"/>
      <c r="F91" s="65"/>
      <c r="G91" s="137"/>
      <c r="H91" s="137"/>
      <c r="I91" s="70"/>
      <c r="J91" s="137"/>
      <c r="K91" s="137"/>
      <c r="L91" s="137"/>
      <c r="M91" s="69"/>
      <c r="N91" s="70"/>
      <c r="O91" s="221"/>
    </row>
    <row r="92" spans="1:15" s="95" customFormat="1" ht="3.95" customHeight="1" outlineLevel="1">
      <c r="A92" s="157"/>
      <c r="B92" s="72"/>
      <c r="C92" s="73"/>
      <c r="D92" s="71"/>
      <c r="E92" s="71"/>
      <c r="F92" s="72"/>
      <c r="G92" s="138"/>
      <c r="H92" s="138"/>
      <c r="I92" s="75"/>
      <c r="J92" s="138"/>
      <c r="K92" s="138"/>
      <c r="L92" s="139"/>
      <c r="M92" s="74"/>
      <c r="N92" s="75"/>
      <c r="O92" s="208"/>
    </row>
    <row r="93" spans="1:15" s="95" customFormat="1" ht="11.1" customHeight="1" outlineLevel="1">
      <c r="A93" s="370" t="s">
        <v>1</v>
      </c>
      <c r="B93" s="76" t="s">
        <v>9</v>
      </c>
      <c r="C93" s="77" t="s">
        <v>50</v>
      </c>
      <c r="D93" s="369" t="s">
        <v>64</v>
      </c>
      <c r="E93" s="369"/>
      <c r="F93" s="78" t="s">
        <v>28</v>
      </c>
      <c r="G93" s="140">
        <f>SUM(G94:G99)</f>
        <v>997534</v>
      </c>
      <c r="H93" s="140">
        <f>SUM(H94:H99)</f>
        <v>91452</v>
      </c>
      <c r="I93" s="39">
        <f t="shared" ref="I93:I99" si="29">IF(G93&gt;0,H93/G93*100,"-")</f>
        <v>9.1678078140694943</v>
      </c>
      <c r="J93" s="140">
        <f>SUM(J94:J99)</f>
        <v>965672</v>
      </c>
      <c r="K93" s="140">
        <f>SUM(K94:K99)</f>
        <v>0</v>
      </c>
      <c r="L93" s="140">
        <f>SUM(L94:L99)</f>
        <v>965672</v>
      </c>
      <c r="M93" s="38">
        <f>SUM(M94:M99)</f>
        <v>59587.369999999995</v>
      </c>
      <c r="N93" s="39">
        <f t="shared" ref="N93:N99" si="30">IF(L93&gt;0,M93/L93*100,"-")</f>
        <v>6.1705599830998512</v>
      </c>
      <c r="O93" s="366" t="s">
        <v>234</v>
      </c>
    </row>
    <row r="94" spans="1:15" s="95" customFormat="1" ht="11.1" customHeight="1" outlineLevel="1">
      <c r="A94" s="370"/>
      <c r="B94" s="76" t="s">
        <v>10</v>
      </c>
      <c r="C94" s="77" t="s">
        <v>72</v>
      </c>
      <c r="D94" s="369"/>
      <c r="E94" s="369"/>
      <c r="F94" s="79" t="s">
        <v>15</v>
      </c>
      <c r="G94" s="141">
        <f t="shared" ref="G94:H99" si="31">G102+G109</f>
        <v>149630</v>
      </c>
      <c r="H94" s="141">
        <f t="shared" si="31"/>
        <v>13609</v>
      </c>
      <c r="I94" s="81">
        <f t="shared" si="29"/>
        <v>9.0951012497493817</v>
      </c>
      <c r="J94" s="141">
        <f t="shared" ref="J94:M99" si="32">J102+J109</f>
        <v>144851</v>
      </c>
      <c r="K94" s="141">
        <f t="shared" si="32"/>
        <v>0</v>
      </c>
      <c r="L94" s="141">
        <f t="shared" si="32"/>
        <v>144851</v>
      </c>
      <c r="M94" s="80">
        <f t="shared" si="32"/>
        <v>8829.39</v>
      </c>
      <c r="N94" s="81">
        <f t="shared" si="30"/>
        <v>6.0954981325638062</v>
      </c>
      <c r="O94" s="366"/>
    </row>
    <row r="95" spans="1:15" s="95" customFormat="1" ht="11.1" customHeight="1" outlineLevel="1">
      <c r="A95" s="370"/>
      <c r="B95" s="76"/>
      <c r="C95" s="82" t="s">
        <v>71</v>
      </c>
      <c r="D95" s="369"/>
      <c r="E95" s="369"/>
      <c r="F95" s="79" t="s">
        <v>7</v>
      </c>
      <c r="G95" s="141">
        <f t="shared" si="31"/>
        <v>720719</v>
      </c>
      <c r="H95" s="141">
        <f t="shared" si="31"/>
        <v>66166</v>
      </c>
      <c r="I95" s="81">
        <f t="shared" si="29"/>
        <v>9.1805544185736743</v>
      </c>
      <c r="J95" s="141">
        <f t="shared" si="32"/>
        <v>697698</v>
      </c>
      <c r="K95" s="141">
        <f t="shared" si="32"/>
        <v>0</v>
      </c>
      <c r="L95" s="141">
        <f t="shared" si="32"/>
        <v>697698</v>
      </c>
      <c r="M95" s="80">
        <f t="shared" si="32"/>
        <v>43144.32</v>
      </c>
      <c r="N95" s="81">
        <f t="shared" si="30"/>
        <v>6.1838101872156725</v>
      </c>
      <c r="O95" s="366"/>
    </row>
    <row r="96" spans="1:15" s="95" customFormat="1" ht="11.1" customHeight="1" outlineLevel="1">
      <c r="A96" s="120"/>
      <c r="B96" s="76" t="s">
        <v>11</v>
      </c>
      <c r="C96" s="82" t="s">
        <v>73</v>
      </c>
      <c r="D96" s="111"/>
      <c r="E96" s="369"/>
      <c r="F96" s="79" t="s">
        <v>8</v>
      </c>
      <c r="G96" s="141">
        <f t="shared" si="31"/>
        <v>0</v>
      </c>
      <c r="H96" s="141">
        <f t="shared" si="31"/>
        <v>0</v>
      </c>
      <c r="I96" s="81" t="str">
        <f t="shared" si="29"/>
        <v>-</v>
      </c>
      <c r="J96" s="141">
        <f t="shared" si="32"/>
        <v>0</v>
      </c>
      <c r="K96" s="141">
        <f t="shared" si="32"/>
        <v>0</v>
      </c>
      <c r="L96" s="141">
        <f t="shared" si="32"/>
        <v>0</v>
      </c>
      <c r="M96" s="80">
        <f t="shared" si="32"/>
        <v>0</v>
      </c>
      <c r="N96" s="81" t="str">
        <f t="shared" si="30"/>
        <v>-</v>
      </c>
      <c r="O96" s="366"/>
    </row>
    <row r="97" spans="1:15" s="95" customFormat="1" ht="11.1" customHeight="1" outlineLevel="1">
      <c r="A97" s="120"/>
      <c r="B97" s="76" t="s">
        <v>12</v>
      </c>
      <c r="C97" s="82" t="s">
        <v>352</v>
      </c>
      <c r="D97" s="111"/>
      <c r="E97" s="369"/>
      <c r="F97" s="79" t="s">
        <v>22</v>
      </c>
      <c r="G97" s="141">
        <f t="shared" si="31"/>
        <v>127185</v>
      </c>
      <c r="H97" s="141">
        <f t="shared" si="31"/>
        <v>11677</v>
      </c>
      <c r="I97" s="81">
        <f t="shared" si="29"/>
        <v>9.1811141250933677</v>
      </c>
      <c r="J97" s="141">
        <f t="shared" si="32"/>
        <v>123123</v>
      </c>
      <c r="K97" s="141">
        <f t="shared" si="32"/>
        <v>0</v>
      </c>
      <c r="L97" s="141">
        <f t="shared" si="32"/>
        <v>123123</v>
      </c>
      <c r="M97" s="80">
        <f t="shared" si="32"/>
        <v>7613.66</v>
      </c>
      <c r="N97" s="81">
        <f t="shared" si="30"/>
        <v>6.1837836959788177</v>
      </c>
      <c r="O97" s="366"/>
    </row>
    <row r="98" spans="1:15" s="95" customFormat="1" ht="11.1" customHeight="1" outlineLevel="1">
      <c r="A98" s="120"/>
      <c r="B98" s="76" t="s">
        <v>23</v>
      </c>
      <c r="C98" s="82" t="s">
        <v>74</v>
      </c>
      <c r="D98" s="111"/>
      <c r="E98" s="90"/>
      <c r="F98" s="107" t="s">
        <v>45</v>
      </c>
      <c r="G98" s="141">
        <f t="shared" si="31"/>
        <v>0</v>
      </c>
      <c r="H98" s="141">
        <f t="shared" si="31"/>
        <v>0</v>
      </c>
      <c r="I98" s="81" t="str">
        <f t="shared" si="29"/>
        <v>-</v>
      </c>
      <c r="J98" s="141">
        <f t="shared" si="32"/>
        <v>0</v>
      </c>
      <c r="K98" s="141">
        <f t="shared" si="32"/>
        <v>0</v>
      </c>
      <c r="L98" s="141">
        <f t="shared" si="32"/>
        <v>0</v>
      </c>
      <c r="M98" s="80">
        <f t="shared" si="32"/>
        <v>0</v>
      </c>
      <c r="N98" s="81" t="str">
        <f t="shared" si="30"/>
        <v>-</v>
      </c>
      <c r="O98" s="366"/>
    </row>
    <row r="99" spans="1:15" s="95" customFormat="1" ht="11.1" customHeight="1" outlineLevel="1">
      <c r="A99" s="120"/>
      <c r="B99" s="76"/>
      <c r="C99" s="82"/>
      <c r="D99" s="111"/>
      <c r="E99" s="90"/>
      <c r="F99" s="107" t="s">
        <v>46</v>
      </c>
      <c r="G99" s="141">
        <f t="shared" si="31"/>
        <v>0</v>
      </c>
      <c r="H99" s="141">
        <f t="shared" si="31"/>
        <v>0</v>
      </c>
      <c r="I99" s="81" t="str">
        <f t="shared" si="29"/>
        <v>-</v>
      </c>
      <c r="J99" s="141">
        <f t="shared" si="32"/>
        <v>0</v>
      </c>
      <c r="K99" s="141">
        <f t="shared" si="32"/>
        <v>0</v>
      </c>
      <c r="L99" s="141">
        <f t="shared" si="32"/>
        <v>0</v>
      </c>
      <c r="M99" s="80">
        <f t="shared" si="32"/>
        <v>0</v>
      </c>
      <c r="N99" s="81" t="str">
        <f t="shared" si="30"/>
        <v>-</v>
      </c>
      <c r="O99" s="366"/>
    </row>
    <row r="100" spans="1:15" s="95" customFormat="1" ht="10.5" customHeight="1" outlineLevel="1">
      <c r="A100" s="120"/>
      <c r="B100" s="76"/>
      <c r="C100" s="82"/>
      <c r="D100" s="111"/>
      <c r="E100" s="90"/>
      <c r="F100" s="107"/>
      <c r="G100" s="142"/>
      <c r="H100" s="142"/>
      <c r="I100" s="81"/>
      <c r="J100" s="142"/>
      <c r="K100" s="142"/>
      <c r="L100" s="141"/>
      <c r="M100" s="89"/>
      <c r="N100" s="81"/>
      <c r="O100" s="356"/>
    </row>
    <row r="101" spans="1:15" s="95" customFormat="1" ht="10.5" customHeight="1" outlineLevel="1">
      <c r="A101" s="120"/>
      <c r="B101" s="76"/>
      <c r="C101" s="82"/>
      <c r="D101" s="90"/>
      <c r="E101" s="90"/>
      <c r="F101" s="107"/>
      <c r="G101" s="142"/>
      <c r="H101" s="142"/>
      <c r="I101" s="81"/>
      <c r="J101" s="142"/>
      <c r="K101" s="142"/>
      <c r="L101" s="141"/>
      <c r="M101" s="89"/>
      <c r="N101" s="81"/>
      <c r="O101" s="356"/>
    </row>
    <row r="102" spans="1:15" s="118" customFormat="1" ht="11.1" customHeight="1" outlineLevel="1">
      <c r="A102" s="120"/>
      <c r="B102" s="112"/>
      <c r="C102" s="113"/>
      <c r="D102" s="114"/>
      <c r="E102" s="388" t="s">
        <v>55</v>
      </c>
      <c r="F102" s="115" t="s">
        <v>15</v>
      </c>
      <c r="G102" s="145">
        <v>149630</v>
      </c>
      <c r="H102" s="145">
        <v>13609</v>
      </c>
      <c r="I102" s="81">
        <f t="shared" ref="I102:I107" si="33">IF(G102&gt;0,H102/G102*100,"-")</f>
        <v>9.0951012497493817</v>
      </c>
      <c r="J102" s="145">
        <v>144851</v>
      </c>
      <c r="K102" s="145">
        <f t="shared" ref="K102:K107" si="34">L102-J102</f>
        <v>0</v>
      </c>
      <c r="L102" s="146">
        <v>144851</v>
      </c>
      <c r="M102" s="117">
        <v>8829.39</v>
      </c>
      <c r="N102" s="81">
        <f t="shared" ref="N102:N107" si="35">IF(L102&gt;0,M102/L102*100,"-")</f>
        <v>6.0954981325638062</v>
      </c>
      <c r="O102" s="356"/>
    </row>
    <row r="103" spans="1:15" s="118" customFormat="1" ht="11.1" customHeight="1" outlineLevel="1">
      <c r="A103" s="120"/>
      <c r="B103" s="112"/>
      <c r="C103" s="113"/>
      <c r="D103" s="114"/>
      <c r="E103" s="388"/>
      <c r="F103" s="115" t="s">
        <v>7</v>
      </c>
      <c r="G103" s="145">
        <v>0</v>
      </c>
      <c r="H103" s="145">
        <v>0</v>
      </c>
      <c r="I103" s="81" t="str">
        <f t="shared" si="33"/>
        <v>-</v>
      </c>
      <c r="J103" s="145">
        <v>0</v>
      </c>
      <c r="K103" s="145">
        <f t="shared" si="34"/>
        <v>0</v>
      </c>
      <c r="L103" s="146">
        <v>0</v>
      </c>
      <c r="M103" s="117">
        <v>0</v>
      </c>
      <c r="N103" s="81" t="str">
        <f t="shared" si="35"/>
        <v>-</v>
      </c>
      <c r="O103" s="356"/>
    </row>
    <row r="104" spans="1:15" s="118" customFormat="1" ht="11.1" customHeight="1" outlineLevel="1">
      <c r="A104" s="120"/>
      <c r="B104" s="112"/>
      <c r="C104" s="113"/>
      <c r="D104" s="114"/>
      <c r="E104" s="388"/>
      <c r="F104" s="115" t="s">
        <v>8</v>
      </c>
      <c r="G104" s="145">
        <v>0</v>
      </c>
      <c r="H104" s="145">
        <v>0</v>
      </c>
      <c r="I104" s="81" t="str">
        <f t="shared" si="33"/>
        <v>-</v>
      </c>
      <c r="J104" s="145">
        <v>0</v>
      </c>
      <c r="K104" s="145">
        <f t="shared" si="34"/>
        <v>0</v>
      </c>
      <c r="L104" s="146">
        <v>0</v>
      </c>
      <c r="M104" s="117">
        <v>0</v>
      </c>
      <c r="N104" s="81" t="str">
        <f t="shared" si="35"/>
        <v>-</v>
      </c>
      <c r="O104" s="356"/>
    </row>
    <row r="105" spans="1:15" s="118" customFormat="1" ht="11.1" customHeight="1" outlineLevel="1">
      <c r="A105" s="120"/>
      <c r="B105" s="112"/>
      <c r="C105" s="113"/>
      <c r="D105" s="114"/>
      <c r="E105" s="216"/>
      <c r="F105" s="115" t="s">
        <v>22</v>
      </c>
      <c r="G105" s="145">
        <v>0</v>
      </c>
      <c r="H105" s="145">
        <v>0</v>
      </c>
      <c r="I105" s="81" t="str">
        <f t="shared" si="33"/>
        <v>-</v>
      </c>
      <c r="J105" s="145">
        <v>0</v>
      </c>
      <c r="K105" s="145">
        <f t="shared" si="34"/>
        <v>0</v>
      </c>
      <c r="L105" s="146">
        <v>0</v>
      </c>
      <c r="M105" s="117">
        <v>0</v>
      </c>
      <c r="N105" s="81" t="str">
        <f t="shared" si="35"/>
        <v>-</v>
      </c>
      <c r="O105" s="356"/>
    </row>
    <row r="106" spans="1:15" s="118" customFormat="1" ht="11.1" customHeight="1" outlineLevel="1">
      <c r="A106" s="120"/>
      <c r="B106" s="112"/>
      <c r="C106" s="113"/>
      <c r="D106" s="114"/>
      <c r="E106" s="216"/>
      <c r="F106" s="119" t="s">
        <v>45</v>
      </c>
      <c r="G106" s="145">
        <v>0</v>
      </c>
      <c r="H106" s="145">
        <v>0</v>
      </c>
      <c r="I106" s="81" t="str">
        <f t="shared" si="33"/>
        <v>-</v>
      </c>
      <c r="J106" s="145">
        <v>0</v>
      </c>
      <c r="K106" s="145">
        <f t="shared" si="34"/>
        <v>0</v>
      </c>
      <c r="L106" s="146">
        <v>0</v>
      </c>
      <c r="M106" s="117">
        <v>0</v>
      </c>
      <c r="N106" s="81" t="str">
        <f t="shared" si="35"/>
        <v>-</v>
      </c>
      <c r="O106" s="356"/>
    </row>
    <row r="107" spans="1:15" s="118" customFormat="1" ht="11.1" customHeight="1" outlineLevel="1">
      <c r="A107" s="120"/>
      <c r="B107" s="112"/>
      <c r="C107" s="113"/>
      <c r="D107" s="114"/>
      <c r="E107" s="216"/>
      <c r="F107" s="119" t="s">
        <v>46</v>
      </c>
      <c r="G107" s="145">
        <v>0</v>
      </c>
      <c r="H107" s="145">
        <v>0</v>
      </c>
      <c r="I107" s="81" t="str">
        <f t="shared" si="33"/>
        <v>-</v>
      </c>
      <c r="J107" s="145">
        <v>0</v>
      </c>
      <c r="K107" s="145">
        <f t="shared" si="34"/>
        <v>0</v>
      </c>
      <c r="L107" s="146">
        <v>0</v>
      </c>
      <c r="M107" s="117">
        <v>0</v>
      </c>
      <c r="N107" s="81" t="str">
        <f t="shared" si="35"/>
        <v>-</v>
      </c>
      <c r="O107" s="356"/>
    </row>
    <row r="108" spans="1:15" s="118" customFormat="1" ht="10.5" customHeight="1" outlineLevel="1">
      <c r="A108" s="120"/>
      <c r="B108" s="112"/>
      <c r="C108" s="113"/>
      <c r="D108" s="114"/>
      <c r="E108" s="114"/>
      <c r="F108" s="119"/>
      <c r="G108" s="145"/>
      <c r="H108" s="145"/>
      <c r="I108" s="81"/>
      <c r="J108" s="145"/>
      <c r="K108" s="145"/>
      <c r="L108" s="146"/>
      <c r="M108" s="117"/>
      <c r="N108" s="81"/>
      <c r="O108" s="154"/>
    </row>
    <row r="109" spans="1:15" s="118" customFormat="1" ht="11.1" customHeight="1" outlineLevel="1">
      <c r="A109" s="120"/>
      <c r="B109" s="112"/>
      <c r="C109" s="113"/>
      <c r="D109" s="114"/>
      <c r="E109" s="388" t="s">
        <v>56</v>
      </c>
      <c r="F109" s="115" t="s">
        <v>15</v>
      </c>
      <c r="G109" s="145">
        <v>0</v>
      </c>
      <c r="H109" s="145">
        <v>0</v>
      </c>
      <c r="I109" s="81" t="str">
        <f t="shared" ref="I109:I114" si="36">IF(G109&gt;0,H109/G109*100,"-")</f>
        <v>-</v>
      </c>
      <c r="J109" s="145">
        <v>0</v>
      </c>
      <c r="K109" s="145">
        <f t="shared" ref="K109:K114" si="37">L109-J109</f>
        <v>0</v>
      </c>
      <c r="L109" s="146">
        <v>0</v>
      </c>
      <c r="M109" s="117">
        <v>0</v>
      </c>
      <c r="N109" s="81" t="str">
        <f t="shared" ref="N109:N114" si="38">IF(L109&gt;0,M109/L109*100,"-")</f>
        <v>-</v>
      </c>
      <c r="O109" s="154"/>
    </row>
    <row r="110" spans="1:15" s="118" customFormat="1" ht="11.1" customHeight="1" outlineLevel="1">
      <c r="A110" s="120"/>
      <c r="B110" s="112"/>
      <c r="C110" s="113"/>
      <c r="D110" s="114"/>
      <c r="E110" s="388"/>
      <c r="F110" s="115" t="s">
        <v>7</v>
      </c>
      <c r="G110" s="145">
        <v>720719</v>
      </c>
      <c r="H110" s="145">
        <v>66166</v>
      </c>
      <c r="I110" s="81">
        <f t="shared" si="36"/>
        <v>9.1805544185736743</v>
      </c>
      <c r="J110" s="145">
        <v>697698</v>
      </c>
      <c r="K110" s="145">
        <f t="shared" si="37"/>
        <v>0</v>
      </c>
      <c r="L110" s="146">
        <v>697698</v>
      </c>
      <c r="M110" s="117">
        <v>43144.32</v>
      </c>
      <c r="N110" s="81">
        <f t="shared" si="38"/>
        <v>6.1838101872156725</v>
      </c>
      <c r="O110" s="154"/>
    </row>
    <row r="111" spans="1:15" s="118" customFormat="1" ht="11.1" customHeight="1" outlineLevel="1">
      <c r="A111" s="120"/>
      <c r="B111" s="112"/>
      <c r="C111" s="113"/>
      <c r="D111" s="114"/>
      <c r="E111" s="388"/>
      <c r="F111" s="115" t="s">
        <v>8</v>
      </c>
      <c r="G111" s="145">
        <v>0</v>
      </c>
      <c r="H111" s="145">
        <v>0</v>
      </c>
      <c r="I111" s="81" t="str">
        <f t="shared" si="36"/>
        <v>-</v>
      </c>
      <c r="J111" s="145">
        <v>0</v>
      </c>
      <c r="K111" s="145">
        <f t="shared" si="37"/>
        <v>0</v>
      </c>
      <c r="L111" s="146">
        <v>0</v>
      </c>
      <c r="M111" s="117">
        <v>0</v>
      </c>
      <c r="N111" s="81" t="str">
        <f t="shared" si="38"/>
        <v>-</v>
      </c>
      <c r="O111" s="154"/>
    </row>
    <row r="112" spans="1:15" s="118" customFormat="1" ht="11.1" customHeight="1" outlineLevel="1">
      <c r="A112" s="120"/>
      <c r="B112" s="112"/>
      <c r="C112" s="113"/>
      <c r="D112" s="114"/>
      <c r="E112" s="216"/>
      <c r="F112" s="115" t="s">
        <v>22</v>
      </c>
      <c r="G112" s="145">
        <v>127185</v>
      </c>
      <c r="H112" s="145">
        <v>11677</v>
      </c>
      <c r="I112" s="81">
        <f t="shared" si="36"/>
        <v>9.1811141250933677</v>
      </c>
      <c r="J112" s="145">
        <v>123123</v>
      </c>
      <c r="K112" s="145">
        <f t="shared" si="37"/>
        <v>0</v>
      </c>
      <c r="L112" s="146">
        <v>123123</v>
      </c>
      <c r="M112" s="117">
        <v>7613.66</v>
      </c>
      <c r="N112" s="81">
        <f t="shared" si="38"/>
        <v>6.1837836959788177</v>
      </c>
      <c r="O112" s="154"/>
    </row>
    <row r="113" spans="1:15" s="118" customFormat="1" ht="11.1" customHeight="1" outlineLevel="1">
      <c r="A113" s="120"/>
      <c r="B113" s="112"/>
      <c r="C113" s="113"/>
      <c r="D113" s="114"/>
      <c r="E113" s="216"/>
      <c r="F113" s="119" t="s">
        <v>45</v>
      </c>
      <c r="G113" s="145">
        <v>0</v>
      </c>
      <c r="H113" s="145">
        <v>0</v>
      </c>
      <c r="I113" s="81" t="str">
        <f t="shared" si="36"/>
        <v>-</v>
      </c>
      <c r="J113" s="145">
        <v>0</v>
      </c>
      <c r="K113" s="145">
        <f t="shared" si="37"/>
        <v>0</v>
      </c>
      <c r="L113" s="146">
        <v>0</v>
      </c>
      <c r="M113" s="117">
        <v>0</v>
      </c>
      <c r="N113" s="81" t="str">
        <f t="shared" si="38"/>
        <v>-</v>
      </c>
      <c r="O113" s="154"/>
    </row>
    <row r="114" spans="1:15" s="118" customFormat="1" ht="11.1" customHeight="1" outlineLevel="1">
      <c r="A114" s="120"/>
      <c r="B114" s="112"/>
      <c r="C114" s="113"/>
      <c r="D114" s="114"/>
      <c r="E114" s="216"/>
      <c r="F114" s="119" t="s">
        <v>46</v>
      </c>
      <c r="G114" s="145">
        <v>0</v>
      </c>
      <c r="H114" s="145">
        <v>0</v>
      </c>
      <c r="I114" s="81" t="str">
        <f t="shared" si="36"/>
        <v>-</v>
      </c>
      <c r="J114" s="145">
        <v>0</v>
      </c>
      <c r="K114" s="145">
        <f t="shared" si="37"/>
        <v>0</v>
      </c>
      <c r="L114" s="146">
        <v>0</v>
      </c>
      <c r="M114" s="117">
        <v>0</v>
      </c>
      <c r="N114" s="81" t="str">
        <f t="shared" si="38"/>
        <v>-</v>
      </c>
      <c r="O114" s="154"/>
    </row>
    <row r="115" spans="1:15" s="95" customFormat="1" ht="3.95" customHeight="1" outlineLevel="1">
      <c r="A115" s="121"/>
      <c r="B115" s="85"/>
      <c r="C115" s="86"/>
      <c r="D115" s="84"/>
      <c r="E115" s="84"/>
      <c r="F115" s="85"/>
      <c r="G115" s="143"/>
      <c r="H115" s="143"/>
      <c r="I115" s="88"/>
      <c r="J115" s="143"/>
      <c r="K115" s="143"/>
      <c r="L115" s="144"/>
      <c r="M115" s="87"/>
      <c r="N115" s="88"/>
      <c r="O115" s="222"/>
    </row>
    <row r="116" spans="1:15" s="95" customFormat="1" ht="3.95" customHeight="1" outlineLevel="1">
      <c r="A116" s="157"/>
      <c r="B116" s="72"/>
      <c r="C116" s="73"/>
      <c r="D116" s="71"/>
      <c r="E116" s="71"/>
      <c r="F116" s="72"/>
      <c r="G116" s="138"/>
      <c r="H116" s="138"/>
      <c r="I116" s="75"/>
      <c r="J116" s="138"/>
      <c r="K116" s="138"/>
      <c r="L116" s="139"/>
      <c r="M116" s="74"/>
      <c r="N116" s="75"/>
      <c r="O116" s="208"/>
    </row>
    <row r="117" spans="1:15" s="95" customFormat="1" ht="11.1" customHeight="1" outlineLevel="1">
      <c r="A117" s="370" t="s">
        <v>51</v>
      </c>
      <c r="B117" s="76" t="s">
        <v>9</v>
      </c>
      <c r="C117" s="77" t="s">
        <v>57</v>
      </c>
      <c r="D117" s="369" t="s">
        <v>61</v>
      </c>
      <c r="E117" s="369"/>
      <c r="F117" s="78" t="s">
        <v>28</v>
      </c>
      <c r="G117" s="140">
        <f>SUM(G118:G123)</f>
        <v>8853669</v>
      </c>
      <c r="H117" s="140">
        <f>SUM(H118:H123)</f>
        <v>8628595</v>
      </c>
      <c r="I117" s="39">
        <f t="shared" ref="I117:I123" si="39">IF(G117&gt;0,H117/G117*100,"-")</f>
        <v>97.457844877643382</v>
      </c>
      <c r="J117" s="140">
        <f>SUM(J118:J123)</f>
        <v>1457699</v>
      </c>
      <c r="K117" s="140">
        <f>SUM(K118:K123)</f>
        <v>1492254</v>
      </c>
      <c r="L117" s="140">
        <f>SUM(L118:L123)</f>
        <v>2949953</v>
      </c>
      <c r="M117" s="38">
        <f>SUM(M118:M123)</f>
        <v>2768648.01</v>
      </c>
      <c r="N117" s="39">
        <f t="shared" ref="N117:N123" si="40">IF(L117&gt;0,M117/L117*100,"-")</f>
        <v>93.85397021579665</v>
      </c>
      <c r="O117" s="366" t="s">
        <v>295</v>
      </c>
    </row>
    <row r="118" spans="1:15" s="95" customFormat="1" ht="11.1" customHeight="1" outlineLevel="1">
      <c r="A118" s="370"/>
      <c r="B118" s="76" t="s">
        <v>10</v>
      </c>
      <c r="C118" s="77" t="s">
        <v>69</v>
      </c>
      <c r="D118" s="369"/>
      <c r="E118" s="369"/>
      <c r="F118" s="79" t="s">
        <v>15</v>
      </c>
      <c r="G118" s="141">
        <f t="shared" ref="G118:H123" si="41">G126+G133+G141+G148+G155</f>
        <v>868026</v>
      </c>
      <c r="H118" s="141">
        <f t="shared" si="41"/>
        <v>856866</v>
      </c>
      <c r="I118" s="81">
        <f t="shared" si="39"/>
        <v>98.714324225311216</v>
      </c>
      <c r="J118" s="141">
        <f t="shared" ref="J118:M123" si="42">J126+J133+J141+J148+J155</f>
        <v>257699</v>
      </c>
      <c r="K118" s="141">
        <f t="shared" si="42"/>
        <v>49736</v>
      </c>
      <c r="L118" s="141">
        <f t="shared" si="42"/>
        <v>307435</v>
      </c>
      <c r="M118" s="80">
        <f t="shared" si="42"/>
        <v>296273.37</v>
      </c>
      <c r="N118" s="81">
        <f t="shared" si="40"/>
        <v>96.369434189340836</v>
      </c>
      <c r="O118" s="366"/>
    </row>
    <row r="119" spans="1:15" s="95" customFormat="1" ht="11.1" customHeight="1" outlineLevel="1">
      <c r="A119" s="370"/>
      <c r="B119" s="76" t="s">
        <v>11</v>
      </c>
      <c r="C119" s="82" t="s">
        <v>75</v>
      </c>
      <c r="D119" s="369"/>
      <c r="E119" s="369"/>
      <c r="F119" s="79" t="s">
        <v>7</v>
      </c>
      <c r="G119" s="141">
        <f t="shared" si="41"/>
        <v>7453416</v>
      </c>
      <c r="H119" s="141">
        <f t="shared" si="41"/>
        <v>7264462</v>
      </c>
      <c r="I119" s="81">
        <f t="shared" si="39"/>
        <v>97.464867115964012</v>
      </c>
      <c r="J119" s="141">
        <f t="shared" si="42"/>
        <v>1139665</v>
      </c>
      <c r="K119" s="141">
        <f t="shared" si="42"/>
        <v>1369989</v>
      </c>
      <c r="L119" s="141">
        <f t="shared" si="42"/>
        <v>2509654</v>
      </c>
      <c r="M119" s="80">
        <f t="shared" si="42"/>
        <v>2348065.2999999998</v>
      </c>
      <c r="N119" s="81">
        <f t="shared" si="40"/>
        <v>93.561315623587944</v>
      </c>
      <c r="O119" s="366"/>
    </row>
    <row r="120" spans="1:15" s="95" customFormat="1" ht="11.1" customHeight="1" outlineLevel="1">
      <c r="A120" s="120"/>
      <c r="B120" s="76" t="s">
        <v>12</v>
      </c>
      <c r="C120" s="82" t="s">
        <v>353</v>
      </c>
      <c r="D120" s="111"/>
      <c r="E120" s="369"/>
      <c r="F120" s="79" t="s">
        <v>8</v>
      </c>
      <c r="G120" s="141">
        <f t="shared" si="41"/>
        <v>0</v>
      </c>
      <c r="H120" s="141">
        <f t="shared" si="41"/>
        <v>0</v>
      </c>
      <c r="I120" s="81" t="str">
        <f t="shared" si="39"/>
        <v>-</v>
      </c>
      <c r="J120" s="141">
        <f t="shared" si="42"/>
        <v>0</v>
      </c>
      <c r="K120" s="141">
        <f t="shared" si="42"/>
        <v>0</v>
      </c>
      <c r="L120" s="141">
        <f t="shared" si="42"/>
        <v>0</v>
      </c>
      <c r="M120" s="80">
        <f t="shared" si="42"/>
        <v>0</v>
      </c>
      <c r="N120" s="81" t="str">
        <f t="shared" si="40"/>
        <v>-</v>
      </c>
      <c r="O120" s="366"/>
    </row>
    <row r="121" spans="1:15" s="95" customFormat="1" ht="11.1" customHeight="1" outlineLevel="1">
      <c r="A121" s="120"/>
      <c r="B121" s="76" t="s">
        <v>23</v>
      </c>
      <c r="C121" s="82" t="s">
        <v>76</v>
      </c>
      <c r="D121" s="111"/>
      <c r="E121" s="369"/>
      <c r="F121" s="79" t="s">
        <v>22</v>
      </c>
      <c r="G121" s="141">
        <f t="shared" si="41"/>
        <v>532227</v>
      </c>
      <c r="H121" s="141">
        <f t="shared" si="41"/>
        <v>507267</v>
      </c>
      <c r="I121" s="81">
        <f t="shared" si="39"/>
        <v>95.310271744950938</v>
      </c>
      <c r="J121" s="141">
        <f t="shared" si="42"/>
        <v>60335</v>
      </c>
      <c r="K121" s="141">
        <f t="shared" si="42"/>
        <v>72529</v>
      </c>
      <c r="L121" s="141">
        <f t="shared" si="42"/>
        <v>132864</v>
      </c>
      <c r="M121" s="80">
        <f t="shared" si="42"/>
        <v>124309.34</v>
      </c>
      <c r="N121" s="81">
        <f t="shared" si="40"/>
        <v>93.561340920038532</v>
      </c>
      <c r="O121" s="366"/>
    </row>
    <row r="122" spans="1:15" s="95" customFormat="1" ht="11.1" customHeight="1" outlineLevel="1">
      <c r="A122" s="120"/>
      <c r="B122" s="76"/>
      <c r="C122" s="82" t="s">
        <v>77</v>
      </c>
      <c r="D122" s="111"/>
      <c r="E122" s="90"/>
      <c r="F122" s="107" t="s">
        <v>45</v>
      </c>
      <c r="G122" s="141">
        <f t="shared" si="41"/>
        <v>0</v>
      </c>
      <c r="H122" s="141">
        <f t="shared" si="41"/>
        <v>0</v>
      </c>
      <c r="I122" s="81" t="str">
        <f t="shared" si="39"/>
        <v>-</v>
      </c>
      <c r="J122" s="141">
        <f t="shared" si="42"/>
        <v>0</v>
      </c>
      <c r="K122" s="141">
        <f t="shared" si="42"/>
        <v>0</v>
      </c>
      <c r="L122" s="141">
        <f t="shared" si="42"/>
        <v>0</v>
      </c>
      <c r="M122" s="80">
        <f t="shared" si="42"/>
        <v>0</v>
      </c>
      <c r="N122" s="81" t="str">
        <f t="shared" si="40"/>
        <v>-</v>
      </c>
      <c r="O122" s="366"/>
    </row>
    <row r="123" spans="1:15" s="95" customFormat="1" ht="11.1" customHeight="1" outlineLevel="1">
      <c r="A123" s="120"/>
      <c r="B123" s="76"/>
      <c r="C123" s="82" t="s">
        <v>78</v>
      </c>
      <c r="D123" s="111"/>
      <c r="E123" s="90"/>
      <c r="F123" s="107" t="s">
        <v>46</v>
      </c>
      <c r="G123" s="141">
        <f t="shared" si="41"/>
        <v>0</v>
      </c>
      <c r="H123" s="141">
        <f t="shared" si="41"/>
        <v>0</v>
      </c>
      <c r="I123" s="81" t="str">
        <f t="shared" si="39"/>
        <v>-</v>
      </c>
      <c r="J123" s="141">
        <f t="shared" si="42"/>
        <v>0</v>
      </c>
      <c r="K123" s="141">
        <f t="shared" si="42"/>
        <v>0</v>
      </c>
      <c r="L123" s="141">
        <f t="shared" si="42"/>
        <v>0</v>
      </c>
      <c r="M123" s="80">
        <f t="shared" si="42"/>
        <v>0</v>
      </c>
      <c r="N123" s="81" t="str">
        <f t="shared" si="40"/>
        <v>-</v>
      </c>
      <c r="O123" s="366"/>
    </row>
    <row r="124" spans="1:15" s="95" customFormat="1" ht="11.1" customHeight="1" outlineLevel="1">
      <c r="A124" s="120"/>
      <c r="B124" s="76"/>
      <c r="C124" s="82" t="s">
        <v>79</v>
      </c>
      <c r="D124" s="111"/>
      <c r="E124" s="90"/>
      <c r="F124" s="107"/>
      <c r="G124" s="142"/>
      <c r="H124" s="142"/>
      <c r="I124" s="81"/>
      <c r="J124" s="142"/>
      <c r="K124" s="142"/>
      <c r="L124" s="141"/>
      <c r="M124" s="89"/>
      <c r="N124" s="81"/>
      <c r="O124" s="356"/>
    </row>
    <row r="125" spans="1:15" s="95" customFormat="1" ht="10.5" customHeight="1" outlineLevel="1">
      <c r="A125" s="120"/>
      <c r="B125" s="76"/>
      <c r="C125" s="82"/>
      <c r="D125" s="90"/>
      <c r="E125" s="90"/>
      <c r="F125" s="107"/>
      <c r="G125" s="142"/>
      <c r="H125" s="142"/>
      <c r="I125" s="81"/>
      <c r="J125" s="142"/>
      <c r="K125" s="142"/>
      <c r="L125" s="141"/>
      <c r="M125" s="89"/>
      <c r="N125" s="81"/>
      <c r="O125" s="356"/>
    </row>
    <row r="126" spans="1:15" s="118" customFormat="1" ht="11.1" customHeight="1" outlineLevel="1">
      <c r="A126" s="120"/>
      <c r="B126" s="112"/>
      <c r="C126" s="113"/>
      <c r="D126" s="114"/>
      <c r="E126" s="388" t="s">
        <v>58</v>
      </c>
      <c r="F126" s="115" t="s">
        <v>15</v>
      </c>
      <c r="G126" s="145">
        <v>78715</v>
      </c>
      <c r="H126" s="145">
        <v>78715</v>
      </c>
      <c r="I126" s="81">
        <f t="shared" ref="I126:I131" si="43">IF(G126&gt;0,H126/G126*100,"-")</f>
        <v>100</v>
      </c>
      <c r="J126" s="145">
        <v>18844</v>
      </c>
      <c r="K126" s="145">
        <f t="shared" ref="K126:K131" si="44">L126-J126</f>
        <v>-3609</v>
      </c>
      <c r="L126" s="146">
        <v>15235</v>
      </c>
      <c r="M126" s="117">
        <v>15234.75</v>
      </c>
      <c r="N126" s="81">
        <f t="shared" ref="N126:N131" si="45">IF(L126&gt;0,M126/L126*100,"-")</f>
        <v>99.998359041680345</v>
      </c>
      <c r="O126" s="356"/>
    </row>
    <row r="127" spans="1:15" s="118" customFormat="1" ht="11.1" customHeight="1" outlineLevel="1">
      <c r="A127" s="120"/>
      <c r="B127" s="112"/>
      <c r="C127" s="113"/>
      <c r="D127" s="114"/>
      <c r="E127" s="388"/>
      <c r="F127" s="115" t="s">
        <v>7</v>
      </c>
      <c r="G127" s="145">
        <v>0</v>
      </c>
      <c r="H127" s="145">
        <v>0</v>
      </c>
      <c r="I127" s="81" t="str">
        <f t="shared" si="43"/>
        <v>-</v>
      </c>
      <c r="J127" s="145">
        <v>0</v>
      </c>
      <c r="K127" s="145">
        <f t="shared" si="44"/>
        <v>0</v>
      </c>
      <c r="L127" s="146">
        <v>0</v>
      </c>
      <c r="M127" s="117">
        <v>0</v>
      </c>
      <c r="N127" s="81" t="str">
        <f t="shared" si="45"/>
        <v>-</v>
      </c>
      <c r="O127" s="356"/>
    </row>
    <row r="128" spans="1:15" s="118" customFormat="1" ht="11.1" customHeight="1" outlineLevel="1">
      <c r="A128" s="120"/>
      <c r="B128" s="112"/>
      <c r="C128" s="113"/>
      <c r="D128" s="114"/>
      <c r="E128" s="388"/>
      <c r="F128" s="115" t="s">
        <v>8</v>
      </c>
      <c r="G128" s="145">
        <v>0</v>
      </c>
      <c r="H128" s="145">
        <v>0</v>
      </c>
      <c r="I128" s="81" t="str">
        <f t="shared" si="43"/>
        <v>-</v>
      </c>
      <c r="J128" s="145">
        <v>0</v>
      </c>
      <c r="K128" s="145">
        <f t="shared" si="44"/>
        <v>0</v>
      </c>
      <c r="L128" s="146">
        <v>0</v>
      </c>
      <c r="M128" s="117">
        <v>0</v>
      </c>
      <c r="N128" s="81" t="str">
        <f t="shared" si="45"/>
        <v>-</v>
      </c>
      <c r="O128" s="356"/>
    </row>
    <row r="129" spans="1:15" s="118" customFormat="1" ht="11.1" customHeight="1" outlineLevel="1">
      <c r="A129" s="120"/>
      <c r="B129" s="112"/>
      <c r="C129" s="113"/>
      <c r="D129" s="114"/>
      <c r="E129" s="216"/>
      <c r="F129" s="115" t="s">
        <v>22</v>
      </c>
      <c r="G129" s="145">
        <v>0</v>
      </c>
      <c r="H129" s="145">
        <v>0</v>
      </c>
      <c r="I129" s="81" t="str">
        <f t="shared" si="43"/>
        <v>-</v>
      </c>
      <c r="J129" s="145">
        <v>0</v>
      </c>
      <c r="K129" s="145">
        <f t="shared" si="44"/>
        <v>0</v>
      </c>
      <c r="L129" s="146">
        <v>0</v>
      </c>
      <c r="M129" s="117">
        <v>0</v>
      </c>
      <c r="N129" s="81" t="str">
        <f t="shared" si="45"/>
        <v>-</v>
      </c>
      <c r="O129" s="356"/>
    </row>
    <row r="130" spans="1:15" s="118" customFormat="1" ht="11.1" customHeight="1" outlineLevel="1">
      <c r="A130" s="120"/>
      <c r="B130" s="112"/>
      <c r="C130" s="113"/>
      <c r="D130" s="114"/>
      <c r="E130" s="216"/>
      <c r="F130" s="119" t="s">
        <v>45</v>
      </c>
      <c r="G130" s="145">
        <v>0</v>
      </c>
      <c r="H130" s="145">
        <v>0</v>
      </c>
      <c r="I130" s="81" t="str">
        <f t="shared" si="43"/>
        <v>-</v>
      </c>
      <c r="J130" s="145">
        <v>0</v>
      </c>
      <c r="K130" s="145">
        <f t="shared" si="44"/>
        <v>0</v>
      </c>
      <c r="L130" s="146">
        <v>0</v>
      </c>
      <c r="M130" s="117">
        <v>0</v>
      </c>
      <c r="N130" s="81" t="str">
        <f t="shared" si="45"/>
        <v>-</v>
      </c>
      <c r="O130" s="356"/>
    </row>
    <row r="131" spans="1:15" s="118" customFormat="1" ht="11.1" customHeight="1" outlineLevel="1">
      <c r="A131" s="120"/>
      <c r="B131" s="112"/>
      <c r="C131" s="113"/>
      <c r="D131" s="352"/>
      <c r="E131" s="216"/>
      <c r="F131" s="119" t="s">
        <v>46</v>
      </c>
      <c r="G131" s="145">
        <v>0</v>
      </c>
      <c r="H131" s="145">
        <v>0</v>
      </c>
      <c r="I131" s="81" t="str">
        <f t="shared" si="43"/>
        <v>-</v>
      </c>
      <c r="J131" s="145">
        <v>0</v>
      </c>
      <c r="K131" s="145">
        <f t="shared" si="44"/>
        <v>0</v>
      </c>
      <c r="L131" s="146">
        <v>0</v>
      </c>
      <c r="M131" s="117">
        <v>0</v>
      </c>
      <c r="N131" s="81" t="str">
        <f t="shared" si="45"/>
        <v>-</v>
      </c>
      <c r="O131" s="356"/>
    </row>
    <row r="132" spans="1:15" s="118" customFormat="1" ht="10.5" customHeight="1" outlineLevel="1">
      <c r="A132" s="120"/>
      <c r="B132" s="112"/>
      <c r="C132" s="113"/>
      <c r="D132" s="352"/>
      <c r="E132" s="352"/>
      <c r="F132" s="119"/>
      <c r="G132" s="145"/>
      <c r="H132" s="145"/>
      <c r="I132" s="364"/>
      <c r="J132" s="145"/>
      <c r="K132" s="145"/>
      <c r="L132" s="146"/>
      <c r="M132" s="117"/>
      <c r="N132" s="364"/>
      <c r="O132" s="356"/>
    </row>
    <row r="133" spans="1:15" s="118" customFormat="1" ht="11.1" customHeight="1" outlineLevel="1">
      <c r="A133" s="120"/>
      <c r="B133" s="112"/>
      <c r="C133" s="113"/>
      <c r="D133" s="114"/>
      <c r="E133" s="388" t="s">
        <v>59</v>
      </c>
      <c r="F133" s="115" t="s">
        <v>15</v>
      </c>
      <c r="G133" s="145">
        <v>307360</v>
      </c>
      <c r="H133" s="145">
        <v>306701</v>
      </c>
      <c r="I133" s="81">
        <f t="shared" ref="I133:I138" si="46">IF(G133&gt;0,H133/G133*100,"-")</f>
        <v>99.785593440916188</v>
      </c>
      <c r="J133" s="145">
        <v>38336</v>
      </c>
      <c r="K133" s="145">
        <f t="shared" ref="K133:K138" si="47">L133-J133</f>
        <v>23847</v>
      </c>
      <c r="L133" s="146">
        <v>62183</v>
      </c>
      <c r="M133" s="117">
        <v>61523.34</v>
      </c>
      <c r="N133" s="81">
        <f t="shared" ref="N133:N138" si="48">IF(L133&gt;0,M133/L133*100,"-")</f>
        <v>98.939163436952214</v>
      </c>
      <c r="O133" s="356"/>
    </row>
    <row r="134" spans="1:15" s="118" customFormat="1" ht="11.1" customHeight="1" outlineLevel="1">
      <c r="A134" s="120"/>
      <c r="B134" s="112"/>
      <c r="C134" s="113"/>
      <c r="D134" s="114"/>
      <c r="E134" s="388"/>
      <c r="F134" s="115" t="s">
        <v>7</v>
      </c>
      <c r="G134" s="145">
        <v>0</v>
      </c>
      <c r="H134" s="145">
        <v>0</v>
      </c>
      <c r="I134" s="81" t="str">
        <f t="shared" si="46"/>
        <v>-</v>
      </c>
      <c r="J134" s="145">
        <v>0</v>
      </c>
      <c r="K134" s="145">
        <f t="shared" si="47"/>
        <v>0</v>
      </c>
      <c r="L134" s="146">
        <v>0</v>
      </c>
      <c r="M134" s="117">
        <v>0</v>
      </c>
      <c r="N134" s="81" t="str">
        <f t="shared" si="48"/>
        <v>-</v>
      </c>
      <c r="O134" s="356"/>
    </row>
    <row r="135" spans="1:15" s="118" customFormat="1" ht="11.1" customHeight="1" outlineLevel="1">
      <c r="A135" s="120"/>
      <c r="B135" s="112"/>
      <c r="C135" s="113"/>
      <c r="D135" s="114"/>
      <c r="E135" s="388"/>
      <c r="F135" s="115" t="s">
        <v>8</v>
      </c>
      <c r="G135" s="145">
        <v>0</v>
      </c>
      <c r="H135" s="145">
        <v>0</v>
      </c>
      <c r="I135" s="81" t="str">
        <f t="shared" si="46"/>
        <v>-</v>
      </c>
      <c r="J135" s="145">
        <v>0</v>
      </c>
      <c r="K135" s="145">
        <f t="shared" si="47"/>
        <v>0</v>
      </c>
      <c r="L135" s="146">
        <v>0</v>
      </c>
      <c r="M135" s="117">
        <v>0</v>
      </c>
      <c r="N135" s="81" t="str">
        <f t="shared" si="48"/>
        <v>-</v>
      </c>
      <c r="O135" s="356"/>
    </row>
    <row r="136" spans="1:15" s="118" customFormat="1" ht="11.1" customHeight="1" outlineLevel="1">
      <c r="A136" s="120"/>
      <c r="B136" s="112"/>
      <c r="C136" s="113"/>
      <c r="D136" s="114"/>
      <c r="E136" s="216"/>
      <c r="F136" s="115" t="s">
        <v>22</v>
      </c>
      <c r="G136" s="145">
        <v>0</v>
      </c>
      <c r="H136" s="145">
        <v>0</v>
      </c>
      <c r="I136" s="81" t="str">
        <f t="shared" si="46"/>
        <v>-</v>
      </c>
      <c r="J136" s="145">
        <v>0</v>
      </c>
      <c r="K136" s="145">
        <f t="shared" si="47"/>
        <v>0</v>
      </c>
      <c r="L136" s="146">
        <v>0</v>
      </c>
      <c r="M136" s="117">
        <v>0</v>
      </c>
      <c r="N136" s="81" t="str">
        <f t="shared" si="48"/>
        <v>-</v>
      </c>
      <c r="O136" s="356"/>
    </row>
    <row r="137" spans="1:15" s="118" customFormat="1" ht="11.1" customHeight="1" outlineLevel="1">
      <c r="A137" s="120"/>
      <c r="B137" s="112"/>
      <c r="C137" s="113"/>
      <c r="D137" s="114"/>
      <c r="E137" s="216"/>
      <c r="F137" s="119" t="s">
        <v>45</v>
      </c>
      <c r="G137" s="145">
        <v>0</v>
      </c>
      <c r="H137" s="145">
        <v>0</v>
      </c>
      <c r="I137" s="81" t="str">
        <f t="shared" si="46"/>
        <v>-</v>
      </c>
      <c r="J137" s="145">
        <v>0</v>
      </c>
      <c r="K137" s="145">
        <f t="shared" si="47"/>
        <v>0</v>
      </c>
      <c r="L137" s="146">
        <v>0</v>
      </c>
      <c r="M137" s="117">
        <v>0</v>
      </c>
      <c r="N137" s="81" t="str">
        <f t="shared" si="48"/>
        <v>-</v>
      </c>
      <c r="O137" s="356"/>
    </row>
    <row r="138" spans="1:15" s="118" customFormat="1" ht="11.1" customHeight="1" outlineLevel="1">
      <c r="A138" s="120"/>
      <c r="B138" s="112"/>
      <c r="C138" s="113"/>
      <c r="D138" s="114"/>
      <c r="E138" s="216"/>
      <c r="F138" s="119" t="s">
        <v>46</v>
      </c>
      <c r="G138" s="145">
        <v>0</v>
      </c>
      <c r="H138" s="145">
        <v>0</v>
      </c>
      <c r="I138" s="81" t="str">
        <f t="shared" si="46"/>
        <v>-</v>
      </c>
      <c r="J138" s="145">
        <v>0</v>
      </c>
      <c r="K138" s="145">
        <f t="shared" si="47"/>
        <v>0</v>
      </c>
      <c r="L138" s="146">
        <v>0</v>
      </c>
      <c r="M138" s="117">
        <v>0</v>
      </c>
      <c r="N138" s="81" t="str">
        <f t="shared" si="48"/>
        <v>-</v>
      </c>
      <c r="O138" s="356"/>
    </row>
    <row r="139" spans="1:15" s="118" customFormat="1" ht="3.95" customHeight="1" outlineLevel="1">
      <c r="A139" s="121"/>
      <c r="B139" s="122"/>
      <c r="C139" s="123"/>
      <c r="D139" s="124"/>
      <c r="E139" s="306"/>
      <c r="F139" s="125"/>
      <c r="G139" s="147"/>
      <c r="H139" s="147"/>
      <c r="I139" s="88"/>
      <c r="J139" s="147"/>
      <c r="K139" s="147"/>
      <c r="L139" s="148"/>
      <c r="M139" s="126"/>
      <c r="N139" s="88"/>
      <c r="O139" s="222"/>
    </row>
    <row r="140" spans="1:15" s="118" customFormat="1" ht="3.95" customHeight="1" outlineLevel="1">
      <c r="A140" s="120"/>
      <c r="B140" s="112"/>
      <c r="C140" s="113"/>
      <c r="D140" s="114"/>
      <c r="E140" s="114"/>
      <c r="F140" s="119"/>
      <c r="G140" s="145"/>
      <c r="H140" s="145"/>
      <c r="I140" s="81"/>
      <c r="J140" s="145"/>
      <c r="K140" s="145"/>
      <c r="L140" s="146"/>
      <c r="M140" s="117"/>
      <c r="N140" s="81"/>
      <c r="O140" s="356"/>
    </row>
    <row r="141" spans="1:15" s="118" customFormat="1" ht="11.1" customHeight="1" outlineLevel="1">
      <c r="A141" s="120"/>
      <c r="B141" s="112"/>
      <c r="C141" s="113"/>
      <c r="D141" s="114"/>
      <c r="E141" s="388" t="s">
        <v>60</v>
      </c>
      <c r="F141" s="115" t="s">
        <v>15</v>
      </c>
      <c r="G141" s="145">
        <v>27384</v>
      </c>
      <c r="H141" s="145">
        <v>27384</v>
      </c>
      <c r="I141" s="81">
        <f t="shared" ref="I141:I146" si="49">IF(G141&gt;0,H141/G141*100,"-")</f>
        <v>100</v>
      </c>
      <c r="J141" s="145">
        <v>0</v>
      </c>
      <c r="K141" s="145">
        <f t="shared" ref="K141:K146" si="50">L141-J141</f>
        <v>0</v>
      </c>
      <c r="L141" s="146">
        <v>0</v>
      </c>
      <c r="M141" s="117">
        <v>0</v>
      </c>
      <c r="N141" s="81" t="str">
        <f t="shared" ref="N141:N146" si="51">IF(L141&gt;0,M141/L141*100,"-")</f>
        <v>-</v>
      </c>
      <c r="O141" s="356"/>
    </row>
    <row r="142" spans="1:15" s="118" customFormat="1" ht="11.1" customHeight="1" outlineLevel="1">
      <c r="A142" s="120"/>
      <c r="B142" s="112"/>
      <c r="C142" s="113"/>
      <c r="D142" s="114"/>
      <c r="E142" s="388"/>
      <c r="F142" s="115" t="s">
        <v>7</v>
      </c>
      <c r="G142" s="145">
        <v>0</v>
      </c>
      <c r="H142" s="145">
        <v>0</v>
      </c>
      <c r="I142" s="81" t="str">
        <f t="shared" si="49"/>
        <v>-</v>
      </c>
      <c r="J142" s="145">
        <v>0</v>
      </c>
      <c r="K142" s="145">
        <f t="shared" si="50"/>
        <v>0</v>
      </c>
      <c r="L142" s="146">
        <v>0</v>
      </c>
      <c r="M142" s="117">
        <v>0</v>
      </c>
      <c r="N142" s="81" t="str">
        <f t="shared" si="51"/>
        <v>-</v>
      </c>
      <c r="O142" s="356"/>
    </row>
    <row r="143" spans="1:15" s="118" customFormat="1" ht="11.1" customHeight="1" outlineLevel="1">
      <c r="A143" s="120"/>
      <c r="B143" s="112"/>
      <c r="C143" s="113"/>
      <c r="D143" s="114"/>
      <c r="E143" s="388"/>
      <c r="F143" s="115" t="s">
        <v>8</v>
      </c>
      <c r="G143" s="145">
        <v>0</v>
      </c>
      <c r="H143" s="145">
        <v>0</v>
      </c>
      <c r="I143" s="81" t="str">
        <f t="shared" si="49"/>
        <v>-</v>
      </c>
      <c r="J143" s="145">
        <v>0</v>
      </c>
      <c r="K143" s="145">
        <f t="shared" si="50"/>
        <v>0</v>
      </c>
      <c r="L143" s="146">
        <v>0</v>
      </c>
      <c r="M143" s="117">
        <v>0</v>
      </c>
      <c r="N143" s="81" t="str">
        <f t="shared" si="51"/>
        <v>-</v>
      </c>
      <c r="O143" s="356"/>
    </row>
    <row r="144" spans="1:15" s="118" customFormat="1" ht="11.1" customHeight="1" outlineLevel="1">
      <c r="A144" s="120"/>
      <c r="B144" s="112"/>
      <c r="C144" s="113"/>
      <c r="D144" s="114"/>
      <c r="E144" s="216"/>
      <c r="F144" s="115" t="s">
        <v>22</v>
      </c>
      <c r="G144" s="145">
        <v>0</v>
      </c>
      <c r="H144" s="145">
        <v>0</v>
      </c>
      <c r="I144" s="81" t="str">
        <f t="shared" si="49"/>
        <v>-</v>
      </c>
      <c r="J144" s="145">
        <v>0</v>
      </c>
      <c r="K144" s="145">
        <f t="shared" si="50"/>
        <v>0</v>
      </c>
      <c r="L144" s="146">
        <v>0</v>
      </c>
      <c r="M144" s="117">
        <v>0</v>
      </c>
      <c r="N144" s="81" t="str">
        <f t="shared" si="51"/>
        <v>-</v>
      </c>
      <c r="O144" s="356"/>
    </row>
    <row r="145" spans="1:15" s="118" customFormat="1" ht="11.1" customHeight="1" outlineLevel="1">
      <c r="A145" s="120"/>
      <c r="B145" s="112"/>
      <c r="C145" s="113"/>
      <c r="D145" s="114"/>
      <c r="E145" s="216"/>
      <c r="F145" s="119" t="s">
        <v>45</v>
      </c>
      <c r="G145" s="145">
        <v>0</v>
      </c>
      <c r="H145" s="145">
        <v>0</v>
      </c>
      <c r="I145" s="81" t="str">
        <f t="shared" si="49"/>
        <v>-</v>
      </c>
      <c r="J145" s="145">
        <v>0</v>
      </c>
      <c r="K145" s="145">
        <f t="shared" si="50"/>
        <v>0</v>
      </c>
      <c r="L145" s="146">
        <v>0</v>
      </c>
      <c r="M145" s="117">
        <v>0</v>
      </c>
      <c r="N145" s="81" t="str">
        <f t="shared" si="51"/>
        <v>-</v>
      </c>
      <c r="O145" s="356"/>
    </row>
    <row r="146" spans="1:15" s="118" customFormat="1" ht="11.1" customHeight="1" outlineLevel="1">
      <c r="A146" s="120"/>
      <c r="B146" s="112"/>
      <c r="C146" s="113"/>
      <c r="D146" s="114"/>
      <c r="E146" s="216"/>
      <c r="F146" s="119" t="s">
        <v>46</v>
      </c>
      <c r="G146" s="145">
        <v>0</v>
      </c>
      <c r="H146" s="145">
        <v>0</v>
      </c>
      <c r="I146" s="81" t="str">
        <f t="shared" si="49"/>
        <v>-</v>
      </c>
      <c r="J146" s="145">
        <v>0</v>
      </c>
      <c r="K146" s="145">
        <f t="shared" si="50"/>
        <v>0</v>
      </c>
      <c r="L146" s="146">
        <v>0</v>
      </c>
      <c r="M146" s="117">
        <v>0</v>
      </c>
      <c r="N146" s="81" t="str">
        <f t="shared" si="51"/>
        <v>-</v>
      </c>
      <c r="O146" s="356"/>
    </row>
    <row r="147" spans="1:15" s="118" customFormat="1" ht="10.5" customHeight="1" outlineLevel="1">
      <c r="A147" s="120"/>
      <c r="B147" s="112"/>
      <c r="C147" s="113"/>
      <c r="D147" s="114"/>
      <c r="E147" s="114"/>
      <c r="F147" s="119"/>
      <c r="G147" s="145"/>
      <c r="H147" s="145"/>
      <c r="I147" s="81"/>
      <c r="J147" s="145"/>
      <c r="K147" s="145"/>
      <c r="L147" s="146"/>
      <c r="M147" s="117"/>
      <c r="N147" s="81"/>
      <c r="O147" s="356"/>
    </row>
    <row r="148" spans="1:15" s="118" customFormat="1" ht="11.1" customHeight="1" outlineLevel="1">
      <c r="A148" s="120"/>
      <c r="B148" s="112"/>
      <c r="C148" s="113"/>
      <c r="D148" s="114"/>
      <c r="E148" s="388" t="s">
        <v>55</v>
      </c>
      <c r="F148" s="115" t="s">
        <v>15</v>
      </c>
      <c r="G148" s="145">
        <v>454567</v>
      </c>
      <c r="H148" s="145">
        <v>444066</v>
      </c>
      <c r="I148" s="81">
        <f t="shared" ref="I148:I153" si="52">IF(G148&gt;0,H148/G148*100,"-")</f>
        <v>97.689889499237736</v>
      </c>
      <c r="J148" s="145">
        <v>200519</v>
      </c>
      <c r="K148" s="145">
        <f t="shared" ref="K148:K153" si="53">L148-J148</f>
        <v>29498</v>
      </c>
      <c r="L148" s="146">
        <v>230017</v>
      </c>
      <c r="M148" s="117">
        <v>219515.28</v>
      </c>
      <c r="N148" s="81">
        <f t="shared" ref="N148:N153" si="54">IF(L148&gt;0,M148/L148*100,"-")</f>
        <v>95.43437224205168</v>
      </c>
      <c r="O148" s="356"/>
    </row>
    <row r="149" spans="1:15" s="118" customFormat="1" ht="11.1" customHeight="1" outlineLevel="1">
      <c r="A149" s="120"/>
      <c r="B149" s="112"/>
      <c r="C149" s="113"/>
      <c r="D149" s="114"/>
      <c r="E149" s="388"/>
      <c r="F149" s="115" t="s">
        <v>7</v>
      </c>
      <c r="G149" s="145">
        <v>0</v>
      </c>
      <c r="H149" s="145">
        <v>0</v>
      </c>
      <c r="I149" s="81" t="str">
        <f t="shared" si="52"/>
        <v>-</v>
      </c>
      <c r="J149" s="145">
        <v>0</v>
      </c>
      <c r="K149" s="145">
        <f t="shared" si="53"/>
        <v>0</v>
      </c>
      <c r="L149" s="146">
        <v>0</v>
      </c>
      <c r="M149" s="117">
        <v>0</v>
      </c>
      <c r="N149" s="81" t="str">
        <f t="shared" si="54"/>
        <v>-</v>
      </c>
      <c r="O149" s="356"/>
    </row>
    <row r="150" spans="1:15" s="118" customFormat="1" ht="11.1" customHeight="1" outlineLevel="1">
      <c r="A150" s="120"/>
      <c r="B150" s="112"/>
      <c r="C150" s="113"/>
      <c r="D150" s="114"/>
      <c r="E150" s="388"/>
      <c r="F150" s="115" t="s">
        <v>8</v>
      </c>
      <c r="G150" s="145">
        <v>0</v>
      </c>
      <c r="H150" s="145">
        <v>0</v>
      </c>
      <c r="I150" s="81" t="str">
        <f t="shared" si="52"/>
        <v>-</v>
      </c>
      <c r="J150" s="145">
        <v>0</v>
      </c>
      <c r="K150" s="145">
        <f t="shared" si="53"/>
        <v>0</v>
      </c>
      <c r="L150" s="146">
        <v>0</v>
      </c>
      <c r="M150" s="117">
        <v>0</v>
      </c>
      <c r="N150" s="81" t="str">
        <f t="shared" si="54"/>
        <v>-</v>
      </c>
      <c r="O150" s="356"/>
    </row>
    <row r="151" spans="1:15" s="118" customFormat="1" ht="11.1" customHeight="1" outlineLevel="1">
      <c r="A151" s="120"/>
      <c r="B151" s="112"/>
      <c r="C151" s="113"/>
      <c r="D151" s="114"/>
      <c r="E151" s="216"/>
      <c r="F151" s="115" t="s">
        <v>22</v>
      </c>
      <c r="G151" s="145">
        <v>0</v>
      </c>
      <c r="H151" s="145">
        <v>0</v>
      </c>
      <c r="I151" s="81" t="str">
        <f t="shared" si="52"/>
        <v>-</v>
      </c>
      <c r="J151" s="145">
        <v>0</v>
      </c>
      <c r="K151" s="145">
        <f t="shared" si="53"/>
        <v>0</v>
      </c>
      <c r="L151" s="146">
        <v>0</v>
      </c>
      <c r="M151" s="117">
        <v>0</v>
      </c>
      <c r="N151" s="81" t="str">
        <f t="shared" si="54"/>
        <v>-</v>
      </c>
      <c r="O151" s="356"/>
    </row>
    <row r="152" spans="1:15" s="118" customFormat="1" ht="11.1" customHeight="1" outlineLevel="1">
      <c r="A152" s="120"/>
      <c r="B152" s="112"/>
      <c r="C152" s="113"/>
      <c r="D152" s="114"/>
      <c r="E152" s="216"/>
      <c r="F152" s="119" t="s">
        <v>45</v>
      </c>
      <c r="G152" s="145">
        <v>0</v>
      </c>
      <c r="H152" s="145">
        <v>0</v>
      </c>
      <c r="I152" s="81" t="str">
        <f t="shared" si="52"/>
        <v>-</v>
      </c>
      <c r="J152" s="145">
        <v>0</v>
      </c>
      <c r="K152" s="145">
        <f t="shared" si="53"/>
        <v>0</v>
      </c>
      <c r="L152" s="146">
        <v>0</v>
      </c>
      <c r="M152" s="117">
        <v>0</v>
      </c>
      <c r="N152" s="81" t="str">
        <f t="shared" si="54"/>
        <v>-</v>
      </c>
      <c r="O152" s="356"/>
    </row>
    <row r="153" spans="1:15" s="118" customFormat="1" ht="11.1" customHeight="1" outlineLevel="1">
      <c r="A153" s="120"/>
      <c r="B153" s="112"/>
      <c r="C153" s="113"/>
      <c r="D153" s="114"/>
      <c r="E153" s="216"/>
      <c r="F153" s="119" t="s">
        <v>46</v>
      </c>
      <c r="G153" s="145">
        <v>0</v>
      </c>
      <c r="H153" s="145">
        <v>0</v>
      </c>
      <c r="I153" s="81" t="str">
        <f t="shared" si="52"/>
        <v>-</v>
      </c>
      <c r="J153" s="145">
        <v>0</v>
      </c>
      <c r="K153" s="145">
        <f t="shared" si="53"/>
        <v>0</v>
      </c>
      <c r="L153" s="146">
        <v>0</v>
      </c>
      <c r="M153" s="117">
        <v>0</v>
      </c>
      <c r="N153" s="81" t="str">
        <f t="shared" si="54"/>
        <v>-</v>
      </c>
      <c r="O153" s="356"/>
    </row>
    <row r="154" spans="1:15" s="118" customFormat="1" ht="10.5" customHeight="1" outlineLevel="1">
      <c r="A154" s="120"/>
      <c r="B154" s="112"/>
      <c r="C154" s="113"/>
      <c r="D154" s="114"/>
      <c r="E154" s="114"/>
      <c r="F154" s="119"/>
      <c r="G154" s="145"/>
      <c r="H154" s="145"/>
      <c r="I154" s="81"/>
      <c r="J154" s="145"/>
      <c r="K154" s="145"/>
      <c r="L154" s="146"/>
      <c r="M154" s="117"/>
      <c r="N154" s="81"/>
      <c r="O154" s="356"/>
    </row>
    <row r="155" spans="1:15" s="118" customFormat="1" ht="11.1" customHeight="1" outlineLevel="1">
      <c r="A155" s="120"/>
      <c r="B155" s="112"/>
      <c r="C155" s="113"/>
      <c r="D155" s="114"/>
      <c r="E155" s="388" t="s">
        <v>56</v>
      </c>
      <c r="F155" s="115" t="s">
        <v>15</v>
      </c>
      <c r="G155" s="145">
        <v>0</v>
      </c>
      <c r="H155" s="145">
        <v>0</v>
      </c>
      <c r="I155" s="81" t="str">
        <f t="shared" ref="I155:I160" si="55">IF(G155&gt;0,H155/G155*100,"-")</f>
        <v>-</v>
      </c>
      <c r="J155" s="145">
        <v>0</v>
      </c>
      <c r="K155" s="145">
        <f t="shared" ref="K155:K160" si="56">L155-J155</f>
        <v>0</v>
      </c>
      <c r="L155" s="146">
        <v>0</v>
      </c>
      <c r="M155" s="117">
        <v>0</v>
      </c>
      <c r="N155" s="81" t="str">
        <f t="shared" ref="N155:N160" si="57">IF(L155&gt;0,M155/L155*100,"-")</f>
        <v>-</v>
      </c>
      <c r="O155" s="356"/>
    </row>
    <row r="156" spans="1:15" s="118" customFormat="1" ht="11.1" customHeight="1" outlineLevel="1">
      <c r="A156" s="120"/>
      <c r="B156" s="112"/>
      <c r="C156" s="113"/>
      <c r="D156" s="114"/>
      <c r="E156" s="388"/>
      <c r="F156" s="115" t="s">
        <v>7</v>
      </c>
      <c r="G156" s="145">
        <v>7453416</v>
      </c>
      <c r="H156" s="145">
        <v>7264462</v>
      </c>
      <c r="I156" s="81">
        <f t="shared" si="55"/>
        <v>97.464867115964012</v>
      </c>
      <c r="J156" s="145">
        <v>1139665</v>
      </c>
      <c r="K156" s="145">
        <f t="shared" si="56"/>
        <v>1369989</v>
      </c>
      <c r="L156" s="146">
        <v>2509654</v>
      </c>
      <c r="M156" s="117">
        <v>2348065.2999999998</v>
      </c>
      <c r="N156" s="81">
        <f t="shared" si="57"/>
        <v>93.561315623587944</v>
      </c>
      <c r="O156" s="356"/>
    </row>
    <row r="157" spans="1:15" s="118" customFormat="1" ht="11.1" customHeight="1" outlineLevel="1">
      <c r="A157" s="120"/>
      <c r="B157" s="112"/>
      <c r="C157" s="113"/>
      <c r="D157" s="114"/>
      <c r="E157" s="388"/>
      <c r="F157" s="115" t="s">
        <v>8</v>
      </c>
      <c r="G157" s="145">
        <v>0</v>
      </c>
      <c r="H157" s="145">
        <v>0</v>
      </c>
      <c r="I157" s="81" t="str">
        <f t="shared" si="55"/>
        <v>-</v>
      </c>
      <c r="J157" s="145">
        <v>0</v>
      </c>
      <c r="K157" s="145">
        <f t="shared" si="56"/>
        <v>0</v>
      </c>
      <c r="L157" s="146">
        <v>0</v>
      </c>
      <c r="M157" s="117">
        <v>0</v>
      </c>
      <c r="N157" s="81" t="str">
        <f t="shared" si="57"/>
        <v>-</v>
      </c>
      <c r="O157" s="356"/>
    </row>
    <row r="158" spans="1:15" s="118" customFormat="1" ht="11.1" customHeight="1" outlineLevel="1">
      <c r="A158" s="120"/>
      <c r="B158" s="112"/>
      <c r="C158" s="113"/>
      <c r="D158" s="114"/>
      <c r="E158" s="216"/>
      <c r="F158" s="115" t="s">
        <v>22</v>
      </c>
      <c r="G158" s="145">
        <v>532227</v>
      </c>
      <c r="H158" s="145">
        <v>507267</v>
      </c>
      <c r="I158" s="81">
        <f t="shared" si="55"/>
        <v>95.310271744950938</v>
      </c>
      <c r="J158" s="145">
        <v>60335</v>
      </c>
      <c r="K158" s="145">
        <f t="shared" si="56"/>
        <v>72529</v>
      </c>
      <c r="L158" s="146">
        <v>132864</v>
      </c>
      <c r="M158" s="117">
        <v>124309.34</v>
      </c>
      <c r="N158" s="81">
        <f t="shared" si="57"/>
        <v>93.561340920038532</v>
      </c>
      <c r="O158" s="356"/>
    </row>
    <row r="159" spans="1:15" s="118" customFormat="1" ht="11.1" customHeight="1" outlineLevel="1">
      <c r="A159" s="120"/>
      <c r="B159" s="112"/>
      <c r="C159" s="113"/>
      <c r="D159" s="114"/>
      <c r="E159" s="216"/>
      <c r="F159" s="119" t="s">
        <v>45</v>
      </c>
      <c r="G159" s="145">
        <v>0</v>
      </c>
      <c r="H159" s="145">
        <v>0</v>
      </c>
      <c r="I159" s="81" t="str">
        <f t="shared" si="55"/>
        <v>-</v>
      </c>
      <c r="J159" s="145">
        <v>0</v>
      </c>
      <c r="K159" s="145">
        <f t="shared" si="56"/>
        <v>0</v>
      </c>
      <c r="L159" s="146">
        <v>0</v>
      </c>
      <c r="M159" s="117">
        <v>0</v>
      </c>
      <c r="N159" s="81" t="str">
        <f t="shared" si="57"/>
        <v>-</v>
      </c>
      <c r="O159" s="356"/>
    </row>
    <row r="160" spans="1:15" s="118" customFormat="1" ht="11.1" customHeight="1" outlineLevel="1">
      <c r="A160" s="120"/>
      <c r="B160" s="112"/>
      <c r="C160" s="113"/>
      <c r="D160" s="114"/>
      <c r="E160" s="216"/>
      <c r="F160" s="119" t="s">
        <v>46</v>
      </c>
      <c r="G160" s="145">
        <v>0</v>
      </c>
      <c r="H160" s="145">
        <v>0</v>
      </c>
      <c r="I160" s="81" t="str">
        <f t="shared" si="55"/>
        <v>-</v>
      </c>
      <c r="J160" s="145">
        <v>0</v>
      </c>
      <c r="K160" s="145">
        <f t="shared" si="56"/>
        <v>0</v>
      </c>
      <c r="L160" s="146">
        <v>0</v>
      </c>
      <c r="M160" s="117">
        <v>0</v>
      </c>
      <c r="N160" s="81" t="str">
        <f t="shared" si="57"/>
        <v>-</v>
      </c>
      <c r="O160" s="356"/>
    </row>
    <row r="161" spans="1:15" s="95" customFormat="1" ht="3.95" customHeight="1" outlineLevel="1">
      <c r="A161" s="121"/>
      <c r="B161" s="85"/>
      <c r="C161" s="86"/>
      <c r="D161" s="84"/>
      <c r="E161" s="84"/>
      <c r="F161" s="85"/>
      <c r="G161" s="143"/>
      <c r="H161" s="143"/>
      <c r="I161" s="88"/>
      <c r="J161" s="143"/>
      <c r="K161" s="143"/>
      <c r="L161" s="144"/>
      <c r="M161" s="87"/>
      <c r="N161" s="88"/>
      <c r="O161" s="222"/>
    </row>
    <row r="162" spans="1:15" ht="3.95" customHeight="1" outlineLevel="1">
      <c r="A162" s="59"/>
      <c r="B162" s="60"/>
      <c r="C162" s="61"/>
      <c r="D162" s="62"/>
      <c r="E162" s="62"/>
      <c r="F162" s="59"/>
      <c r="G162" s="134"/>
      <c r="H162" s="134"/>
      <c r="I162" s="59"/>
      <c r="J162" s="134"/>
      <c r="K162" s="134"/>
      <c r="L162" s="134"/>
      <c r="M162" s="63"/>
      <c r="N162" s="64"/>
      <c r="O162" s="219"/>
    </row>
    <row r="163" spans="1:15" ht="11.45" customHeight="1" outlineLevel="1">
      <c r="A163" s="28" t="s">
        <v>62</v>
      </c>
      <c r="B163" s="387" t="s">
        <v>63</v>
      </c>
      <c r="C163" s="372"/>
      <c r="D163" s="29"/>
      <c r="E163" s="29"/>
      <c r="F163" s="30"/>
      <c r="G163" s="135">
        <f>SUM(G164:G169)</f>
        <v>1846004</v>
      </c>
      <c r="H163" s="135">
        <f>SUM(H164:H169)</f>
        <v>688989</v>
      </c>
      <c r="I163" s="32">
        <f>IF(G163&gt;0,H163/G163*100,"-")</f>
        <v>37.323266905163806</v>
      </c>
      <c r="J163" s="135">
        <f>SUM(J164:J169)</f>
        <v>345737</v>
      </c>
      <c r="K163" s="135">
        <f>SUM(K164:K169)</f>
        <v>340189</v>
      </c>
      <c r="L163" s="135">
        <f>SUM(L164:L169)</f>
        <v>685926</v>
      </c>
      <c r="M163" s="31">
        <f>SUM(M164:M169)</f>
        <v>541411.82000000007</v>
      </c>
      <c r="N163" s="32">
        <f t="shared" ref="N163:N169" si="58">IF(L163&gt;0,M163/L163*100,"-")</f>
        <v>78.931520309771031</v>
      </c>
      <c r="O163" s="220"/>
    </row>
    <row r="164" spans="1:15" ht="11.45" customHeight="1" outlineLevel="1">
      <c r="A164" s="30"/>
      <c r="B164" s="33"/>
      <c r="C164" s="34"/>
      <c r="D164" s="29"/>
      <c r="E164" s="29"/>
      <c r="F164" s="35" t="s">
        <v>15</v>
      </c>
      <c r="G164" s="136">
        <f t="shared" ref="G164:G169" si="59">G173+G183</f>
        <v>0</v>
      </c>
      <c r="H164" s="136">
        <f t="shared" ref="H164:H169" si="60">H173+H183</f>
        <v>0</v>
      </c>
      <c r="I164" s="37" t="str">
        <f t="shared" ref="I164:I169" si="61">IF(G164&gt;0,H164/G164*100,"-")</f>
        <v>-</v>
      </c>
      <c r="J164" s="136">
        <f t="shared" ref="J164:M169" si="62">J173+J183</f>
        <v>0</v>
      </c>
      <c r="K164" s="136">
        <f t="shared" si="62"/>
        <v>0</v>
      </c>
      <c r="L164" s="136">
        <f t="shared" si="62"/>
        <v>0</v>
      </c>
      <c r="M164" s="36">
        <f t="shared" si="62"/>
        <v>0</v>
      </c>
      <c r="N164" s="37" t="str">
        <f t="shared" si="58"/>
        <v>-</v>
      </c>
      <c r="O164" s="220"/>
    </row>
    <row r="165" spans="1:15" ht="11.45" customHeight="1" outlineLevel="1">
      <c r="A165" s="30"/>
      <c r="B165" s="33"/>
      <c r="C165" s="34"/>
      <c r="D165" s="29"/>
      <c r="E165" s="29"/>
      <c r="F165" s="35" t="s">
        <v>7</v>
      </c>
      <c r="G165" s="136">
        <f t="shared" si="59"/>
        <v>1846004</v>
      </c>
      <c r="H165" s="136">
        <f t="shared" si="60"/>
        <v>688989</v>
      </c>
      <c r="I165" s="37">
        <f t="shared" si="61"/>
        <v>37.323266905163806</v>
      </c>
      <c r="J165" s="136">
        <f t="shared" si="62"/>
        <v>345737</v>
      </c>
      <c r="K165" s="136">
        <f t="shared" si="62"/>
        <v>340189</v>
      </c>
      <c r="L165" s="136">
        <f t="shared" si="62"/>
        <v>685926</v>
      </c>
      <c r="M165" s="36">
        <f t="shared" si="62"/>
        <v>541411.82000000007</v>
      </c>
      <c r="N165" s="37">
        <f t="shared" si="58"/>
        <v>78.931520309771031</v>
      </c>
      <c r="O165" s="220"/>
    </row>
    <row r="166" spans="1:15" ht="11.45" customHeight="1" outlineLevel="1">
      <c r="A166" s="30"/>
      <c r="B166" s="33"/>
      <c r="C166" s="34"/>
      <c r="D166" s="29"/>
      <c r="E166" s="29"/>
      <c r="F166" s="35" t="s">
        <v>8</v>
      </c>
      <c r="G166" s="136">
        <f t="shared" si="59"/>
        <v>0</v>
      </c>
      <c r="H166" s="136">
        <f t="shared" si="60"/>
        <v>0</v>
      </c>
      <c r="I166" s="37" t="str">
        <f t="shared" si="61"/>
        <v>-</v>
      </c>
      <c r="J166" s="136">
        <f t="shared" si="62"/>
        <v>0</v>
      </c>
      <c r="K166" s="136">
        <f t="shared" si="62"/>
        <v>0</v>
      </c>
      <c r="L166" s="136">
        <f t="shared" si="62"/>
        <v>0</v>
      </c>
      <c r="M166" s="36">
        <f t="shared" si="62"/>
        <v>0</v>
      </c>
      <c r="N166" s="37" t="str">
        <f t="shared" si="58"/>
        <v>-</v>
      </c>
      <c r="O166" s="220"/>
    </row>
    <row r="167" spans="1:15" ht="11.45" customHeight="1" outlineLevel="1">
      <c r="A167" s="30"/>
      <c r="B167" s="33"/>
      <c r="C167" s="34"/>
      <c r="D167" s="29"/>
      <c r="E167" s="29"/>
      <c r="F167" s="35" t="s">
        <v>22</v>
      </c>
      <c r="G167" s="136">
        <f t="shared" si="59"/>
        <v>0</v>
      </c>
      <c r="H167" s="136">
        <f t="shared" si="60"/>
        <v>0</v>
      </c>
      <c r="I167" s="37" t="str">
        <f t="shared" si="61"/>
        <v>-</v>
      </c>
      <c r="J167" s="136">
        <f t="shared" si="62"/>
        <v>0</v>
      </c>
      <c r="K167" s="136">
        <f t="shared" si="62"/>
        <v>0</v>
      </c>
      <c r="L167" s="136">
        <f t="shared" si="62"/>
        <v>0</v>
      </c>
      <c r="M167" s="36">
        <f t="shared" si="62"/>
        <v>0</v>
      </c>
      <c r="N167" s="37" t="str">
        <f t="shared" si="58"/>
        <v>-</v>
      </c>
      <c r="O167" s="220"/>
    </row>
    <row r="168" spans="1:15" ht="11.45" customHeight="1" outlineLevel="1">
      <c r="A168" s="30"/>
      <c r="B168" s="33"/>
      <c r="C168" s="34"/>
      <c r="D168" s="29"/>
      <c r="E168" s="29"/>
      <c r="F168" s="35" t="s">
        <v>45</v>
      </c>
      <c r="G168" s="136">
        <f t="shared" si="59"/>
        <v>0</v>
      </c>
      <c r="H168" s="136">
        <f t="shared" si="60"/>
        <v>0</v>
      </c>
      <c r="I168" s="37" t="str">
        <f t="shared" si="61"/>
        <v>-</v>
      </c>
      <c r="J168" s="136">
        <f t="shared" si="62"/>
        <v>0</v>
      </c>
      <c r="K168" s="136">
        <f t="shared" si="62"/>
        <v>0</v>
      </c>
      <c r="L168" s="136">
        <f t="shared" si="62"/>
        <v>0</v>
      </c>
      <c r="M168" s="36">
        <f t="shared" si="62"/>
        <v>0</v>
      </c>
      <c r="N168" s="37" t="str">
        <f t="shared" si="58"/>
        <v>-</v>
      </c>
      <c r="O168" s="220"/>
    </row>
    <row r="169" spans="1:15" ht="11.45" customHeight="1" outlineLevel="1">
      <c r="A169" s="30"/>
      <c r="B169" s="33"/>
      <c r="C169" s="34"/>
      <c r="D169" s="29"/>
      <c r="E169" s="29"/>
      <c r="F169" s="35" t="s">
        <v>46</v>
      </c>
      <c r="G169" s="136">
        <f t="shared" si="59"/>
        <v>0</v>
      </c>
      <c r="H169" s="136">
        <f t="shared" si="60"/>
        <v>0</v>
      </c>
      <c r="I169" s="37" t="str">
        <f t="shared" si="61"/>
        <v>-</v>
      </c>
      <c r="J169" s="136">
        <f t="shared" si="62"/>
        <v>0</v>
      </c>
      <c r="K169" s="136">
        <f t="shared" si="62"/>
        <v>0</v>
      </c>
      <c r="L169" s="136">
        <f t="shared" si="62"/>
        <v>0</v>
      </c>
      <c r="M169" s="36">
        <f t="shared" si="62"/>
        <v>0</v>
      </c>
      <c r="N169" s="37" t="str">
        <f t="shared" si="58"/>
        <v>-</v>
      </c>
      <c r="O169" s="220"/>
    </row>
    <row r="170" spans="1:15" ht="3.95" customHeight="1" outlineLevel="1">
      <c r="A170" s="65"/>
      <c r="B170" s="66"/>
      <c r="C170" s="67"/>
      <c r="D170" s="68"/>
      <c r="E170" s="68"/>
      <c r="F170" s="65"/>
      <c r="G170" s="137"/>
      <c r="H170" s="137"/>
      <c r="I170" s="70"/>
      <c r="J170" s="137"/>
      <c r="K170" s="137"/>
      <c r="L170" s="137"/>
      <c r="M170" s="69"/>
      <c r="N170" s="70"/>
      <c r="O170" s="221"/>
    </row>
    <row r="171" spans="1:15" s="95" customFormat="1" ht="3.95" customHeight="1" outlineLevel="1">
      <c r="A171" s="157"/>
      <c r="B171" s="72"/>
      <c r="C171" s="73"/>
      <c r="D171" s="71"/>
      <c r="E171" s="71"/>
      <c r="F171" s="72"/>
      <c r="G171" s="138"/>
      <c r="H171" s="138"/>
      <c r="I171" s="75"/>
      <c r="J171" s="138"/>
      <c r="K171" s="138"/>
      <c r="L171" s="139"/>
      <c r="M171" s="74"/>
      <c r="N171" s="75"/>
      <c r="O171" s="208"/>
    </row>
    <row r="172" spans="1:15" s="95" customFormat="1" ht="11.1" customHeight="1" outlineLevel="1">
      <c r="A172" s="370" t="s">
        <v>1</v>
      </c>
      <c r="B172" s="76" t="s">
        <v>9</v>
      </c>
      <c r="C172" s="77" t="s">
        <v>57</v>
      </c>
      <c r="D172" s="369" t="s">
        <v>64</v>
      </c>
      <c r="E172" s="369" t="s">
        <v>56</v>
      </c>
      <c r="F172" s="78" t="s">
        <v>28</v>
      </c>
      <c r="G172" s="140">
        <f>SUM(G173:G178)</f>
        <v>697598</v>
      </c>
      <c r="H172" s="140">
        <f>SUM(H173:H178)</f>
        <v>411058</v>
      </c>
      <c r="I172" s="39">
        <f t="shared" ref="I172:I178" si="63">IF(G172&gt;0,H172/G172*100,"-")</f>
        <v>58.924767559540022</v>
      </c>
      <c r="J172" s="140">
        <f>SUM(J173:J178)</f>
        <v>345737</v>
      </c>
      <c r="K172" s="140">
        <f>SUM(K173:K178)</f>
        <v>1925</v>
      </c>
      <c r="L172" s="140">
        <f>SUM(L173:L178)</f>
        <v>347662</v>
      </c>
      <c r="M172" s="38">
        <f>SUM(M173:M178)</f>
        <v>263481.33</v>
      </c>
      <c r="N172" s="39">
        <f t="shared" ref="N172:N178" si="64">IF(L172&gt;0,M172/L172*100,"-")</f>
        <v>75.78663471992914</v>
      </c>
      <c r="O172" s="366" t="s">
        <v>254</v>
      </c>
    </row>
    <row r="173" spans="1:15" s="95" customFormat="1" ht="11.1" customHeight="1" outlineLevel="1">
      <c r="A173" s="370"/>
      <c r="B173" s="76" t="s">
        <v>10</v>
      </c>
      <c r="C173" s="77" t="s">
        <v>68</v>
      </c>
      <c r="D173" s="369"/>
      <c r="E173" s="369"/>
      <c r="F173" s="79" t="s">
        <v>15</v>
      </c>
      <c r="G173" s="141">
        <v>0</v>
      </c>
      <c r="H173" s="141">
        <v>0</v>
      </c>
      <c r="I173" s="81" t="str">
        <f t="shared" si="63"/>
        <v>-</v>
      </c>
      <c r="J173" s="141">
        <v>0</v>
      </c>
      <c r="K173" s="141">
        <f t="shared" ref="K173:K178" si="65">L173-J173</f>
        <v>0</v>
      </c>
      <c r="L173" s="141">
        <v>0</v>
      </c>
      <c r="M173" s="80">
        <v>0</v>
      </c>
      <c r="N173" s="81" t="str">
        <f t="shared" si="64"/>
        <v>-</v>
      </c>
      <c r="O173" s="366"/>
    </row>
    <row r="174" spans="1:15" s="95" customFormat="1" ht="11.1" customHeight="1" outlineLevel="1">
      <c r="A174" s="370"/>
      <c r="B174" s="76" t="s">
        <v>11</v>
      </c>
      <c r="C174" s="82" t="s">
        <v>80</v>
      </c>
      <c r="D174" s="369"/>
      <c r="E174" s="369"/>
      <c r="F174" s="79" t="s">
        <v>7</v>
      </c>
      <c r="G174" s="141">
        <v>697598</v>
      </c>
      <c r="H174" s="141">
        <v>411058</v>
      </c>
      <c r="I174" s="81">
        <f t="shared" si="63"/>
        <v>58.924767559540022</v>
      </c>
      <c r="J174" s="141">
        <v>345737</v>
      </c>
      <c r="K174" s="141">
        <f t="shared" si="65"/>
        <v>1925</v>
      </c>
      <c r="L174" s="141">
        <v>347662</v>
      </c>
      <c r="M174" s="83">
        <v>263481.33</v>
      </c>
      <c r="N174" s="81">
        <f t="shared" si="64"/>
        <v>75.78663471992914</v>
      </c>
      <c r="O174" s="366"/>
    </row>
    <row r="175" spans="1:15" s="95" customFormat="1" ht="11.1" customHeight="1" outlineLevel="1">
      <c r="A175" s="120"/>
      <c r="B175" s="76"/>
      <c r="C175" s="82" t="s">
        <v>81</v>
      </c>
      <c r="D175" s="111"/>
      <c r="E175" s="111"/>
      <c r="F175" s="79" t="s">
        <v>8</v>
      </c>
      <c r="G175" s="141">
        <v>0</v>
      </c>
      <c r="H175" s="141">
        <v>0</v>
      </c>
      <c r="I175" s="81" t="str">
        <f t="shared" si="63"/>
        <v>-</v>
      </c>
      <c r="J175" s="141">
        <v>0</v>
      </c>
      <c r="K175" s="141">
        <f t="shared" si="65"/>
        <v>0</v>
      </c>
      <c r="L175" s="141">
        <v>0</v>
      </c>
      <c r="M175" s="80">
        <v>0</v>
      </c>
      <c r="N175" s="81" t="str">
        <f t="shared" si="64"/>
        <v>-</v>
      </c>
      <c r="O175" s="366"/>
    </row>
    <row r="176" spans="1:15" s="95" customFormat="1" ht="11.1" customHeight="1" outlineLevel="1">
      <c r="A176" s="120"/>
      <c r="B176" s="76" t="s">
        <v>12</v>
      </c>
      <c r="C176" s="82" t="s">
        <v>354</v>
      </c>
      <c r="D176" s="111"/>
      <c r="E176" s="111"/>
      <c r="F176" s="79" t="s">
        <v>22</v>
      </c>
      <c r="G176" s="141">
        <v>0</v>
      </c>
      <c r="H176" s="141">
        <v>0</v>
      </c>
      <c r="I176" s="81" t="str">
        <f t="shared" si="63"/>
        <v>-</v>
      </c>
      <c r="J176" s="141">
        <v>0</v>
      </c>
      <c r="K176" s="141">
        <f t="shared" si="65"/>
        <v>0</v>
      </c>
      <c r="L176" s="141">
        <v>0</v>
      </c>
      <c r="M176" s="80">
        <v>0</v>
      </c>
      <c r="N176" s="81" t="str">
        <f t="shared" si="64"/>
        <v>-</v>
      </c>
      <c r="O176" s="366"/>
    </row>
    <row r="177" spans="1:15" s="95" customFormat="1" ht="11.1" customHeight="1" outlineLevel="1">
      <c r="A177" s="120"/>
      <c r="B177" s="76" t="s">
        <v>23</v>
      </c>
      <c r="C177" s="82" t="s">
        <v>82</v>
      </c>
      <c r="D177" s="111"/>
      <c r="E177" s="111"/>
      <c r="F177" s="107" t="s">
        <v>45</v>
      </c>
      <c r="G177" s="141">
        <v>0</v>
      </c>
      <c r="H177" s="141">
        <v>0</v>
      </c>
      <c r="I177" s="81" t="str">
        <f t="shared" si="63"/>
        <v>-</v>
      </c>
      <c r="J177" s="141">
        <v>0</v>
      </c>
      <c r="K177" s="141">
        <f t="shared" si="65"/>
        <v>0</v>
      </c>
      <c r="L177" s="141">
        <v>0</v>
      </c>
      <c r="M177" s="80">
        <v>0</v>
      </c>
      <c r="N177" s="81" t="str">
        <f t="shared" si="64"/>
        <v>-</v>
      </c>
      <c r="O177" s="366"/>
    </row>
    <row r="178" spans="1:15" s="95" customFormat="1" ht="11.1" customHeight="1" outlineLevel="1">
      <c r="A178" s="120"/>
      <c r="B178" s="76"/>
      <c r="C178" s="82" t="s">
        <v>83</v>
      </c>
      <c r="D178" s="111"/>
      <c r="E178" s="111"/>
      <c r="F178" s="107" t="s">
        <v>46</v>
      </c>
      <c r="G178" s="141">
        <v>0</v>
      </c>
      <c r="H178" s="141">
        <v>0</v>
      </c>
      <c r="I178" s="81" t="str">
        <f t="shared" si="63"/>
        <v>-</v>
      </c>
      <c r="J178" s="141">
        <v>0</v>
      </c>
      <c r="K178" s="141">
        <f t="shared" si="65"/>
        <v>0</v>
      </c>
      <c r="L178" s="141">
        <v>0</v>
      </c>
      <c r="M178" s="80">
        <v>0</v>
      </c>
      <c r="N178" s="81" t="str">
        <f t="shared" si="64"/>
        <v>-</v>
      </c>
      <c r="O178" s="366"/>
    </row>
    <row r="179" spans="1:15" s="95" customFormat="1" ht="11.1" customHeight="1" outlineLevel="1">
      <c r="A179" s="120"/>
      <c r="B179" s="76"/>
      <c r="C179" s="82" t="s">
        <v>84</v>
      </c>
      <c r="D179" s="111"/>
      <c r="E179" s="111"/>
      <c r="F179" s="107"/>
      <c r="G179" s="142"/>
      <c r="H179" s="142"/>
      <c r="I179" s="81"/>
      <c r="J179" s="142"/>
      <c r="K179" s="141"/>
      <c r="L179" s="141"/>
      <c r="M179" s="89"/>
      <c r="N179" s="81"/>
      <c r="O179" s="366"/>
    </row>
    <row r="180" spans="1:15" s="95" customFormat="1" ht="3.95" customHeight="1" outlineLevel="1">
      <c r="A180" s="121"/>
      <c r="B180" s="85"/>
      <c r="C180" s="86"/>
      <c r="D180" s="84"/>
      <c r="E180" s="84"/>
      <c r="F180" s="85"/>
      <c r="G180" s="143"/>
      <c r="H180" s="143"/>
      <c r="I180" s="88"/>
      <c r="J180" s="143"/>
      <c r="K180" s="143"/>
      <c r="L180" s="144"/>
      <c r="M180" s="87"/>
      <c r="N180" s="88"/>
      <c r="O180" s="222"/>
    </row>
    <row r="181" spans="1:15" s="95" customFormat="1" ht="3.95" customHeight="1" outlineLevel="1">
      <c r="A181" s="157"/>
      <c r="B181" s="72"/>
      <c r="C181" s="73"/>
      <c r="D181" s="71"/>
      <c r="E181" s="71"/>
      <c r="F181" s="72"/>
      <c r="G181" s="138"/>
      <c r="H181" s="138"/>
      <c r="I181" s="75"/>
      <c r="J181" s="138"/>
      <c r="K181" s="138"/>
      <c r="L181" s="139"/>
      <c r="M181" s="74"/>
      <c r="N181" s="75"/>
      <c r="O181" s="208"/>
    </row>
    <row r="182" spans="1:15" s="95" customFormat="1" ht="11.1" customHeight="1" outlineLevel="1">
      <c r="A182" s="370" t="s">
        <v>51</v>
      </c>
      <c r="B182" s="76" t="s">
        <v>9</v>
      </c>
      <c r="C182" s="77" t="s">
        <v>57</v>
      </c>
      <c r="D182" s="369" t="s">
        <v>65</v>
      </c>
      <c r="E182" s="369" t="s">
        <v>56</v>
      </c>
      <c r="F182" s="78" t="s">
        <v>28</v>
      </c>
      <c r="G182" s="140">
        <f>SUM(G183:G188)</f>
        <v>1148406</v>
      </c>
      <c r="H182" s="140">
        <f>SUM(H183:H188)</f>
        <v>277931</v>
      </c>
      <c r="I182" s="39">
        <f t="shared" ref="I182:I188" si="66">IF(G182&gt;0,H182/G182*100,"-")</f>
        <v>24.201458369252684</v>
      </c>
      <c r="J182" s="140">
        <f>SUM(J183:J188)</f>
        <v>0</v>
      </c>
      <c r="K182" s="140">
        <f>SUM(K183:K188)</f>
        <v>338264</v>
      </c>
      <c r="L182" s="140">
        <f>SUM(L183:L188)</f>
        <v>338264</v>
      </c>
      <c r="M182" s="38">
        <f>SUM(M183:M188)</f>
        <v>277930.49</v>
      </c>
      <c r="N182" s="39">
        <f t="shared" ref="N182:N188" si="67">IF(L182&gt;0,M182/L182*100,"-")</f>
        <v>82.163780360901541</v>
      </c>
      <c r="O182" s="366" t="s">
        <v>255</v>
      </c>
    </row>
    <row r="183" spans="1:15" s="95" customFormat="1" ht="11.1" customHeight="1" outlineLevel="1">
      <c r="A183" s="370"/>
      <c r="B183" s="76" t="s">
        <v>10</v>
      </c>
      <c r="C183" s="77" t="s">
        <v>68</v>
      </c>
      <c r="D183" s="369"/>
      <c r="E183" s="369"/>
      <c r="F183" s="79" t="s">
        <v>15</v>
      </c>
      <c r="G183" s="141">
        <v>0</v>
      </c>
      <c r="H183" s="141">
        <v>0</v>
      </c>
      <c r="I183" s="81" t="str">
        <f t="shared" si="66"/>
        <v>-</v>
      </c>
      <c r="J183" s="141">
        <v>0</v>
      </c>
      <c r="K183" s="141">
        <f t="shared" ref="K183:K188" si="68">L183-J183</f>
        <v>0</v>
      </c>
      <c r="L183" s="141">
        <v>0</v>
      </c>
      <c r="M183" s="80">
        <v>0</v>
      </c>
      <c r="N183" s="81" t="str">
        <f t="shared" si="67"/>
        <v>-</v>
      </c>
      <c r="O183" s="366"/>
    </row>
    <row r="184" spans="1:15" s="95" customFormat="1" ht="11.1" customHeight="1" outlineLevel="1">
      <c r="A184" s="370"/>
      <c r="B184" s="76" t="s">
        <v>11</v>
      </c>
      <c r="C184" s="82" t="s">
        <v>80</v>
      </c>
      <c r="D184" s="369"/>
      <c r="E184" s="369"/>
      <c r="F184" s="79" t="s">
        <v>7</v>
      </c>
      <c r="G184" s="141">
        <v>1148406</v>
      </c>
      <c r="H184" s="141">
        <v>277931</v>
      </c>
      <c r="I184" s="81">
        <f t="shared" si="66"/>
        <v>24.201458369252684</v>
      </c>
      <c r="J184" s="141">
        <v>0</v>
      </c>
      <c r="K184" s="141">
        <f t="shared" si="68"/>
        <v>338264</v>
      </c>
      <c r="L184" s="141">
        <v>338264</v>
      </c>
      <c r="M184" s="83">
        <v>277930.49</v>
      </c>
      <c r="N184" s="81">
        <f t="shared" si="67"/>
        <v>82.163780360901541</v>
      </c>
      <c r="O184" s="366"/>
    </row>
    <row r="185" spans="1:15" s="95" customFormat="1" ht="11.1" customHeight="1" outlineLevel="1">
      <c r="A185" s="120"/>
      <c r="B185" s="76"/>
      <c r="C185" s="82" t="s">
        <v>81</v>
      </c>
      <c r="D185" s="111"/>
      <c r="E185" s="111"/>
      <c r="F185" s="79" t="s">
        <v>8</v>
      </c>
      <c r="G185" s="141">
        <v>0</v>
      </c>
      <c r="H185" s="141">
        <v>0</v>
      </c>
      <c r="I185" s="81" t="str">
        <f t="shared" si="66"/>
        <v>-</v>
      </c>
      <c r="J185" s="141">
        <v>0</v>
      </c>
      <c r="K185" s="141">
        <f t="shared" si="68"/>
        <v>0</v>
      </c>
      <c r="L185" s="141">
        <v>0</v>
      </c>
      <c r="M185" s="80">
        <v>0</v>
      </c>
      <c r="N185" s="81" t="str">
        <f t="shared" si="67"/>
        <v>-</v>
      </c>
      <c r="O185" s="366"/>
    </row>
    <row r="186" spans="1:15" s="95" customFormat="1" ht="11.1" customHeight="1" outlineLevel="1">
      <c r="A186" s="120"/>
      <c r="B186" s="76" t="s">
        <v>12</v>
      </c>
      <c r="C186" s="82" t="s">
        <v>355</v>
      </c>
      <c r="D186" s="111"/>
      <c r="E186" s="111"/>
      <c r="F186" s="79" t="s">
        <v>22</v>
      </c>
      <c r="G186" s="141">
        <v>0</v>
      </c>
      <c r="H186" s="141">
        <v>0</v>
      </c>
      <c r="I186" s="81" t="str">
        <f t="shared" si="66"/>
        <v>-</v>
      </c>
      <c r="J186" s="141">
        <v>0</v>
      </c>
      <c r="K186" s="141">
        <f t="shared" si="68"/>
        <v>0</v>
      </c>
      <c r="L186" s="141">
        <v>0</v>
      </c>
      <c r="M186" s="80">
        <v>0</v>
      </c>
      <c r="N186" s="81" t="str">
        <f t="shared" si="67"/>
        <v>-</v>
      </c>
      <c r="O186" s="366"/>
    </row>
    <row r="187" spans="1:15" s="95" customFormat="1" ht="11.1" customHeight="1" outlineLevel="1">
      <c r="A187" s="120"/>
      <c r="B187" s="76" t="s">
        <v>23</v>
      </c>
      <c r="C187" s="82" t="s">
        <v>85</v>
      </c>
      <c r="D187" s="111"/>
      <c r="E187" s="111"/>
      <c r="F187" s="107" t="s">
        <v>45</v>
      </c>
      <c r="G187" s="141">
        <v>0</v>
      </c>
      <c r="H187" s="141">
        <v>0</v>
      </c>
      <c r="I187" s="81" t="str">
        <f t="shared" si="66"/>
        <v>-</v>
      </c>
      <c r="J187" s="141">
        <v>0</v>
      </c>
      <c r="K187" s="141">
        <f t="shared" si="68"/>
        <v>0</v>
      </c>
      <c r="L187" s="141">
        <v>0</v>
      </c>
      <c r="M187" s="80">
        <v>0</v>
      </c>
      <c r="N187" s="81" t="str">
        <f t="shared" si="67"/>
        <v>-</v>
      </c>
      <c r="O187" s="366"/>
    </row>
    <row r="188" spans="1:15" s="95" customFormat="1" ht="11.1" customHeight="1" outlineLevel="1">
      <c r="A188" s="120"/>
      <c r="B188" s="76"/>
      <c r="C188" s="82" t="s">
        <v>86</v>
      </c>
      <c r="D188" s="111"/>
      <c r="E188" s="111"/>
      <c r="F188" s="107" t="s">
        <v>46</v>
      </c>
      <c r="G188" s="141">
        <v>0</v>
      </c>
      <c r="H188" s="141">
        <v>0</v>
      </c>
      <c r="I188" s="81" t="str">
        <f t="shared" si="66"/>
        <v>-</v>
      </c>
      <c r="J188" s="141">
        <v>0</v>
      </c>
      <c r="K188" s="141">
        <f t="shared" si="68"/>
        <v>0</v>
      </c>
      <c r="L188" s="141">
        <v>0</v>
      </c>
      <c r="M188" s="80">
        <v>0</v>
      </c>
      <c r="N188" s="81" t="str">
        <f t="shared" si="67"/>
        <v>-</v>
      </c>
      <c r="O188" s="366"/>
    </row>
    <row r="189" spans="1:15" s="95" customFormat="1" ht="11.1" customHeight="1" outlineLevel="1">
      <c r="A189" s="120"/>
      <c r="B189" s="76"/>
      <c r="C189" s="82" t="s">
        <v>87</v>
      </c>
      <c r="D189" s="111"/>
      <c r="E189" s="111"/>
      <c r="F189" s="107"/>
      <c r="G189" s="142"/>
      <c r="H189" s="142"/>
      <c r="I189" s="81"/>
      <c r="J189" s="142"/>
      <c r="K189" s="142"/>
      <c r="L189" s="141"/>
      <c r="M189" s="89"/>
      <c r="N189" s="81"/>
      <c r="O189" s="366"/>
    </row>
    <row r="190" spans="1:15" s="95" customFormat="1" ht="11.1" customHeight="1" outlineLevel="1">
      <c r="A190" s="120"/>
      <c r="B190" s="76"/>
      <c r="C190" s="82" t="s">
        <v>88</v>
      </c>
      <c r="D190" s="111"/>
      <c r="E190" s="111"/>
      <c r="F190" s="107"/>
      <c r="G190" s="142"/>
      <c r="H190" s="142"/>
      <c r="I190" s="81"/>
      <c r="J190" s="142"/>
      <c r="K190" s="142"/>
      <c r="L190" s="141"/>
      <c r="M190" s="89"/>
      <c r="N190" s="81"/>
      <c r="O190" s="366"/>
    </row>
    <row r="191" spans="1:15" s="95" customFormat="1" ht="3.95" customHeight="1" outlineLevel="1">
      <c r="A191" s="121"/>
      <c r="B191" s="85"/>
      <c r="C191" s="86"/>
      <c r="D191" s="84"/>
      <c r="E191" s="84"/>
      <c r="F191" s="85"/>
      <c r="G191" s="143"/>
      <c r="H191" s="143"/>
      <c r="I191" s="88"/>
      <c r="J191" s="143"/>
      <c r="K191" s="143"/>
      <c r="L191" s="144"/>
      <c r="M191" s="87"/>
      <c r="N191" s="88"/>
      <c r="O191" s="222"/>
    </row>
    <row r="192" spans="1:15" ht="3.95" customHeight="1" outlineLevel="1">
      <c r="A192" s="59"/>
      <c r="B192" s="60"/>
      <c r="C192" s="61"/>
      <c r="D192" s="62"/>
      <c r="E192" s="62"/>
      <c r="F192" s="59"/>
      <c r="G192" s="134"/>
      <c r="H192" s="134"/>
      <c r="I192" s="59"/>
      <c r="J192" s="134"/>
      <c r="K192" s="134"/>
      <c r="L192" s="134"/>
      <c r="M192" s="63"/>
      <c r="N192" s="64"/>
      <c r="O192" s="219"/>
    </row>
    <row r="193" spans="1:15" ht="11.45" customHeight="1" outlineLevel="1">
      <c r="A193" s="28" t="s">
        <v>66</v>
      </c>
      <c r="B193" s="387" t="s">
        <v>67</v>
      </c>
      <c r="C193" s="372"/>
      <c r="D193" s="29"/>
      <c r="E193" s="29"/>
      <c r="F193" s="30"/>
      <c r="G193" s="135">
        <f>SUM(G194:G199)</f>
        <v>12563578.199999999</v>
      </c>
      <c r="H193" s="135">
        <f>SUM(H194:H199)</f>
        <v>8792869</v>
      </c>
      <c r="I193" s="32">
        <f>IF(G193&gt;0,H193/G193*100,"-")</f>
        <v>69.986980301519523</v>
      </c>
      <c r="J193" s="135">
        <f>SUM(J194:J199)</f>
        <v>2165657</v>
      </c>
      <c r="K193" s="135">
        <f>SUM(K194:K199)</f>
        <v>3207630</v>
      </c>
      <c r="L193" s="135">
        <f>SUM(L194:L199)</f>
        <v>5373287</v>
      </c>
      <c r="M193" s="31">
        <f>SUM(M194:M199)</f>
        <v>4393977.78</v>
      </c>
      <c r="N193" s="32">
        <f t="shared" ref="N193:N199" si="69">IF(L193&gt;0,M193/L193*100,"-")</f>
        <v>81.774485152198267</v>
      </c>
      <c r="O193" s="220"/>
    </row>
    <row r="194" spans="1:15" ht="11.45" customHeight="1" outlineLevel="1">
      <c r="A194" s="30"/>
      <c r="B194" s="33"/>
      <c r="C194" s="34"/>
      <c r="D194" s="29"/>
      <c r="E194" s="29"/>
      <c r="F194" s="35" t="s">
        <v>15</v>
      </c>
      <c r="G194" s="136">
        <f>G203+G213+G226+G240+G249+G259+G268+G277+G286+G297+G306+G315+G324+G337+G346+G355+G364+G373+G382+G391+G400+G409+G418+G427+G436+G445+G455+G465+G474+G483+G493</f>
        <v>1130337</v>
      </c>
      <c r="H194" s="136">
        <f>H203+H213+H226+H240+H249+H259+H268+H277+H286+H297+H306+H315+H324+H337+H346+H355+H364+H373+H382+H391+H400+H409+H418+H427+H436+H445+H455+H465+H474+H483+H493</f>
        <v>469826</v>
      </c>
      <c r="I194" s="37">
        <f t="shared" ref="I194:I199" si="70">IF(G194&gt;0,H194/G194*100,"-")</f>
        <v>41.565126152642975</v>
      </c>
      <c r="J194" s="136">
        <f t="shared" ref="J194:M199" si="71">J203+J213+J226+J240+J249+J259+J268+J277+J286+J297+J306+J315+J324+J337+J346+J355+J364+J373+J382+J391+J400+J409+J418+J427+J436+J445+J455+J465+J474+J483+J493</f>
        <v>34140</v>
      </c>
      <c r="K194" s="136">
        <f t="shared" si="71"/>
        <v>405729</v>
      </c>
      <c r="L194" s="136">
        <f t="shared" si="71"/>
        <v>439869</v>
      </c>
      <c r="M194" s="36">
        <f t="shared" si="71"/>
        <v>54143.3</v>
      </c>
      <c r="N194" s="37">
        <f t="shared" si="69"/>
        <v>12.308960167686289</v>
      </c>
      <c r="O194" s="220"/>
    </row>
    <row r="195" spans="1:15" ht="11.45" customHeight="1" outlineLevel="1">
      <c r="A195" s="30"/>
      <c r="B195" s="33"/>
      <c r="C195" s="34"/>
      <c r="D195" s="29"/>
      <c r="E195" s="29"/>
      <c r="F195" s="35" t="s">
        <v>7</v>
      </c>
      <c r="G195" s="136">
        <f t="shared" ref="G195:H199" si="72">G204+G214+G227+G241+G250+G260+G269+G278+G287+G298+G307+G316+G325+G338+G347+G356+G365+G374+G383+G392+G401+G410+G419+G428+G437+G446+G456+G466+G475+G484+G494</f>
        <v>10675582.199999999</v>
      </c>
      <c r="H195" s="136">
        <f t="shared" si="72"/>
        <v>7875816</v>
      </c>
      <c r="I195" s="37">
        <f t="shared" si="70"/>
        <v>73.774112291505759</v>
      </c>
      <c r="J195" s="136">
        <f t="shared" si="71"/>
        <v>2037438</v>
      </c>
      <c r="K195" s="136">
        <f t="shared" si="71"/>
        <v>2587074</v>
      </c>
      <c r="L195" s="136">
        <f t="shared" si="71"/>
        <v>4624512</v>
      </c>
      <c r="M195" s="36">
        <f t="shared" si="71"/>
        <v>4056439.5800000005</v>
      </c>
      <c r="N195" s="37">
        <f t="shared" si="69"/>
        <v>87.716056959091048</v>
      </c>
      <c r="O195" s="220"/>
    </row>
    <row r="196" spans="1:15" ht="11.45" customHeight="1" outlineLevel="1">
      <c r="A196" s="30"/>
      <c r="B196" s="33"/>
      <c r="C196" s="34"/>
      <c r="D196" s="29"/>
      <c r="E196" s="29"/>
      <c r="F196" s="35" t="s">
        <v>8</v>
      </c>
      <c r="G196" s="136">
        <f t="shared" si="72"/>
        <v>0</v>
      </c>
      <c r="H196" s="136">
        <f t="shared" si="72"/>
        <v>0</v>
      </c>
      <c r="I196" s="37" t="str">
        <f t="shared" si="70"/>
        <v>-</v>
      </c>
      <c r="J196" s="136">
        <f t="shared" si="71"/>
        <v>0</v>
      </c>
      <c r="K196" s="136">
        <f t="shared" si="71"/>
        <v>0</v>
      </c>
      <c r="L196" s="136">
        <f t="shared" si="71"/>
        <v>0</v>
      </c>
      <c r="M196" s="36">
        <f t="shared" si="71"/>
        <v>0</v>
      </c>
      <c r="N196" s="37" t="str">
        <f t="shared" si="69"/>
        <v>-</v>
      </c>
      <c r="O196" s="220"/>
    </row>
    <row r="197" spans="1:15" ht="11.45" customHeight="1" outlineLevel="1">
      <c r="A197" s="30"/>
      <c r="B197" s="33"/>
      <c r="C197" s="34"/>
      <c r="D197" s="29"/>
      <c r="E197" s="29"/>
      <c r="F197" s="35" t="s">
        <v>22</v>
      </c>
      <c r="G197" s="136">
        <f t="shared" si="72"/>
        <v>757659</v>
      </c>
      <c r="H197" s="136">
        <f t="shared" si="72"/>
        <v>447227</v>
      </c>
      <c r="I197" s="37">
        <f t="shared" si="70"/>
        <v>59.027478060710692</v>
      </c>
      <c r="J197" s="136">
        <f t="shared" si="71"/>
        <v>94079</v>
      </c>
      <c r="K197" s="136">
        <f t="shared" si="71"/>
        <v>214827</v>
      </c>
      <c r="L197" s="136">
        <f t="shared" si="71"/>
        <v>308906</v>
      </c>
      <c r="M197" s="36">
        <f t="shared" si="71"/>
        <v>283394.89999999997</v>
      </c>
      <c r="N197" s="37">
        <f t="shared" si="69"/>
        <v>91.741468278375933</v>
      </c>
      <c r="O197" s="220"/>
    </row>
    <row r="198" spans="1:15" ht="11.45" customHeight="1" outlineLevel="1">
      <c r="A198" s="30"/>
      <c r="B198" s="33"/>
      <c r="C198" s="34"/>
      <c r="D198" s="29"/>
      <c r="E198" s="29"/>
      <c r="F198" s="35" t="s">
        <v>45</v>
      </c>
      <c r="G198" s="136">
        <f t="shared" si="72"/>
        <v>0</v>
      </c>
      <c r="H198" s="136">
        <f t="shared" si="72"/>
        <v>0</v>
      </c>
      <c r="I198" s="37" t="str">
        <f t="shared" si="70"/>
        <v>-</v>
      </c>
      <c r="J198" s="136">
        <f t="shared" si="71"/>
        <v>0</v>
      </c>
      <c r="K198" s="136">
        <f t="shared" si="71"/>
        <v>0</v>
      </c>
      <c r="L198" s="136">
        <f t="shared" si="71"/>
        <v>0</v>
      </c>
      <c r="M198" s="36">
        <f t="shared" si="71"/>
        <v>0</v>
      </c>
      <c r="N198" s="37" t="str">
        <f t="shared" si="69"/>
        <v>-</v>
      </c>
      <c r="O198" s="220"/>
    </row>
    <row r="199" spans="1:15" ht="11.45" customHeight="1" outlineLevel="1">
      <c r="A199" s="30"/>
      <c r="B199" s="33"/>
      <c r="C199" s="34"/>
      <c r="D199" s="29"/>
      <c r="E199" s="29"/>
      <c r="F199" s="35" t="s">
        <v>46</v>
      </c>
      <c r="G199" s="136">
        <f t="shared" si="72"/>
        <v>0</v>
      </c>
      <c r="H199" s="136">
        <f t="shared" si="72"/>
        <v>0</v>
      </c>
      <c r="I199" s="37" t="str">
        <f t="shared" si="70"/>
        <v>-</v>
      </c>
      <c r="J199" s="136">
        <f t="shared" si="71"/>
        <v>0</v>
      </c>
      <c r="K199" s="136">
        <f t="shared" si="71"/>
        <v>0</v>
      </c>
      <c r="L199" s="136">
        <f t="shared" si="71"/>
        <v>0</v>
      </c>
      <c r="M199" s="36">
        <f t="shared" si="71"/>
        <v>0</v>
      </c>
      <c r="N199" s="37" t="str">
        <f t="shared" si="69"/>
        <v>-</v>
      </c>
      <c r="O199" s="220"/>
    </row>
    <row r="200" spans="1:15" ht="3.95" customHeight="1" outlineLevel="1">
      <c r="A200" s="65"/>
      <c r="B200" s="66"/>
      <c r="C200" s="67"/>
      <c r="D200" s="68"/>
      <c r="E200" s="68"/>
      <c r="F200" s="65"/>
      <c r="G200" s="137"/>
      <c r="H200" s="137"/>
      <c r="I200" s="70"/>
      <c r="J200" s="137"/>
      <c r="K200" s="137"/>
      <c r="L200" s="137"/>
      <c r="M200" s="69"/>
      <c r="N200" s="70"/>
      <c r="O200" s="221"/>
    </row>
    <row r="201" spans="1:15" ht="3.95" customHeight="1" outlineLevel="1">
      <c r="A201" s="260"/>
      <c r="B201" s="260"/>
      <c r="C201" s="261"/>
      <c r="D201" s="232"/>
      <c r="E201" s="262"/>
      <c r="F201" s="263"/>
      <c r="G201" s="264"/>
      <c r="H201" s="264"/>
      <c r="I201" s="266"/>
      <c r="J201" s="264"/>
      <c r="K201" s="264"/>
      <c r="L201" s="264"/>
      <c r="M201" s="265"/>
      <c r="N201" s="266"/>
      <c r="O201" s="208"/>
    </row>
    <row r="202" spans="1:15" s="15" customFormat="1" ht="11.1" customHeight="1" outlineLevel="1">
      <c r="A202" s="370" t="s">
        <v>1</v>
      </c>
      <c r="B202" s="76" t="s">
        <v>9</v>
      </c>
      <c r="C202" s="151" t="s">
        <v>57</v>
      </c>
      <c r="D202" s="369" t="s">
        <v>90</v>
      </c>
      <c r="E202" s="369" t="s">
        <v>56</v>
      </c>
      <c r="F202" s="78" t="s">
        <v>221</v>
      </c>
      <c r="G202" s="140">
        <f>SUM(G203:G208)</f>
        <v>311762</v>
      </c>
      <c r="H202" s="140">
        <f>SUM(H203:H208)</f>
        <v>310682</v>
      </c>
      <c r="I202" s="258">
        <f t="shared" ref="I202:I296" si="73">IF(G202&gt;0,H202/G202*100,"-")</f>
        <v>99.653581899012707</v>
      </c>
      <c r="J202" s="140">
        <f>SUM(J203:J208)</f>
        <v>94062</v>
      </c>
      <c r="K202" s="140">
        <f>SUM(K203:K206)</f>
        <v>3768</v>
      </c>
      <c r="L202" s="140">
        <f>SUM(L203:L206)</f>
        <v>97830</v>
      </c>
      <c r="M202" s="38">
        <f>SUM(M203:M206)</f>
        <v>96747.88</v>
      </c>
      <c r="N202" s="39">
        <f t="shared" ref="N202:N296" si="74">IF(L202&gt;0,M202/L202*100,"-")</f>
        <v>98.893877133803542</v>
      </c>
      <c r="O202" s="389" t="s">
        <v>235</v>
      </c>
    </row>
    <row r="203" spans="1:15" s="15" customFormat="1" ht="11.1" customHeight="1" outlineLevel="1">
      <c r="A203" s="370"/>
      <c r="B203" s="76" t="s">
        <v>10</v>
      </c>
      <c r="C203" s="151" t="s">
        <v>89</v>
      </c>
      <c r="D203" s="369"/>
      <c r="E203" s="369"/>
      <c r="F203" s="79" t="s">
        <v>15</v>
      </c>
      <c r="G203" s="170">
        <v>0</v>
      </c>
      <c r="H203" s="170">
        <v>0</v>
      </c>
      <c r="I203" s="171" t="str">
        <f t="shared" si="73"/>
        <v>-</v>
      </c>
      <c r="J203" s="170">
        <v>0</v>
      </c>
      <c r="K203" s="170">
        <f t="shared" ref="K203:K208" si="75">L203-J203</f>
        <v>0</v>
      </c>
      <c r="L203" s="141">
        <v>0</v>
      </c>
      <c r="M203" s="80">
        <v>0</v>
      </c>
      <c r="N203" s="81" t="str">
        <f t="shared" si="74"/>
        <v>-</v>
      </c>
      <c r="O203" s="389"/>
    </row>
    <row r="204" spans="1:15" s="15" customFormat="1" ht="11.1" customHeight="1" outlineLevel="1">
      <c r="A204" s="370"/>
      <c r="B204" s="76" t="s">
        <v>11</v>
      </c>
      <c r="C204" s="82" t="s">
        <v>236</v>
      </c>
      <c r="D204" s="369"/>
      <c r="E204" s="369"/>
      <c r="F204" s="79" t="s">
        <v>7</v>
      </c>
      <c r="G204" s="170">
        <v>290586</v>
      </c>
      <c r="H204" s="170">
        <f>ROUNDUP(199967+M204,0)</f>
        <v>289757</v>
      </c>
      <c r="I204" s="171">
        <f t="shared" si="73"/>
        <v>99.714714404685694</v>
      </c>
      <c r="J204" s="170">
        <v>87079</v>
      </c>
      <c r="K204" s="170">
        <f t="shared" si="75"/>
        <v>3540</v>
      </c>
      <c r="L204" s="141">
        <v>90619</v>
      </c>
      <c r="M204" s="83">
        <v>89789.3</v>
      </c>
      <c r="N204" s="81">
        <f t="shared" si="74"/>
        <v>99.084408347035392</v>
      </c>
      <c r="O204" s="389"/>
    </row>
    <row r="205" spans="1:15" s="15" customFormat="1" ht="11.1" customHeight="1" outlineLevel="1">
      <c r="A205" s="120"/>
      <c r="B205" s="76"/>
      <c r="C205" s="82" t="s">
        <v>237</v>
      </c>
      <c r="D205" s="111"/>
      <c r="E205" s="111"/>
      <c r="F205" s="79" t="s">
        <v>8</v>
      </c>
      <c r="G205" s="170">
        <v>0</v>
      </c>
      <c r="H205" s="170">
        <v>0</v>
      </c>
      <c r="I205" s="171" t="str">
        <f t="shared" si="73"/>
        <v>-</v>
      </c>
      <c r="J205" s="170">
        <v>0</v>
      </c>
      <c r="K205" s="170">
        <f t="shared" si="75"/>
        <v>0</v>
      </c>
      <c r="L205" s="141">
        <v>0</v>
      </c>
      <c r="M205" s="83">
        <v>0</v>
      </c>
      <c r="N205" s="81" t="str">
        <f t="shared" si="74"/>
        <v>-</v>
      </c>
      <c r="O205" s="389"/>
    </row>
    <row r="206" spans="1:15" s="15" customFormat="1" ht="11.1" customHeight="1" outlineLevel="1">
      <c r="A206" s="120"/>
      <c r="B206" s="76" t="s">
        <v>12</v>
      </c>
      <c r="C206" s="82" t="s">
        <v>346</v>
      </c>
      <c r="D206" s="111"/>
      <c r="E206" s="111"/>
      <c r="F206" s="79" t="s">
        <v>22</v>
      </c>
      <c r="G206" s="170">
        <v>21176</v>
      </c>
      <c r="H206" s="170">
        <f>ROUNDUP(13966+M206,0)</f>
        <v>20925</v>
      </c>
      <c r="I206" s="171">
        <f t="shared" si="73"/>
        <v>98.814695882130707</v>
      </c>
      <c r="J206" s="170">
        <v>6983</v>
      </c>
      <c r="K206" s="170">
        <f t="shared" si="75"/>
        <v>228</v>
      </c>
      <c r="L206" s="141">
        <v>7211</v>
      </c>
      <c r="M206" s="83">
        <v>6958.58</v>
      </c>
      <c r="N206" s="81">
        <f t="shared" si="74"/>
        <v>96.499514630425736</v>
      </c>
      <c r="O206" s="389"/>
    </row>
    <row r="207" spans="1:15" s="15" customFormat="1" ht="11.1" customHeight="1" outlineLevel="1">
      <c r="A207" s="244"/>
      <c r="B207" s="76" t="s">
        <v>23</v>
      </c>
      <c r="C207" s="82" t="s">
        <v>296</v>
      </c>
      <c r="D207" s="209"/>
      <c r="E207" s="209"/>
      <c r="F207" s="107" t="s">
        <v>45</v>
      </c>
      <c r="G207" s="170">
        <v>0</v>
      </c>
      <c r="H207" s="170">
        <v>0</v>
      </c>
      <c r="I207" s="171" t="str">
        <f t="shared" si="73"/>
        <v>-</v>
      </c>
      <c r="J207" s="170">
        <v>0</v>
      </c>
      <c r="K207" s="170">
        <f t="shared" si="75"/>
        <v>0</v>
      </c>
      <c r="L207" s="141">
        <v>0</v>
      </c>
      <c r="M207" s="83">
        <v>0</v>
      </c>
      <c r="N207" s="81" t="str">
        <f t="shared" si="74"/>
        <v>-</v>
      </c>
      <c r="O207" s="389"/>
    </row>
    <row r="208" spans="1:15" s="15" customFormat="1" ht="11.1" customHeight="1" outlineLevel="1">
      <c r="A208" s="244"/>
      <c r="B208" s="76"/>
      <c r="C208" s="82" t="s">
        <v>297</v>
      </c>
      <c r="D208" s="209"/>
      <c r="E208" s="209"/>
      <c r="F208" s="107" t="s">
        <v>46</v>
      </c>
      <c r="G208" s="170">
        <v>0</v>
      </c>
      <c r="H208" s="170">
        <v>0</v>
      </c>
      <c r="I208" s="171" t="str">
        <f t="shared" si="73"/>
        <v>-</v>
      </c>
      <c r="J208" s="170">
        <v>0</v>
      </c>
      <c r="K208" s="170">
        <f t="shared" si="75"/>
        <v>0</v>
      </c>
      <c r="L208" s="141">
        <v>0</v>
      </c>
      <c r="M208" s="83">
        <v>0</v>
      </c>
      <c r="N208" s="81" t="str">
        <f t="shared" si="74"/>
        <v>-</v>
      </c>
      <c r="O208" s="389"/>
    </row>
    <row r="209" spans="1:15" s="15" customFormat="1" ht="11.1" customHeight="1" outlineLevel="1">
      <c r="A209" s="259"/>
      <c r="B209" s="76"/>
      <c r="C209" s="82" t="s">
        <v>298</v>
      </c>
      <c r="D209" s="203"/>
      <c r="E209" s="206"/>
      <c r="F209" s="107"/>
      <c r="G209" s="176"/>
      <c r="H209" s="176"/>
      <c r="I209" s="171"/>
      <c r="J209" s="176"/>
      <c r="K209" s="176"/>
      <c r="L209" s="142"/>
      <c r="M209" s="83"/>
      <c r="N209" s="81"/>
      <c r="O209" s="358"/>
    </row>
    <row r="210" spans="1:15" s="15" customFormat="1" ht="3.95" customHeight="1" outlineLevel="1">
      <c r="A210" s="267"/>
      <c r="B210" s="85"/>
      <c r="C210" s="86"/>
      <c r="D210" s="204"/>
      <c r="E210" s="207"/>
      <c r="F210" s="172"/>
      <c r="G210" s="178"/>
      <c r="H210" s="178"/>
      <c r="I210" s="181"/>
      <c r="J210" s="178"/>
      <c r="K210" s="178"/>
      <c r="L210" s="143"/>
      <c r="M210" s="174"/>
      <c r="N210" s="88"/>
      <c r="O210" s="359"/>
    </row>
    <row r="211" spans="1:15" s="15" customFormat="1" ht="3.95" customHeight="1" outlineLevel="1">
      <c r="A211" s="268"/>
      <c r="B211" s="72"/>
      <c r="C211" s="73"/>
      <c r="D211" s="269"/>
      <c r="E211" s="270"/>
      <c r="F211" s="271"/>
      <c r="G211" s="272"/>
      <c r="H211" s="272"/>
      <c r="I211" s="273"/>
      <c r="J211" s="272"/>
      <c r="K211" s="272"/>
      <c r="L211" s="138"/>
      <c r="M211" s="265"/>
      <c r="N211" s="75"/>
      <c r="O211" s="360"/>
    </row>
    <row r="212" spans="1:15" s="15" customFormat="1" ht="11.1" customHeight="1" outlineLevel="1">
      <c r="A212" s="370" t="s">
        <v>51</v>
      </c>
      <c r="B212" s="76" t="s">
        <v>9</v>
      </c>
      <c r="C212" s="151" t="s">
        <v>57</v>
      </c>
      <c r="D212" s="369" t="s">
        <v>303</v>
      </c>
      <c r="E212" s="369" t="s">
        <v>56</v>
      </c>
      <c r="F212" s="78" t="s">
        <v>221</v>
      </c>
      <c r="G212" s="175">
        <f>SUM(G213:G218)</f>
        <v>712924</v>
      </c>
      <c r="H212" s="175">
        <f>SUM(H213:H218)</f>
        <v>711153</v>
      </c>
      <c r="I212" s="258">
        <f t="shared" si="73"/>
        <v>99.751586424359402</v>
      </c>
      <c r="J212" s="175">
        <f>SUM(J213:J218)</f>
        <v>253782</v>
      </c>
      <c r="K212" s="175">
        <f>SUM(K213:K216)</f>
        <v>7013</v>
      </c>
      <c r="L212" s="175">
        <f>SUM(L213:L216)</f>
        <v>260795</v>
      </c>
      <c r="M212" s="38">
        <f>SUM(M213:M216)</f>
        <v>259020.87</v>
      </c>
      <c r="N212" s="39">
        <f t="shared" si="74"/>
        <v>99.319722387315707</v>
      </c>
      <c r="O212" s="389" t="s">
        <v>235</v>
      </c>
    </row>
    <row r="213" spans="1:15" s="15" customFormat="1" ht="11.1" customHeight="1" outlineLevel="1">
      <c r="A213" s="370"/>
      <c r="B213" s="76" t="s">
        <v>10</v>
      </c>
      <c r="C213" s="151" t="s">
        <v>89</v>
      </c>
      <c r="D213" s="369"/>
      <c r="E213" s="369"/>
      <c r="F213" s="79" t="s">
        <v>15</v>
      </c>
      <c r="G213" s="176">
        <v>0</v>
      </c>
      <c r="H213" s="176">
        <v>0</v>
      </c>
      <c r="I213" s="171" t="str">
        <f t="shared" si="73"/>
        <v>-</v>
      </c>
      <c r="J213" s="176">
        <v>0</v>
      </c>
      <c r="K213" s="170">
        <f t="shared" ref="K213:K218" si="76">L213-J213</f>
        <v>0</v>
      </c>
      <c r="L213" s="142">
        <v>0</v>
      </c>
      <c r="M213" s="80">
        <v>0</v>
      </c>
      <c r="N213" s="81" t="str">
        <f t="shared" si="74"/>
        <v>-</v>
      </c>
      <c r="O213" s="389"/>
    </row>
    <row r="214" spans="1:15" s="15" customFormat="1" ht="11.1" customHeight="1" outlineLevel="1">
      <c r="A214" s="370"/>
      <c r="B214" s="76" t="s">
        <v>11</v>
      </c>
      <c r="C214" s="82" t="s">
        <v>238</v>
      </c>
      <c r="D214" s="369"/>
      <c r="E214" s="369"/>
      <c r="F214" s="79" t="s">
        <v>7</v>
      </c>
      <c r="G214" s="176">
        <v>605985</v>
      </c>
      <c r="H214" s="176">
        <f>ROUNDUP(384311+M214,0)</f>
        <v>604479</v>
      </c>
      <c r="I214" s="171">
        <f t="shared" si="73"/>
        <v>99.751478997004867</v>
      </c>
      <c r="J214" s="176">
        <v>215714</v>
      </c>
      <c r="K214" s="170">
        <f t="shared" si="76"/>
        <v>5961</v>
      </c>
      <c r="L214" s="142">
        <v>221675</v>
      </c>
      <c r="M214" s="83">
        <v>220167.83</v>
      </c>
      <c r="N214" s="81">
        <f t="shared" si="74"/>
        <v>99.320099244389297</v>
      </c>
      <c r="O214" s="389"/>
    </row>
    <row r="215" spans="1:15" s="15" customFormat="1" ht="11.1" customHeight="1" outlineLevel="1">
      <c r="A215" s="120"/>
      <c r="B215" s="76"/>
      <c r="C215" s="82" t="s">
        <v>237</v>
      </c>
      <c r="D215" s="111"/>
      <c r="E215" s="111"/>
      <c r="F215" s="79" t="s">
        <v>8</v>
      </c>
      <c r="G215" s="176">
        <v>0</v>
      </c>
      <c r="H215" s="176">
        <v>0</v>
      </c>
      <c r="I215" s="171" t="str">
        <f t="shared" si="73"/>
        <v>-</v>
      </c>
      <c r="J215" s="176">
        <v>0</v>
      </c>
      <c r="K215" s="170">
        <f t="shared" si="76"/>
        <v>0</v>
      </c>
      <c r="L215" s="142">
        <v>0</v>
      </c>
      <c r="M215" s="83">
        <v>0</v>
      </c>
      <c r="N215" s="81" t="str">
        <f t="shared" si="74"/>
        <v>-</v>
      </c>
      <c r="O215" s="389"/>
    </row>
    <row r="216" spans="1:15" s="15" customFormat="1" ht="11.1" customHeight="1" outlineLevel="1">
      <c r="A216" s="120"/>
      <c r="B216" s="76" t="s">
        <v>12</v>
      </c>
      <c r="C216" s="82" t="s">
        <v>347</v>
      </c>
      <c r="D216" s="111"/>
      <c r="E216" s="111"/>
      <c r="F216" s="79" t="s">
        <v>22</v>
      </c>
      <c r="G216" s="176">
        <v>106939</v>
      </c>
      <c r="H216" s="176">
        <f>ROUNDUP(67820+M216,0)</f>
        <v>106674</v>
      </c>
      <c r="I216" s="171">
        <f t="shared" si="73"/>
        <v>99.752195176689511</v>
      </c>
      <c r="J216" s="176">
        <v>38068</v>
      </c>
      <c r="K216" s="170">
        <f t="shared" si="76"/>
        <v>1052</v>
      </c>
      <c r="L216" s="142">
        <v>39120</v>
      </c>
      <c r="M216" s="83">
        <v>38853.040000000001</v>
      </c>
      <c r="N216" s="81">
        <f t="shared" si="74"/>
        <v>99.317586912065437</v>
      </c>
      <c r="O216" s="389"/>
    </row>
    <row r="217" spans="1:15" s="15" customFormat="1" ht="11.1" customHeight="1" outlineLevel="1">
      <c r="A217" s="120"/>
      <c r="B217" s="76"/>
      <c r="C217" s="82" t="s">
        <v>239</v>
      </c>
      <c r="D217" s="111"/>
      <c r="E217" s="111"/>
      <c r="F217" s="107" t="s">
        <v>45</v>
      </c>
      <c r="G217" s="176">
        <v>0</v>
      </c>
      <c r="H217" s="176">
        <v>0</v>
      </c>
      <c r="I217" s="171" t="str">
        <f t="shared" si="73"/>
        <v>-</v>
      </c>
      <c r="J217" s="176">
        <v>0</v>
      </c>
      <c r="K217" s="170">
        <f t="shared" si="76"/>
        <v>0</v>
      </c>
      <c r="L217" s="142">
        <v>0</v>
      </c>
      <c r="M217" s="80">
        <v>0</v>
      </c>
      <c r="N217" s="81" t="str">
        <f t="shared" si="74"/>
        <v>-</v>
      </c>
      <c r="O217" s="389"/>
    </row>
    <row r="218" spans="1:15" s="15" customFormat="1" ht="11.1" customHeight="1" outlineLevel="1">
      <c r="A218" s="120"/>
      <c r="B218" s="76"/>
      <c r="C218" s="82" t="s">
        <v>348</v>
      </c>
      <c r="D218" s="111"/>
      <c r="E218" s="111"/>
      <c r="F218" s="107" t="s">
        <v>46</v>
      </c>
      <c r="G218" s="176">
        <v>0</v>
      </c>
      <c r="H218" s="176">
        <v>0</v>
      </c>
      <c r="I218" s="171" t="str">
        <f t="shared" si="73"/>
        <v>-</v>
      </c>
      <c r="J218" s="176">
        <v>0</v>
      </c>
      <c r="K218" s="170">
        <f t="shared" si="76"/>
        <v>0</v>
      </c>
      <c r="L218" s="142">
        <v>0</v>
      </c>
      <c r="M218" s="80">
        <v>0</v>
      </c>
      <c r="N218" s="81" t="str">
        <f t="shared" si="74"/>
        <v>-</v>
      </c>
      <c r="O218" s="389"/>
    </row>
    <row r="219" spans="1:15" s="15" customFormat="1" ht="11.1" customHeight="1" outlineLevel="1">
      <c r="A219" s="213"/>
      <c r="B219" s="76" t="s">
        <v>23</v>
      </c>
      <c r="C219" s="82" t="s">
        <v>299</v>
      </c>
      <c r="D219" s="90"/>
      <c r="E219" s="90"/>
      <c r="F219" s="107"/>
      <c r="G219" s="176"/>
      <c r="H219" s="176"/>
      <c r="I219" s="171"/>
      <c r="J219" s="176"/>
      <c r="K219" s="176"/>
      <c r="L219" s="142"/>
      <c r="M219" s="80"/>
      <c r="N219" s="81"/>
      <c r="O219" s="358"/>
    </row>
    <row r="220" spans="1:15" s="15" customFormat="1" ht="11.1" customHeight="1" outlineLevel="1">
      <c r="A220" s="213"/>
      <c r="B220" s="76"/>
      <c r="C220" s="82" t="s">
        <v>300</v>
      </c>
      <c r="D220" s="90"/>
      <c r="E220" s="90"/>
      <c r="F220" s="169"/>
      <c r="G220" s="176"/>
      <c r="H220" s="176"/>
      <c r="I220" s="171"/>
      <c r="J220" s="176"/>
      <c r="K220" s="176"/>
      <c r="L220" s="142"/>
      <c r="M220" s="80"/>
      <c r="N220" s="81"/>
      <c r="O220" s="358"/>
    </row>
    <row r="221" spans="1:15" s="15" customFormat="1" ht="11.1" customHeight="1" outlineLevel="1">
      <c r="A221" s="213"/>
      <c r="B221" s="76"/>
      <c r="C221" s="82" t="s">
        <v>301</v>
      </c>
      <c r="D221" s="90"/>
      <c r="E221" s="90"/>
      <c r="F221" s="169"/>
      <c r="G221" s="176"/>
      <c r="H221" s="176"/>
      <c r="I221" s="171"/>
      <c r="J221" s="176"/>
      <c r="K221" s="176"/>
      <c r="L221" s="142"/>
      <c r="M221" s="80"/>
      <c r="N221" s="81"/>
      <c r="O221" s="358"/>
    </row>
    <row r="222" spans="1:15" s="15" customFormat="1" ht="11.1" customHeight="1" outlineLevel="1">
      <c r="A222" s="213"/>
      <c r="B222" s="76"/>
      <c r="C222" s="82" t="s">
        <v>302</v>
      </c>
      <c r="D222" s="90"/>
      <c r="E222" s="90"/>
      <c r="F222" s="169"/>
      <c r="G222" s="176"/>
      <c r="H222" s="176"/>
      <c r="I222" s="171"/>
      <c r="J222" s="176"/>
      <c r="K222" s="176"/>
      <c r="L222" s="142"/>
      <c r="M222" s="80"/>
      <c r="N222" s="81"/>
      <c r="O222" s="358"/>
    </row>
    <row r="223" spans="1:15" s="15" customFormat="1" ht="3.95" customHeight="1" outlineLevel="1">
      <c r="A223" s="162"/>
      <c r="B223" s="85"/>
      <c r="C223" s="86"/>
      <c r="D223" s="202"/>
      <c r="E223" s="202"/>
      <c r="F223" s="172"/>
      <c r="G223" s="178"/>
      <c r="H223" s="178"/>
      <c r="I223" s="181"/>
      <c r="J223" s="178"/>
      <c r="K223" s="178"/>
      <c r="L223" s="143"/>
      <c r="M223" s="168"/>
      <c r="N223" s="88"/>
      <c r="O223" s="359"/>
    </row>
    <row r="224" spans="1:15" s="15" customFormat="1" ht="3.95" customHeight="1" outlineLevel="1">
      <c r="A224" s="212"/>
      <c r="B224" s="72"/>
      <c r="C224" s="73"/>
      <c r="D224" s="201"/>
      <c r="E224" s="201"/>
      <c r="F224" s="271"/>
      <c r="G224" s="272"/>
      <c r="H224" s="272"/>
      <c r="I224" s="273"/>
      <c r="J224" s="272"/>
      <c r="K224" s="272"/>
      <c r="L224" s="138"/>
      <c r="M224" s="159"/>
      <c r="N224" s="75"/>
      <c r="O224" s="360"/>
    </row>
    <row r="225" spans="1:15" s="15" customFormat="1" ht="11.1" customHeight="1" outlineLevel="1">
      <c r="A225" s="370" t="s">
        <v>62</v>
      </c>
      <c r="B225" s="76" t="s">
        <v>9</v>
      </c>
      <c r="C225" s="151" t="s">
        <v>57</v>
      </c>
      <c r="D225" s="369" t="s">
        <v>54</v>
      </c>
      <c r="E225" s="369" t="s">
        <v>56</v>
      </c>
      <c r="F225" s="78" t="s">
        <v>221</v>
      </c>
      <c r="G225" s="175">
        <f>SUM(G226:G231)</f>
        <v>320885</v>
      </c>
      <c r="H225" s="175">
        <f>SUM(H226:H231)</f>
        <v>317896</v>
      </c>
      <c r="I225" s="258">
        <f t="shared" si="73"/>
        <v>99.068513641958958</v>
      </c>
      <c r="J225" s="175">
        <f>SUM(J226:J231)</f>
        <v>41461</v>
      </c>
      <c r="K225" s="175">
        <f>SUM(K226:K229)</f>
        <v>9534</v>
      </c>
      <c r="L225" s="175">
        <f>SUM(L226:L229)</f>
        <v>50995</v>
      </c>
      <c r="M225" s="38">
        <f>SUM(M226:M229)</f>
        <v>48004.1</v>
      </c>
      <c r="N225" s="39">
        <f t="shared" si="74"/>
        <v>94.134915187763497</v>
      </c>
      <c r="O225" s="389" t="s">
        <v>235</v>
      </c>
    </row>
    <row r="226" spans="1:15" s="15" customFormat="1" ht="11.1" customHeight="1" outlineLevel="1">
      <c r="A226" s="370"/>
      <c r="B226" s="76" t="s">
        <v>10</v>
      </c>
      <c r="C226" s="151" t="s">
        <v>89</v>
      </c>
      <c r="D226" s="369"/>
      <c r="E226" s="369"/>
      <c r="F226" s="79" t="s">
        <v>15</v>
      </c>
      <c r="G226" s="176">
        <v>0</v>
      </c>
      <c r="H226" s="176">
        <v>0</v>
      </c>
      <c r="I226" s="171" t="str">
        <f t="shared" si="73"/>
        <v>-</v>
      </c>
      <c r="J226" s="176">
        <v>0</v>
      </c>
      <c r="K226" s="170">
        <f t="shared" ref="K226:K231" si="77">L226-J226</f>
        <v>0</v>
      </c>
      <c r="L226" s="142">
        <v>0</v>
      </c>
      <c r="M226" s="80">
        <v>0</v>
      </c>
      <c r="N226" s="81" t="str">
        <f t="shared" si="74"/>
        <v>-</v>
      </c>
      <c r="O226" s="392"/>
    </row>
    <row r="227" spans="1:15" s="15" customFormat="1" ht="11.1" customHeight="1" outlineLevel="1">
      <c r="A227" s="370"/>
      <c r="B227" s="76" t="s">
        <v>11</v>
      </c>
      <c r="C227" s="82" t="s">
        <v>238</v>
      </c>
      <c r="D227" s="369"/>
      <c r="E227" s="369"/>
      <c r="F227" s="79" t="s">
        <v>7</v>
      </c>
      <c r="G227" s="176">
        <v>272760</v>
      </c>
      <c r="H227" s="176">
        <f>ROUNDUP(229407+M227,0)</f>
        <v>270211</v>
      </c>
      <c r="I227" s="171">
        <f t="shared" si="73"/>
        <v>99.065478809209566</v>
      </c>
      <c r="J227" s="176">
        <v>35242</v>
      </c>
      <c r="K227" s="170">
        <f t="shared" si="77"/>
        <v>8111</v>
      </c>
      <c r="L227" s="142">
        <v>43353</v>
      </c>
      <c r="M227" s="83">
        <v>40803.5</v>
      </c>
      <c r="N227" s="81">
        <f t="shared" si="74"/>
        <v>94.119207436624919</v>
      </c>
      <c r="O227" s="392"/>
    </row>
    <row r="228" spans="1:15" s="15" customFormat="1" ht="11.1" customHeight="1" outlineLevel="1">
      <c r="A228" s="120"/>
      <c r="B228" s="76"/>
      <c r="C228" s="82" t="s">
        <v>237</v>
      </c>
      <c r="D228" s="111"/>
      <c r="E228" s="111"/>
      <c r="F228" s="79" t="s">
        <v>8</v>
      </c>
      <c r="G228" s="176">
        <v>0</v>
      </c>
      <c r="H228" s="176">
        <v>0</v>
      </c>
      <c r="I228" s="171" t="str">
        <f t="shared" si="73"/>
        <v>-</v>
      </c>
      <c r="J228" s="176">
        <v>0</v>
      </c>
      <c r="K228" s="170">
        <f t="shared" si="77"/>
        <v>0</v>
      </c>
      <c r="L228" s="142">
        <v>0</v>
      </c>
      <c r="M228" s="83">
        <v>0</v>
      </c>
      <c r="N228" s="81" t="str">
        <f t="shared" si="74"/>
        <v>-</v>
      </c>
      <c r="O228" s="392"/>
    </row>
    <row r="229" spans="1:15" s="15" customFormat="1" ht="11.1" customHeight="1" outlineLevel="1">
      <c r="A229" s="120"/>
      <c r="B229" s="76" t="s">
        <v>12</v>
      </c>
      <c r="C229" s="82" t="s">
        <v>349</v>
      </c>
      <c r="D229" s="111"/>
      <c r="E229" s="111"/>
      <c r="F229" s="79" t="s">
        <v>22</v>
      </c>
      <c r="G229" s="176">
        <v>48125</v>
      </c>
      <c r="H229" s="176">
        <f>ROUNDUP(40484+M229,0)</f>
        <v>47685</v>
      </c>
      <c r="I229" s="171">
        <f t="shared" si="73"/>
        <v>99.085714285714289</v>
      </c>
      <c r="J229" s="176">
        <v>6219</v>
      </c>
      <c r="K229" s="170">
        <f t="shared" si="77"/>
        <v>1423</v>
      </c>
      <c r="L229" s="142">
        <v>7642</v>
      </c>
      <c r="M229" s="83">
        <v>7200.6</v>
      </c>
      <c r="N229" s="81">
        <f t="shared" si="74"/>
        <v>94.224025124313016</v>
      </c>
      <c r="O229" s="392"/>
    </row>
    <row r="230" spans="1:15" s="15" customFormat="1" ht="11.1" customHeight="1" outlineLevel="1">
      <c r="A230" s="120"/>
      <c r="B230" s="76"/>
      <c r="C230" s="82" t="s">
        <v>240</v>
      </c>
      <c r="D230" s="111"/>
      <c r="E230" s="111"/>
      <c r="F230" s="107" t="s">
        <v>45</v>
      </c>
      <c r="G230" s="176">
        <v>0</v>
      </c>
      <c r="H230" s="176">
        <v>0</v>
      </c>
      <c r="I230" s="177" t="str">
        <f t="shared" si="73"/>
        <v>-</v>
      </c>
      <c r="J230" s="176">
        <v>0</v>
      </c>
      <c r="K230" s="170">
        <f t="shared" si="77"/>
        <v>0</v>
      </c>
      <c r="L230" s="142">
        <v>0</v>
      </c>
      <c r="M230" s="83">
        <v>0</v>
      </c>
      <c r="N230" s="81" t="str">
        <f t="shared" si="74"/>
        <v>-</v>
      </c>
      <c r="O230" s="392"/>
    </row>
    <row r="231" spans="1:15" s="15" customFormat="1" ht="11.1" customHeight="1" outlineLevel="1">
      <c r="A231" s="120"/>
      <c r="B231" s="76"/>
      <c r="C231" s="82" t="s">
        <v>350</v>
      </c>
      <c r="D231" s="111"/>
      <c r="E231" s="111"/>
      <c r="F231" s="107" t="s">
        <v>46</v>
      </c>
      <c r="G231" s="176">
        <v>0</v>
      </c>
      <c r="H231" s="176">
        <v>0</v>
      </c>
      <c r="I231" s="177" t="str">
        <f t="shared" si="73"/>
        <v>-</v>
      </c>
      <c r="J231" s="176">
        <v>0</v>
      </c>
      <c r="K231" s="170">
        <f t="shared" si="77"/>
        <v>0</v>
      </c>
      <c r="L231" s="142">
        <v>0</v>
      </c>
      <c r="M231" s="80">
        <v>0</v>
      </c>
      <c r="N231" s="81" t="str">
        <f t="shared" si="74"/>
        <v>-</v>
      </c>
      <c r="O231" s="392"/>
    </row>
    <row r="232" spans="1:15" s="15" customFormat="1" ht="11.1" customHeight="1" outlineLevel="1">
      <c r="A232" s="213"/>
      <c r="B232" s="76" t="s">
        <v>23</v>
      </c>
      <c r="C232" s="82" t="s">
        <v>304</v>
      </c>
      <c r="D232" s="90"/>
      <c r="E232" s="90"/>
      <c r="F232" s="107"/>
      <c r="G232" s="176"/>
      <c r="H232" s="176"/>
      <c r="I232" s="177"/>
      <c r="J232" s="176"/>
      <c r="K232" s="176"/>
      <c r="L232" s="142"/>
      <c r="M232" s="80"/>
      <c r="N232" s="81"/>
      <c r="O232" s="361"/>
    </row>
    <row r="233" spans="1:15" s="15" customFormat="1" ht="11.1" customHeight="1" outlineLevel="1">
      <c r="A233" s="213"/>
      <c r="B233" s="76"/>
      <c r="C233" s="82" t="s">
        <v>305</v>
      </c>
      <c r="D233" s="90"/>
      <c r="E233" s="90"/>
      <c r="F233" s="107"/>
      <c r="G233" s="176"/>
      <c r="H233" s="176"/>
      <c r="I233" s="177"/>
      <c r="J233" s="176"/>
      <c r="K233" s="176"/>
      <c r="L233" s="142"/>
      <c r="M233" s="80"/>
      <c r="N233" s="81"/>
      <c r="O233" s="361"/>
    </row>
    <row r="234" spans="1:15" s="15" customFormat="1" ht="11.1" customHeight="1" outlineLevel="1">
      <c r="A234" s="213"/>
      <c r="B234" s="76"/>
      <c r="C234" s="82" t="s">
        <v>306</v>
      </c>
      <c r="D234" s="90"/>
      <c r="E234" s="90"/>
      <c r="F234" s="107"/>
      <c r="G234" s="176"/>
      <c r="H234" s="176"/>
      <c r="I234" s="177"/>
      <c r="J234" s="176"/>
      <c r="K234" s="176"/>
      <c r="L234" s="142"/>
      <c r="M234" s="80"/>
      <c r="N234" s="81"/>
      <c r="O234" s="361"/>
    </row>
    <row r="235" spans="1:15" s="15" customFormat="1" ht="11.1" customHeight="1" outlineLevel="1">
      <c r="A235" s="213"/>
      <c r="B235" s="76"/>
      <c r="C235" s="82" t="s">
        <v>307</v>
      </c>
      <c r="D235" s="90"/>
      <c r="E235" s="90"/>
      <c r="F235" s="107"/>
      <c r="G235" s="176"/>
      <c r="H235" s="176"/>
      <c r="I235" s="177"/>
      <c r="J235" s="176"/>
      <c r="K235" s="176"/>
      <c r="L235" s="142"/>
      <c r="M235" s="80"/>
      <c r="N235" s="81"/>
      <c r="O235" s="361"/>
    </row>
    <row r="236" spans="1:15" s="15" customFormat="1" ht="11.1" customHeight="1" outlineLevel="1">
      <c r="A236" s="213"/>
      <c r="B236" s="76"/>
      <c r="C236" s="82" t="s">
        <v>308</v>
      </c>
      <c r="D236" s="90"/>
      <c r="E236" s="90"/>
      <c r="F236" s="107"/>
      <c r="G236" s="176"/>
      <c r="H236" s="176"/>
      <c r="I236" s="177"/>
      <c r="J236" s="176"/>
      <c r="K236" s="176"/>
      <c r="L236" s="142"/>
      <c r="M236" s="80"/>
      <c r="N236" s="81"/>
      <c r="O236" s="361"/>
    </row>
    <row r="237" spans="1:15" s="15" customFormat="1" ht="3.95" customHeight="1" outlineLevel="1">
      <c r="A237" s="162"/>
      <c r="B237" s="85"/>
      <c r="C237" s="86"/>
      <c r="D237" s="202"/>
      <c r="E237" s="202"/>
      <c r="F237" s="243"/>
      <c r="G237" s="178"/>
      <c r="H237" s="178"/>
      <c r="I237" s="186"/>
      <c r="J237" s="178"/>
      <c r="K237" s="178"/>
      <c r="L237" s="143"/>
      <c r="M237" s="168"/>
      <c r="N237" s="88"/>
      <c r="O237" s="359"/>
    </row>
    <row r="238" spans="1:15" s="15" customFormat="1" ht="3.95" customHeight="1" outlineLevel="1">
      <c r="A238" s="212"/>
      <c r="B238" s="72"/>
      <c r="C238" s="73"/>
      <c r="D238" s="201"/>
      <c r="E238" s="201"/>
      <c r="F238" s="274"/>
      <c r="G238" s="272"/>
      <c r="H238" s="272"/>
      <c r="I238" s="275"/>
      <c r="J238" s="272"/>
      <c r="K238" s="272"/>
      <c r="L238" s="138"/>
      <c r="M238" s="159"/>
      <c r="N238" s="75"/>
      <c r="O238" s="360"/>
    </row>
    <row r="239" spans="1:15" s="15" customFormat="1" ht="11.1" customHeight="1" outlineLevel="1">
      <c r="A239" s="369" t="s">
        <v>66</v>
      </c>
      <c r="B239" s="76" t="s">
        <v>9</v>
      </c>
      <c r="C239" s="151" t="s">
        <v>57</v>
      </c>
      <c r="D239" s="369" t="s">
        <v>54</v>
      </c>
      <c r="E239" s="369" t="s">
        <v>56</v>
      </c>
      <c r="F239" s="78" t="s">
        <v>221</v>
      </c>
      <c r="G239" s="175">
        <f>SUM(G240:G245)</f>
        <v>339943</v>
      </c>
      <c r="H239" s="175">
        <f>SUM(H240:H245)</f>
        <v>336822</v>
      </c>
      <c r="I239" s="258">
        <f t="shared" si="73"/>
        <v>99.081904907587443</v>
      </c>
      <c r="J239" s="175">
        <f>SUM(J240:J245)</f>
        <v>173164</v>
      </c>
      <c r="K239" s="175">
        <f>SUM(K240:K245)</f>
        <v>5170</v>
      </c>
      <c r="L239" s="175">
        <f>SUM(L240:L245)</f>
        <v>178334</v>
      </c>
      <c r="M239" s="38">
        <f>SUM(M240:M245)</f>
        <v>175210.88</v>
      </c>
      <c r="N239" s="39">
        <f t="shared" si="74"/>
        <v>98.248724303834379</v>
      </c>
      <c r="O239" s="389" t="s">
        <v>235</v>
      </c>
    </row>
    <row r="240" spans="1:15" s="15" customFormat="1" ht="11.1" customHeight="1" outlineLevel="1">
      <c r="A240" s="369"/>
      <c r="B240" s="76" t="s">
        <v>10</v>
      </c>
      <c r="C240" s="82" t="s">
        <v>89</v>
      </c>
      <c r="D240" s="369"/>
      <c r="E240" s="369"/>
      <c r="F240" s="79" t="s">
        <v>15</v>
      </c>
      <c r="G240" s="176">
        <v>0</v>
      </c>
      <c r="H240" s="176">
        <v>0</v>
      </c>
      <c r="I240" s="171" t="str">
        <f t="shared" si="73"/>
        <v>-</v>
      </c>
      <c r="J240" s="176">
        <v>0</v>
      </c>
      <c r="K240" s="170">
        <f t="shared" ref="K240:K245" si="78">L240-J240</f>
        <v>0</v>
      </c>
      <c r="L240" s="142">
        <v>0</v>
      </c>
      <c r="M240" s="83">
        <v>0</v>
      </c>
      <c r="N240" s="81" t="str">
        <f t="shared" si="74"/>
        <v>-</v>
      </c>
      <c r="O240" s="392"/>
    </row>
    <row r="241" spans="1:15" s="15" customFormat="1" ht="11.1" customHeight="1" outlineLevel="1">
      <c r="A241" s="369"/>
      <c r="B241" s="76" t="s">
        <v>11</v>
      </c>
      <c r="C241" s="82" t="s">
        <v>238</v>
      </c>
      <c r="D241" s="369"/>
      <c r="E241" s="369"/>
      <c r="F241" s="79" t="s">
        <v>7</v>
      </c>
      <c r="G241" s="176">
        <v>288951</v>
      </c>
      <c r="H241" s="176">
        <f>ROUNDUP(137368+M241,0)</f>
        <v>286298</v>
      </c>
      <c r="I241" s="171">
        <f t="shared" si="73"/>
        <v>99.081851248135493</v>
      </c>
      <c r="J241" s="176">
        <v>147189</v>
      </c>
      <c r="K241" s="170">
        <f t="shared" si="78"/>
        <v>4394</v>
      </c>
      <c r="L241" s="142">
        <v>151583</v>
      </c>
      <c r="M241" s="83">
        <v>148929.25</v>
      </c>
      <c r="N241" s="81">
        <f t="shared" si="74"/>
        <v>98.249308959447959</v>
      </c>
      <c r="O241" s="392"/>
    </row>
    <row r="242" spans="1:15" s="15" customFormat="1" ht="11.1" customHeight="1" outlineLevel="1">
      <c r="A242" s="111"/>
      <c r="B242" s="76"/>
      <c r="C242" s="82" t="s">
        <v>237</v>
      </c>
      <c r="D242" s="111"/>
      <c r="E242" s="111"/>
      <c r="F242" s="79" t="s">
        <v>8</v>
      </c>
      <c r="G242" s="176">
        <v>0</v>
      </c>
      <c r="H242" s="176">
        <v>0</v>
      </c>
      <c r="I242" s="171" t="str">
        <f t="shared" si="73"/>
        <v>-</v>
      </c>
      <c r="J242" s="176">
        <v>0</v>
      </c>
      <c r="K242" s="170">
        <f t="shared" si="78"/>
        <v>0</v>
      </c>
      <c r="L242" s="142">
        <v>0</v>
      </c>
      <c r="M242" s="83">
        <v>0</v>
      </c>
      <c r="N242" s="81" t="str">
        <f t="shared" si="74"/>
        <v>-</v>
      </c>
      <c r="O242" s="392"/>
    </row>
    <row r="243" spans="1:15" s="15" customFormat="1" ht="11.1" customHeight="1" outlineLevel="1">
      <c r="A243" s="111"/>
      <c r="B243" s="76" t="s">
        <v>12</v>
      </c>
      <c r="C243" s="82" t="s">
        <v>516</v>
      </c>
      <c r="D243" s="111"/>
      <c r="E243" s="111"/>
      <c r="F243" s="79" t="s">
        <v>22</v>
      </c>
      <c r="G243" s="176">
        <v>50992</v>
      </c>
      <c r="H243" s="176">
        <f>ROUNDUP(24242+M243,0)</f>
        <v>50524</v>
      </c>
      <c r="I243" s="171">
        <f t="shared" si="73"/>
        <v>99.082208973956696</v>
      </c>
      <c r="J243" s="176">
        <v>25975</v>
      </c>
      <c r="K243" s="170">
        <f t="shared" si="78"/>
        <v>776</v>
      </c>
      <c r="L243" s="142">
        <v>26751</v>
      </c>
      <c r="M243" s="83">
        <v>26281.63</v>
      </c>
      <c r="N243" s="81">
        <f t="shared" si="74"/>
        <v>98.245411386490233</v>
      </c>
      <c r="O243" s="392"/>
    </row>
    <row r="244" spans="1:15" s="15" customFormat="1" ht="11.1" customHeight="1" outlineLevel="1">
      <c r="A244" s="111"/>
      <c r="B244" s="76" t="s">
        <v>23</v>
      </c>
      <c r="C244" s="82" t="s">
        <v>309</v>
      </c>
      <c r="D244" s="111"/>
      <c r="E244" s="111"/>
      <c r="F244" s="107" t="s">
        <v>45</v>
      </c>
      <c r="G244" s="176">
        <v>0</v>
      </c>
      <c r="H244" s="176">
        <v>0</v>
      </c>
      <c r="I244" s="177" t="str">
        <f t="shared" si="73"/>
        <v>-</v>
      </c>
      <c r="J244" s="176">
        <v>0</v>
      </c>
      <c r="K244" s="170">
        <f t="shared" si="78"/>
        <v>0</v>
      </c>
      <c r="L244" s="142">
        <v>0</v>
      </c>
      <c r="M244" s="83">
        <v>0</v>
      </c>
      <c r="N244" s="81" t="str">
        <f>IF(L244&gt;0,M244/L244*100,"-")</f>
        <v>-</v>
      </c>
      <c r="O244" s="392"/>
    </row>
    <row r="245" spans="1:15" s="15" customFormat="1" ht="11.1" customHeight="1" outlineLevel="1">
      <c r="A245" s="111"/>
      <c r="B245" s="76"/>
      <c r="C245" s="82" t="s">
        <v>310</v>
      </c>
      <c r="D245" s="111"/>
      <c r="E245" s="111"/>
      <c r="F245" s="107" t="s">
        <v>46</v>
      </c>
      <c r="G245" s="176">
        <v>0</v>
      </c>
      <c r="H245" s="176">
        <v>0</v>
      </c>
      <c r="I245" s="177" t="str">
        <f t="shared" si="73"/>
        <v>-</v>
      </c>
      <c r="J245" s="176">
        <v>0</v>
      </c>
      <c r="K245" s="170">
        <f t="shared" si="78"/>
        <v>0</v>
      </c>
      <c r="L245" s="142">
        <v>0</v>
      </c>
      <c r="M245" s="83">
        <v>0</v>
      </c>
      <c r="N245" s="81" t="str">
        <f>IF(L245&gt;0,M245/L245*100,"-")</f>
        <v>-</v>
      </c>
      <c r="O245" s="392"/>
    </row>
    <row r="246" spans="1:15" s="15" customFormat="1" ht="3.95" customHeight="1" outlineLevel="1">
      <c r="A246" s="205"/>
      <c r="B246" s="76"/>
      <c r="C246" s="82"/>
      <c r="D246" s="90"/>
      <c r="E246" s="90"/>
      <c r="F246" s="107"/>
      <c r="G246" s="176"/>
      <c r="H246" s="176"/>
      <c r="I246" s="177"/>
      <c r="J246" s="176"/>
      <c r="K246" s="176"/>
      <c r="L246" s="142"/>
      <c r="M246" s="83"/>
      <c r="N246" s="81"/>
      <c r="O246" s="361"/>
    </row>
    <row r="247" spans="1:15" s="15" customFormat="1" ht="3.95" customHeight="1" outlineLevel="1">
      <c r="A247" s="233"/>
      <c r="B247" s="72"/>
      <c r="C247" s="73"/>
      <c r="D247" s="201"/>
      <c r="E247" s="201"/>
      <c r="F247" s="274"/>
      <c r="G247" s="272"/>
      <c r="H247" s="272"/>
      <c r="I247" s="275"/>
      <c r="J247" s="272"/>
      <c r="K247" s="272"/>
      <c r="L247" s="138"/>
      <c r="M247" s="265"/>
      <c r="N247" s="75"/>
      <c r="O247" s="360"/>
    </row>
    <row r="248" spans="1:15" s="15" customFormat="1" ht="11.1" customHeight="1" outlineLevel="1">
      <c r="A248" s="370" t="s">
        <v>91</v>
      </c>
      <c r="B248" s="76" t="s">
        <v>9</v>
      </c>
      <c r="C248" s="151" t="s">
        <v>57</v>
      </c>
      <c r="D248" s="369" t="s">
        <v>54</v>
      </c>
      <c r="E248" s="369" t="s">
        <v>56</v>
      </c>
      <c r="F248" s="78" t="s">
        <v>221</v>
      </c>
      <c r="G248" s="175">
        <f>SUM(G249:G254)</f>
        <v>379211</v>
      </c>
      <c r="H248" s="175">
        <f>SUM(H249:H254)</f>
        <v>370791</v>
      </c>
      <c r="I248" s="39">
        <f t="shared" si="73"/>
        <v>97.779600275308468</v>
      </c>
      <c r="J248" s="175">
        <f>SUM(J249:J254)</f>
        <v>142810</v>
      </c>
      <c r="K248" s="175">
        <f>SUM(K249:K254)</f>
        <v>14000</v>
      </c>
      <c r="L248" s="175">
        <f>SUM(L249:L254)</f>
        <v>156810</v>
      </c>
      <c r="M248" s="38">
        <f>SUM(M249:M254)</f>
        <v>148389.08000000002</v>
      </c>
      <c r="N248" s="39">
        <f t="shared" si="74"/>
        <v>94.629857789681793</v>
      </c>
      <c r="O248" s="389" t="s">
        <v>235</v>
      </c>
    </row>
    <row r="249" spans="1:15" s="15" customFormat="1" ht="11.1" customHeight="1" outlineLevel="1">
      <c r="A249" s="370"/>
      <c r="B249" s="76" t="s">
        <v>10</v>
      </c>
      <c r="C249" s="151" t="s">
        <v>89</v>
      </c>
      <c r="D249" s="369"/>
      <c r="E249" s="369"/>
      <c r="F249" s="79" t="s">
        <v>15</v>
      </c>
      <c r="G249" s="176">
        <v>10500</v>
      </c>
      <c r="H249" s="176">
        <f>ROUNDUP(8500+M249,0)</f>
        <v>10500</v>
      </c>
      <c r="I249" s="81">
        <f t="shared" si="73"/>
        <v>100</v>
      </c>
      <c r="J249" s="176">
        <v>2000</v>
      </c>
      <c r="K249" s="170">
        <f t="shared" ref="K249:K254" si="79">L249-J249</f>
        <v>0</v>
      </c>
      <c r="L249" s="142">
        <v>2000</v>
      </c>
      <c r="M249" s="80">
        <v>2000</v>
      </c>
      <c r="N249" s="81">
        <f t="shared" si="74"/>
        <v>100</v>
      </c>
      <c r="O249" s="392"/>
    </row>
    <row r="250" spans="1:15" s="15" customFormat="1" ht="11.1" customHeight="1" outlineLevel="1">
      <c r="A250" s="370"/>
      <c r="B250" s="76" t="s">
        <v>11</v>
      </c>
      <c r="C250" s="82" t="s">
        <v>93</v>
      </c>
      <c r="D250" s="369"/>
      <c r="E250" s="369"/>
      <c r="F250" s="79" t="s">
        <v>7</v>
      </c>
      <c r="G250" s="176">
        <v>367523</v>
      </c>
      <c r="H250" s="176">
        <f>ROUNDUP(213212+M250,0)</f>
        <v>359130</v>
      </c>
      <c r="I250" s="81">
        <f t="shared" si="73"/>
        <v>97.71633339954235</v>
      </c>
      <c r="J250" s="176">
        <v>140357</v>
      </c>
      <c r="K250" s="170">
        <f t="shared" si="79"/>
        <v>13954</v>
      </c>
      <c r="L250" s="142">
        <v>154311</v>
      </c>
      <c r="M250" s="83">
        <v>145917.82</v>
      </c>
      <c r="N250" s="81">
        <f t="shared" si="74"/>
        <v>94.560867339334209</v>
      </c>
      <c r="O250" s="392"/>
    </row>
    <row r="251" spans="1:15" s="15" customFormat="1" ht="11.1" customHeight="1" outlineLevel="1">
      <c r="A251" s="244"/>
      <c r="B251" s="76" t="s">
        <v>12</v>
      </c>
      <c r="C251" s="82" t="s">
        <v>356</v>
      </c>
      <c r="D251" s="111"/>
      <c r="E251" s="111"/>
      <c r="F251" s="79" t="s">
        <v>8</v>
      </c>
      <c r="G251" s="176">
        <v>0</v>
      </c>
      <c r="H251" s="176">
        <v>0</v>
      </c>
      <c r="I251" s="81" t="str">
        <f t="shared" si="73"/>
        <v>-</v>
      </c>
      <c r="J251" s="176">
        <v>0</v>
      </c>
      <c r="K251" s="170">
        <f t="shared" si="79"/>
        <v>0</v>
      </c>
      <c r="L251" s="142">
        <v>0</v>
      </c>
      <c r="M251" s="83">
        <v>0</v>
      </c>
      <c r="N251" s="81" t="str">
        <f t="shared" si="74"/>
        <v>-</v>
      </c>
      <c r="O251" s="392"/>
    </row>
    <row r="252" spans="1:15" s="15" customFormat="1" ht="11.1" customHeight="1" outlineLevel="1">
      <c r="A252" s="244"/>
      <c r="B252" s="76"/>
      <c r="C252" s="82" t="s">
        <v>357</v>
      </c>
      <c r="D252" s="111"/>
      <c r="E252" s="111"/>
      <c r="F252" s="79" t="s">
        <v>22</v>
      </c>
      <c r="G252" s="176">
        <v>1188</v>
      </c>
      <c r="H252" s="176">
        <f>ROUNDUP(689+M252,0)</f>
        <v>1161</v>
      </c>
      <c r="I252" s="81">
        <f t="shared" si="73"/>
        <v>97.727272727272734</v>
      </c>
      <c r="J252" s="176">
        <v>453</v>
      </c>
      <c r="K252" s="170">
        <f t="shared" si="79"/>
        <v>46</v>
      </c>
      <c r="L252" s="142">
        <v>499</v>
      </c>
      <c r="M252" s="83">
        <v>471.26</v>
      </c>
      <c r="N252" s="81">
        <f>IF(L252&gt;0,M252/L252*100,"-")</f>
        <v>94.440881763527045</v>
      </c>
      <c r="O252" s="392"/>
    </row>
    <row r="253" spans="1:15" s="15" customFormat="1" ht="11.1" customHeight="1" outlineLevel="1">
      <c r="A253" s="244"/>
      <c r="B253" s="76" t="s">
        <v>23</v>
      </c>
      <c r="C253" s="82" t="s">
        <v>311</v>
      </c>
      <c r="D253" s="111"/>
      <c r="E253" s="111"/>
      <c r="F253" s="107" t="s">
        <v>45</v>
      </c>
      <c r="G253" s="176">
        <v>0</v>
      </c>
      <c r="H253" s="176">
        <v>0</v>
      </c>
      <c r="I253" s="177" t="str">
        <f t="shared" si="73"/>
        <v>-</v>
      </c>
      <c r="J253" s="176">
        <v>0</v>
      </c>
      <c r="K253" s="170">
        <f t="shared" si="79"/>
        <v>0</v>
      </c>
      <c r="L253" s="142">
        <v>0</v>
      </c>
      <c r="M253" s="83">
        <v>0</v>
      </c>
      <c r="N253" s="81" t="str">
        <f>IF(L253&gt;0,M253/L253*100,"-")</f>
        <v>-</v>
      </c>
      <c r="O253" s="392"/>
    </row>
    <row r="254" spans="1:15" s="15" customFormat="1" ht="11.1" customHeight="1" outlineLevel="1">
      <c r="A254" s="244"/>
      <c r="B254" s="76"/>
      <c r="C254" s="82" t="s">
        <v>312</v>
      </c>
      <c r="D254" s="111"/>
      <c r="E254" s="111"/>
      <c r="F254" s="107" t="s">
        <v>46</v>
      </c>
      <c r="G254" s="176">
        <v>0</v>
      </c>
      <c r="H254" s="176">
        <v>0</v>
      </c>
      <c r="I254" s="177" t="str">
        <f t="shared" si="73"/>
        <v>-</v>
      </c>
      <c r="J254" s="176">
        <v>0</v>
      </c>
      <c r="K254" s="170">
        <f t="shared" si="79"/>
        <v>0</v>
      </c>
      <c r="L254" s="142">
        <v>0</v>
      </c>
      <c r="M254" s="83">
        <v>0</v>
      </c>
      <c r="N254" s="81" t="str">
        <f>IF(L254&gt;0,M254/L254*100,"-")</f>
        <v>-</v>
      </c>
      <c r="O254" s="392"/>
    </row>
    <row r="255" spans="1:15" s="15" customFormat="1" ht="11.1" customHeight="1" outlineLevel="1">
      <c r="A255" s="259"/>
      <c r="B255" s="76"/>
      <c r="C255" s="82" t="s">
        <v>313</v>
      </c>
      <c r="D255" s="90"/>
      <c r="E255" s="90"/>
      <c r="F255" s="107"/>
      <c r="G255" s="176"/>
      <c r="H255" s="176"/>
      <c r="I255" s="177"/>
      <c r="J255" s="176"/>
      <c r="K255" s="176"/>
      <c r="L255" s="142"/>
      <c r="M255" s="83"/>
      <c r="N255" s="81"/>
      <c r="O255" s="361"/>
    </row>
    <row r="256" spans="1:15" s="15" customFormat="1" ht="3.95" customHeight="1" outlineLevel="1">
      <c r="A256" s="267"/>
      <c r="B256" s="85"/>
      <c r="C256" s="86"/>
      <c r="D256" s="202"/>
      <c r="E256" s="202"/>
      <c r="F256" s="243"/>
      <c r="G256" s="178"/>
      <c r="H256" s="178"/>
      <c r="I256" s="186"/>
      <c r="J256" s="178"/>
      <c r="K256" s="178"/>
      <c r="L256" s="143"/>
      <c r="M256" s="174"/>
      <c r="N256" s="88"/>
      <c r="O256" s="359"/>
    </row>
    <row r="257" spans="1:15" s="15" customFormat="1" ht="3.95" customHeight="1" outlineLevel="1">
      <c r="A257" s="268"/>
      <c r="B257" s="72"/>
      <c r="C257" s="73"/>
      <c r="D257" s="201"/>
      <c r="E257" s="201"/>
      <c r="F257" s="274"/>
      <c r="G257" s="272"/>
      <c r="H257" s="272"/>
      <c r="I257" s="275"/>
      <c r="J257" s="272"/>
      <c r="K257" s="272"/>
      <c r="L257" s="138"/>
      <c r="M257" s="265"/>
      <c r="N257" s="75"/>
      <c r="O257" s="360"/>
    </row>
    <row r="258" spans="1:15" s="15" customFormat="1" ht="11.1" customHeight="1" outlineLevel="1">
      <c r="A258" s="370" t="s">
        <v>92</v>
      </c>
      <c r="B258" s="76" t="s">
        <v>9</v>
      </c>
      <c r="C258" s="151" t="s">
        <v>57</v>
      </c>
      <c r="D258" s="369" t="s">
        <v>54</v>
      </c>
      <c r="E258" s="369" t="s">
        <v>56</v>
      </c>
      <c r="F258" s="78" t="s">
        <v>221</v>
      </c>
      <c r="G258" s="175">
        <f>SUM(G259:G264)</f>
        <v>587951</v>
      </c>
      <c r="H258" s="175">
        <f>SUM(H259:H264)</f>
        <v>584350</v>
      </c>
      <c r="I258" s="39">
        <f t="shared" si="73"/>
        <v>99.387533995179865</v>
      </c>
      <c r="J258" s="175">
        <f>SUM(J259:J264)</f>
        <v>190380</v>
      </c>
      <c r="K258" s="175">
        <f>SUM(K259:K264)</f>
        <v>12654</v>
      </c>
      <c r="L258" s="175">
        <f>SUM(L259:L264)</f>
        <v>203034</v>
      </c>
      <c r="M258" s="38">
        <f>SUM(M259:M264)</f>
        <v>199430.74000000002</v>
      </c>
      <c r="N258" s="39">
        <f t="shared" si="74"/>
        <v>98.225292315572773</v>
      </c>
      <c r="O258" s="389" t="s">
        <v>235</v>
      </c>
    </row>
    <row r="259" spans="1:15" s="15" customFormat="1" ht="11.1" customHeight="1" outlineLevel="1">
      <c r="A259" s="370"/>
      <c r="B259" s="76" t="s">
        <v>10</v>
      </c>
      <c r="C259" s="151" t="s">
        <v>89</v>
      </c>
      <c r="D259" s="369"/>
      <c r="E259" s="369"/>
      <c r="F259" s="79" t="s">
        <v>15</v>
      </c>
      <c r="G259" s="176">
        <v>70578</v>
      </c>
      <c r="H259" s="176">
        <f>ROUNDUP(65700+M259,0)</f>
        <v>70578</v>
      </c>
      <c r="I259" s="81">
        <f t="shared" si="73"/>
        <v>100</v>
      </c>
      <c r="J259" s="176">
        <v>4878</v>
      </c>
      <c r="K259" s="170">
        <f t="shared" ref="K259:K264" si="80">L259-J259</f>
        <v>0</v>
      </c>
      <c r="L259" s="142">
        <v>4878</v>
      </c>
      <c r="M259" s="80">
        <v>4878</v>
      </c>
      <c r="N259" s="81">
        <f t="shared" si="74"/>
        <v>100</v>
      </c>
      <c r="O259" s="392"/>
    </row>
    <row r="260" spans="1:15" s="15" customFormat="1" ht="11.1" customHeight="1" outlineLevel="1">
      <c r="A260" s="370"/>
      <c r="B260" s="76" t="s">
        <v>11</v>
      </c>
      <c r="C260" s="82" t="s">
        <v>93</v>
      </c>
      <c r="D260" s="369"/>
      <c r="E260" s="369"/>
      <c r="F260" s="79" t="s">
        <v>7</v>
      </c>
      <c r="G260" s="176">
        <v>499735</v>
      </c>
      <c r="H260" s="176">
        <f>ROUNDUP(308337+M260,0)</f>
        <v>496255</v>
      </c>
      <c r="I260" s="81">
        <f t="shared" si="73"/>
        <v>99.303630924389935</v>
      </c>
      <c r="J260" s="176">
        <v>179178</v>
      </c>
      <c r="K260" s="170">
        <f t="shared" si="80"/>
        <v>12221</v>
      </c>
      <c r="L260" s="142">
        <v>191399</v>
      </c>
      <c r="M260" s="83">
        <v>187917.82</v>
      </c>
      <c r="N260" s="81">
        <f t="shared" si="74"/>
        <v>98.181192169238088</v>
      </c>
      <c r="O260" s="392"/>
    </row>
    <row r="261" spans="1:15" s="15" customFormat="1" ht="11.1" customHeight="1" outlineLevel="1">
      <c r="A261" s="120"/>
      <c r="B261" s="76" t="s">
        <v>12</v>
      </c>
      <c r="C261" s="82" t="s">
        <v>358</v>
      </c>
      <c r="D261" s="111"/>
      <c r="E261" s="209"/>
      <c r="F261" s="79" t="s">
        <v>8</v>
      </c>
      <c r="G261" s="176">
        <v>0</v>
      </c>
      <c r="H261" s="176">
        <v>0</v>
      </c>
      <c r="I261" s="81" t="str">
        <f t="shared" si="73"/>
        <v>-</v>
      </c>
      <c r="J261" s="176">
        <v>0</v>
      </c>
      <c r="K261" s="170">
        <f t="shared" si="80"/>
        <v>0</v>
      </c>
      <c r="L261" s="142">
        <v>0</v>
      </c>
      <c r="M261" s="83">
        <v>0</v>
      </c>
      <c r="N261" s="81" t="str">
        <f t="shared" si="74"/>
        <v>-</v>
      </c>
      <c r="O261" s="392"/>
    </row>
    <row r="262" spans="1:15" s="15" customFormat="1" ht="11.1" customHeight="1" outlineLevel="1">
      <c r="A262" s="120"/>
      <c r="B262" s="76" t="s">
        <v>23</v>
      </c>
      <c r="C262" s="82" t="s">
        <v>314</v>
      </c>
      <c r="D262" s="111"/>
      <c r="E262" s="209"/>
      <c r="F262" s="79" t="s">
        <v>22</v>
      </c>
      <c r="G262" s="176">
        <v>17638</v>
      </c>
      <c r="H262" s="176">
        <f>ROUNDUP(10882+M262,0)</f>
        <v>17517</v>
      </c>
      <c r="I262" s="81">
        <f t="shared" si="73"/>
        <v>99.313981177004194</v>
      </c>
      <c r="J262" s="176">
        <v>6324</v>
      </c>
      <c r="K262" s="170">
        <f t="shared" si="80"/>
        <v>433</v>
      </c>
      <c r="L262" s="142">
        <v>6757</v>
      </c>
      <c r="M262" s="83">
        <v>6634.92</v>
      </c>
      <c r="N262" s="81">
        <f>IF(L262&gt;0,M262/L262*100,"-")</f>
        <v>98.1932810418825</v>
      </c>
      <c r="O262" s="392"/>
    </row>
    <row r="263" spans="1:15" s="15" customFormat="1" ht="11.1" customHeight="1" outlineLevel="1">
      <c r="A263" s="120"/>
      <c r="B263" s="76"/>
      <c r="C263" s="82" t="s">
        <v>315</v>
      </c>
      <c r="D263" s="111"/>
      <c r="E263" s="209"/>
      <c r="F263" s="107" t="s">
        <v>45</v>
      </c>
      <c r="G263" s="176">
        <v>0</v>
      </c>
      <c r="H263" s="176">
        <v>0</v>
      </c>
      <c r="I263" s="81" t="str">
        <f t="shared" si="73"/>
        <v>-</v>
      </c>
      <c r="J263" s="176">
        <v>0</v>
      </c>
      <c r="K263" s="170">
        <f t="shared" si="80"/>
        <v>0</v>
      </c>
      <c r="L263" s="142">
        <v>0</v>
      </c>
      <c r="M263" s="83">
        <v>0</v>
      </c>
      <c r="N263" s="81" t="str">
        <f>IF(L263&gt;0,M263/L263*100,"-")</f>
        <v>-</v>
      </c>
      <c r="O263" s="392"/>
    </row>
    <row r="264" spans="1:15" s="15" customFormat="1" ht="11.1" customHeight="1" outlineLevel="1">
      <c r="A264" s="120"/>
      <c r="B264" s="76"/>
      <c r="C264" s="82"/>
      <c r="D264" s="111"/>
      <c r="E264" s="209"/>
      <c r="F264" s="107" t="s">
        <v>46</v>
      </c>
      <c r="G264" s="176">
        <v>0</v>
      </c>
      <c r="H264" s="176">
        <v>0</v>
      </c>
      <c r="I264" s="81" t="str">
        <f t="shared" si="73"/>
        <v>-</v>
      </c>
      <c r="J264" s="176">
        <v>0</v>
      </c>
      <c r="K264" s="170">
        <f t="shared" si="80"/>
        <v>0</v>
      </c>
      <c r="L264" s="142">
        <v>0</v>
      </c>
      <c r="M264" s="83">
        <v>0</v>
      </c>
      <c r="N264" s="81" t="str">
        <f t="shared" si="74"/>
        <v>-</v>
      </c>
      <c r="O264" s="392"/>
    </row>
    <row r="265" spans="1:15" s="15" customFormat="1" ht="3.95" customHeight="1" outlineLevel="1">
      <c r="A265" s="162"/>
      <c r="B265" s="85"/>
      <c r="C265" s="86"/>
      <c r="D265" s="202"/>
      <c r="E265" s="204"/>
      <c r="F265" s="243"/>
      <c r="G265" s="178"/>
      <c r="H265" s="178"/>
      <c r="I265" s="88"/>
      <c r="J265" s="178"/>
      <c r="K265" s="178"/>
      <c r="L265" s="143"/>
      <c r="M265" s="174"/>
      <c r="N265" s="88"/>
      <c r="O265" s="359"/>
    </row>
    <row r="266" spans="1:15" s="15" customFormat="1" ht="3.95" customHeight="1" outlineLevel="1">
      <c r="A266" s="212"/>
      <c r="B266" s="72"/>
      <c r="C266" s="73"/>
      <c r="D266" s="201"/>
      <c r="E266" s="269"/>
      <c r="F266" s="274"/>
      <c r="G266" s="272"/>
      <c r="H266" s="272"/>
      <c r="I266" s="75"/>
      <c r="J266" s="272"/>
      <c r="K266" s="272"/>
      <c r="L266" s="138"/>
      <c r="M266" s="265"/>
      <c r="N266" s="75"/>
      <c r="O266" s="360"/>
    </row>
    <row r="267" spans="1:15" s="15" customFormat="1" ht="11.1" customHeight="1" outlineLevel="1">
      <c r="A267" s="370" t="s">
        <v>94</v>
      </c>
      <c r="B267" s="76" t="s">
        <v>9</v>
      </c>
      <c r="C267" s="151" t="s">
        <v>57</v>
      </c>
      <c r="D267" s="369" t="s">
        <v>64</v>
      </c>
      <c r="E267" s="369" t="s">
        <v>56</v>
      </c>
      <c r="F267" s="78" t="s">
        <v>221</v>
      </c>
      <c r="G267" s="175">
        <f>SUM(G268:G273)</f>
        <v>828969</v>
      </c>
      <c r="H267" s="175">
        <f>SUM(H268:H273)</f>
        <v>579737</v>
      </c>
      <c r="I267" s="39">
        <f t="shared" si="73"/>
        <v>69.934702021426617</v>
      </c>
      <c r="J267" s="175">
        <f>SUM(J268:J273)</f>
        <v>381001</v>
      </c>
      <c r="K267" s="175">
        <f>SUM(K268:K273)</f>
        <v>31768</v>
      </c>
      <c r="L267" s="175">
        <f>SUM(L268:L273)</f>
        <v>412769</v>
      </c>
      <c r="M267" s="38">
        <f>SUM(M268:M273)</f>
        <v>367634.56</v>
      </c>
      <c r="N267" s="39">
        <f t="shared" si="74"/>
        <v>89.06544822891253</v>
      </c>
      <c r="O267" s="389" t="s">
        <v>241</v>
      </c>
    </row>
    <row r="268" spans="1:15" s="15" customFormat="1" ht="11.1" customHeight="1" outlineLevel="1">
      <c r="A268" s="370"/>
      <c r="B268" s="76" t="s">
        <v>10</v>
      </c>
      <c r="C268" s="151" t="s">
        <v>89</v>
      </c>
      <c r="D268" s="369"/>
      <c r="E268" s="369"/>
      <c r="F268" s="79" t="s">
        <v>15</v>
      </c>
      <c r="G268" s="176">
        <v>0</v>
      </c>
      <c r="H268" s="176">
        <v>0</v>
      </c>
      <c r="I268" s="81" t="str">
        <f t="shared" si="73"/>
        <v>-</v>
      </c>
      <c r="J268" s="176">
        <v>0</v>
      </c>
      <c r="K268" s="170">
        <f t="shared" ref="K268:K273" si="81">L268-J268</f>
        <v>0</v>
      </c>
      <c r="L268" s="142">
        <v>0</v>
      </c>
      <c r="M268" s="80">
        <v>0</v>
      </c>
      <c r="N268" s="81" t="str">
        <f t="shared" si="74"/>
        <v>-</v>
      </c>
      <c r="O268" s="392"/>
    </row>
    <row r="269" spans="1:15" s="15" customFormat="1" ht="11.1" customHeight="1" outlineLevel="1">
      <c r="A269" s="370"/>
      <c r="B269" s="76" t="s">
        <v>11</v>
      </c>
      <c r="C269" s="82" t="s">
        <v>93</v>
      </c>
      <c r="D269" s="369"/>
      <c r="E269" s="369"/>
      <c r="F269" s="79" t="s">
        <v>7</v>
      </c>
      <c r="G269" s="176">
        <v>815536</v>
      </c>
      <c r="H269" s="176">
        <f>ROUNDUP(209321+M269,0)</f>
        <v>570018</v>
      </c>
      <c r="I269" s="81">
        <f t="shared" si="73"/>
        <v>69.894891212650336</v>
      </c>
      <c r="J269" s="176">
        <v>374063</v>
      </c>
      <c r="K269" s="170">
        <f t="shared" si="81"/>
        <v>31768</v>
      </c>
      <c r="L269" s="142">
        <v>405831</v>
      </c>
      <c r="M269" s="83">
        <v>360696.87</v>
      </c>
      <c r="N269" s="81">
        <f t="shared" si="74"/>
        <v>88.878589856368791</v>
      </c>
      <c r="O269" s="392"/>
    </row>
    <row r="270" spans="1:15" s="15" customFormat="1" ht="11.1" customHeight="1" outlineLevel="1">
      <c r="A270" s="120"/>
      <c r="B270" s="76" t="s">
        <v>12</v>
      </c>
      <c r="C270" s="82" t="s">
        <v>359</v>
      </c>
      <c r="D270" s="111"/>
      <c r="E270" s="209"/>
      <c r="F270" s="79" t="s">
        <v>8</v>
      </c>
      <c r="G270" s="176">
        <v>0</v>
      </c>
      <c r="H270" s="176">
        <v>0</v>
      </c>
      <c r="I270" s="81" t="str">
        <f t="shared" si="73"/>
        <v>-</v>
      </c>
      <c r="J270" s="176">
        <v>0</v>
      </c>
      <c r="K270" s="170">
        <f t="shared" si="81"/>
        <v>0</v>
      </c>
      <c r="L270" s="142">
        <v>0</v>
      </c>
      <c r="M270" s="83">
        <v>0</v>
      </c>
      <c r="N270" s="81" t="str">
        <f t="shared" si="74"/>
        <v>-</v>
      </c>
      <c r="O270" s="392"/>
    </row>
    <row r="271" spans="1:15" s="15" customFormat="1" ht="11.1" customHeight="1" outlineLevel="1">
      <c r="A271" s="120"/>
      <c r="B271" s="76" t="s">
        <v>23</v>
      </c>
      <c r="C271" s="82" t="s">
        <v>316</v>
      </c>
      <c r="D271" s="111"/>
      <c r="E271" s="209"/>
      <c r="F271" s="79" t="s">
        <v>22</v>
      </c>
      <c r="G271" s="176">
        <v>13433</v>
      </c>
      <c r="H271" s="176">
        <f>ROUNDUP(2781+M271,0)</f>
        <v>9719</v>
      </c>
      <c r="I271" s="81">
        <f t="shared" si="73"/>
        <v>72.351671257351299</v>
      </c>
      <c r="J271" s="176">
        <v>6938</v>
      </c>
      <c r="K271" s="170">
        <f t="shared" si="81"/>
        <v>0</v>
      </c>
      <c r="L271" s="142">
        <v>6938</v>
      </c>
      <c r="M271" s="83">
        <v>6937.69</v>
      </c>
      <c r="N271" s="81">
        <f>IF(L271&gt;0,M271/L271*100,"-")</f>
        <v>99.995531853560095</v>
      </c>
      <c r="O271" s="392"/>
    </row>
    <row r="272" spans="1:15" s="15" customFormat="1" ht="11.1" customHeight="1" outlineLevel="1">
      <c r="A272" s="120"/>
      <c r="B272" s="76"/>
      <c r="C272" s="82" t="s">
        <v>317</v>
      </c>
      <c r="D272" s="111"/>
      <c r="E272" s="209"/>
      <c r="F272" s="107" t="s">
        <v>45</v>
      </c>
      <c r="G272" s="176">
        <v>0</v>
      </c>
      <c r="H272" s="176">
        <v>0</v>
      </c>
      <c r="I272" s="81" t="str">
        <f t="shared" si="73"/>
        <v>-</v>
      </c>
      <c r="J272" s="176">
        <v>0</v>
      </c>
      <c r="K272" s="170">
        <f t="shared" si="81"/>
        <v>0</v>
      </c>
      <c r="L272" s="142">
        <v>0</v>
      </c>
      <c r="M272" s="83">
        <v>0</v>
      </c>
      <c r="N272" s="81" t="str">
        <f>IF(L272&gt;0,M272/L272*100,"-")</f>
        <v>-</v>
      </c>
      <c r="O272" s="392"/>
    </row>
    <row r="273" spans="1:15" s="15" customFormat="1" ht="11.1" customHeight="1" outlineLevel="1">
      <c r="A273" s="120"/>
      <c r="B273" s="76"/>
      <c r="C273" s="82" t="s">
        <v>318</v>
      </c>
      <c r="D273" s="111"/>
      <c r="E273" s="209"/>
      <c r="F273" s="107" t="s">
        <v>46</v>
      </c>
      <c r="G273" s="176">
        <v>0</v>
      </c>
      <c r="H273" s="176">
        <v>0</v>
      </c>
      <c r="I273" s="81" t="str">
        <f t="shared" si="73"/>
        <v>-</v>
      </c>
      <c r="J273" s="176">
        <v>0</v>
      </c>
      <c r="K273" s="170">
        <f t="shared" si="81"/>
        <v>0</v>
      </c>
      <c r="L273" s="142">
        <v>0</v>
      </c>
      <c r="M273" s="83">
        <v>0</v>
      </c>
      <c r="N273" s="81" t="str">
        <f t="shared" si="74"/>
        <v>-</v>
      </c>
      <c r="O273" s="392"/>
    </row>
    <row r="274" spans="1:15" s="15" customFormat="1" ht="3.95" customHeight="1" outlineLevel="1">
      <c r="A274" s="162"/>
      <c r="B274" s="85"/>
      <c r="C274" s="86"/>
      <c r="D274" s="202"/>
      <c r="E274" s="204"/>
      <c r="F274" s="243"/>
      <c r="G274" s="178"/>
      <c r="H274" s="178"/>
      <c r="I274" s="88"/>
      <c r="J274" s="178"/>
      <c r="K274" s="178"/>
      <c r="L274" s="143"/>
      <c r="M274" s="174"/>
      <c r="N274" s="88"/>
      <c r="O274" s="359"/>
    </row>
    <row r="275" spans="1:15" s="15" customFormat="1" ht="3.95" customHeight="1" outlineLevel="1">
      <c r="A275" s="212"/>
      <c r="B275" s="72"/>
      <c r="C275" s="73"/>
      <c r="D275" s="201"/>
      <c r="E275" s="269"/>
      <c r="F275" s="274"/>
      <c r="G275" s="272"/>
      <c r="H275" s="272"/>
      <c r="I275" s="75"/>
      <c r="J275" s="272"/>
      <c r="K275" s="272"/>
      <c r="L275" s="138"/>
      <c r="M275" s="265"/>
      <c r="N275" s="75"/>
      <c r="O275" s="360"/>
    </row>
    <row r="276" spans="1:15" s="15" customFormat="1" ht="11.1" customHeight="1" outlineLevel="1">
      <c r="A276" s="370" t="s">
        <v>95</v>
      </c>
      <c r="B276" s="76" t="s">
        <v>9</v>
      </c>
      <c r="C276" s="151" t="s">
        <v>57</v>
      </c>
      <c r="D276" s="369" t="s">
        <v>54</v>
      </c>
      <c r="E276" s="369" t="s">
        <v>56</v>
      </c>
      <c r="F276" s="78" t="s">
        <v>221</v>
      </c>
      <c r="G276" s="175">
        <f>SUM(G277:G282)</f>
        <v>335786</v>
      </c>
      <c r="H276" s="175">
        <f>SUM(H277:H282)</f>
        <v>335354</v>
      </c>
      <c r="I276" s="39">
        <f t="shared" si="73"/>
        <v>99.871346631485522</v>
      </c>
      <c r="J276" s="175">
        <f>SUM(J277:J282)</f>
        <v>160280</v>
      </c>
      <c r="K276" s="175">
        <f>SUM(K277:K282)</f>
        <v>10839</v>
      </c>
      <c r="L276" s="175">
        <f>SUM(L277:L282)</f>
        <v>171119</v>
      </c>
      <c r="M276" s="38">
        <f>SUM(M277:M282)</f>
        <v>170686.51</v>
      </c>
      <c r="N276" s="39">
        <f t="shared" si="74"/>
        <v>99.747257756298254</v>
      </c>
      <c r="O276" s="389" t="s">
        <v>235</v>
      </c>
    </row>
    <row r="277" spans="1:15" s="15" customFormat="1" ht="11.1" customHeight="1" outlineLevel="1">
      <c r="A277" s="370"/>
      <c r="B277" s="76" t="s">
        <v>10</v>
      </c>
      <c r="C277" s="151" t="s">
        <v>89</v>
      </c>
      <c r="D277" s="369"/>
      <c r="E277" s="369"/>
      <c r="F277" s="79" t="s">
        <v>15</v>
      </c>
      <c r="G277" s="176">
        <v>24400</v>
      </c>
      <c r="H277" s="176">
        <v>24400</v>
      </c>
      <c r="I277" s="81">
        <f t="shared" si="73"/>
        <v>100</v>
      </c>
      <c r="J277" s="176">
        <v>0</v>
      </c>
      <c r="K277" s="170">
        <f t="shared" ref="K277:K282" si="82">L277-J277</f>
        <v>0</v>
      </c>
      <c r="L277" s="142">
        <v>0</v>
      </c>
      <c r="M277" s="80">
        <v>0</v>
      </c>
      <c r="N277" s="81" t="str">
        <f t="shared" si="74"/>
        <v>-</v>
      </c>
      <c r="O277" s="392"/>
    </row>
    <row r="278" spans="1:15" s="15" customFormat="1" ht="11.1" customHeight="1" outlineLevel="1">
      <c r="A278" s="370"/>
      <c r="B278" s="76" t="s">
        <v>11</v>
      </c>
      <c r="C278" s="82" t="s">
        <v>93</v>
      </c>
      <c r="D278" s="369"/>
      <c r="E278" s="369"/>
      <c r="F278" s="79" t="s">
        <v>7</v>
      </c>
      <c r="G278" s="176">
        <v>305393</v>
      </c>
      <c r="H278" s="176">
        <f>ROUNDUP(137359+M278,0)</f>
        <v>304961</v>
      </c>
      <c r="I278" s="81">
        <f t="shared" si="73"/>
        <v>99.858542926655161</v>
      </c>
      <c r="J278" s="176">
        <v>157195</v>
      </c>
      <c r="K278" s="170">
        <f t="shared" si="82"/>
        <v>10839</v>
      </c>
      <c r="L278" s="142">
        <v>168034</v>
      </c>
      <c r="M278" s="83">
        <v>167601.85</v>
      </c>
      <c r="N278" s="81">
        <f t="shared" si="74"/>
        <v>99.74281990549531</v>
      </c>
      <c r="O278" s="392"/>
    </row>
    <row r="279" spans="1:15" s="15" customFormat="1" ht="11.1" customHeight="1" outlineLevel="1">
      <c r="A279" s="244"/>
      <c r="B279" s="76" t="s">
        <v>12</v>
      </c>
      <c r="C279" s="82" t="s">
        <v>360</v>
      </c>
      <c r="D279" s="111"/>
      <c r="E279" s="209"/>
      <c r="F279" s="79" t="s">
        <v>8</v>
      </c>
      <c r="G279" s="176">
        <v>0</v>
      </c>
      <c r="H279" s="176">
        <v>0</v>
      </c>
      <c r="I279" s="81" t="str">
        <f t="shared" si="73"/>
        <v>-</v>
      </c>
      <c r="J279" s="176">
        <v>0</v>
      </c>
      <c r="K279" s="170">
        <f t="shared" si="82"/>
        <v>0</v>
      </c>
      <c r="L279" s="142">
        <v>0</v>
      </c>
      <c r="M279" s="83">
        <v>0</v>
      </c>
      <c r="N279" s="81" t="str">
        <f t="shared" si="74"/>
        <v>-</v>
      </c>
      <c r="O279" s="392"/>
    </row>
    <row r="280" spans="1:15" s="15" customFormat="1" ht="11.1" customHeight="1" outlineLevel="1">
      <c r="A280" s="244"/>
      <c r="B280" s="76" t="s">
        <v>23</v>
      </c>
      <c r="C280" s="82" t="s">
        <v>321</v>
      </c>
      <c r="D280" s="111"/>
      <c r="E280" s="209"/>
      <c r="F280" s="79" t="s">
        <v>22</v>
      </c>
      <c r="G280" s="176">
        <v>5993</v>
      </c>
      <c r="H280" s="176">
        <v>5993</v>
      </c>
      <c r="I280" s="81">
        <f t="shared" si="73"/>
        <v>100</v>
      </c>
      <c r="J280" s="176">
        <v>3085</v>
      </c>
      <c r="K280" s="170">
        <f t="shared" si="82"/>
        <v>0</v>
      </c>
      <c r="L280" s="142">
        <v>3085</v>
      </c>
      <c r="M280" s="83">
        <v>3084.66</v>
      </c>
      <c r="N280" s="81">
        <f>IF(L280&gt;0,M280/L280*100,"-")</f>
        <v>99.988978930307937</v>
      </c>
      <c r="O280" s="392"/>
    </row>
    <row r="281" spans="1:15" s="15" customFormat="1" ht="11.1" customHeight="1" outlineLevel="1">
      <c r="A281" s="244"/>
      <c r="B281" s="76"/>
      <c r="C281" s="82" t="s">
        <v>322</v>
      </c>
      <c r="D281" s="111"/>
      <c r="E281" s="209"/>
      <c r="F281" s="107" t="s">
        <v>45</v>
      </c>
      <c r="G281" s="176">
        <v>0</v>
      </c>
      <c r="H281" s="176">
        <v>0</v>
      </c>
      <c r="I281" s="81" t="str">
        <f t="shared" si="73"/>
        <v>-</v>
      </c>
      <c r="J281" s="176">
        <v>0</v>
      </c>
      <c r="K281" s="170">
        <f t="shared" si="82"/>
        <v>0</v>
      </c>
      <c r="L281" s="142">
        <v>0</v>
      </c>
      <c r="M281" s="83">
        <v>0</v>
      </c>
      <c r="N281" s="81" t="str">
        <f>IF(L281&gt;0,M281/L281*100,"-")</f>
        <v>-</v>
      </c>
      <c r="O281" s="392"/>
    </row>
    <row r="282" spans="1:15" s="15" customFormat="1" ht="11.1" customHeight="1" outlineLevel="1">
      <c r="A282" s="244"/>
      <c r="B282" s="76"/>
      <c r="C282" s="82" t="s">
        <v>323</v>
      </c>
      <c r="D282" s="111"/>
      <c r="E282" s="209"/>
      <c r="F282" s="107" t="s">
        <v>46</v>
      </c>
      <c r="G282" s="176">
        <v>0</v>
      </c>
      <c r="H282" s="176">
        <v>0</v>
      </c>
      <c r="I282" s="177" t="str">
        <f t="shared" si="73"/>
        <v>-</v>
      </c>
      <c r="J282" s="176">
        <v>0</v>
      </c>
      <c r="K282" s="170">
        <f t="shared" si="82"/>
        <v>0</v>
      </c>
      <c r="L282" s="142">
        <v>0</v>
      </c>
      <c r="M282" s="83">
        <v>0</v>
      </c>
      <c r="N282" s="81" t="str">
        <f>IF(L282&gt;0,M282/L282*100,"-")</f>
        <v>-</v>
      </c>
      <c r="O282" s="392"/>
    </row>
    <row r="283" spans="1:15" s="15" customFormat="1" ht="3.95" customHeight="1" outlineLevel="1">
      <c r="A283" s="267"/>
      <c r="B283" s="85"/>
      <c r="C283" s="86"/>
      <c r="D283" s="202"/>
      <c r="E283" s="204"/>
      <c r="F283" s="243"/>
      <c r="G283" s="178"/>
      <c r="H283" s="178"/>
      <c r="I283" s="186"/>
      <c r="J283" s="178"/>
      <c r="K283" s="178"/>
      <c r="L283" s="143"/>
      <c r="M283" s="174"/>
      <c r="N283" s="88"/>
      <c r="O283" s="359"/>
    </row>
    <row r="284" spans="1:15" s="15" customFormat="1" ht="3.95" customHeight="1" outlineLevel="1">
      <c r="A284" s="268"/>
      <c r="B284" s="72"/>
      <c r="C284" s="73"/>
      <c r="D284" s="201"/>
      <c r="E284" s="269"/>
      <c r="F284" s="274"/>
      <c r="G284" s="272"/>
      <c r="H284" s="272"/>
      <c r="I284" s="275"/>
      <c r="J284" s="272"/>
      <c r="K284" s="272"/>
      <c r="L284" s="138"/>
      <c r="M284" s="265"/>
      <c r="N284" s="75"/>
      <c r="O284" s="360"/>
    </row>
    <row r="285" spans="1:15" s="15" customFormat="1" ht="11.1" customHeight="1" outlineLevel="1">
      <c r="A285" s="370" t="s">
        <v>96</v>
      </c>
      <c r="B285" s="76" t="s">
        <v>9</v>
      </c>
      <c r="C285" s="151" t="s">
        <v>57</v>
      </c>
      <c r="D285" s="369" t="s">
        <v>54</v>
      </c>
      <c r="E285" s="369" t="s">
        <v>56</v>
      </c>
      <c r="F285" s="78" t="s">
        <v>221</v>
      </c>
      <c r="G285" s="175">
        <f>SUM(G286:G291)</f>
        <v>168495</v>
      </c>
      <c r="H285" s="175">
        <f>SUM(H286:H291)</f>
        <v>167950</v>
      </c>
      <c r="I285" s="39">
        <f t="shared" si="73"/>
        <v>99.67654826552716</v>
      </c>
      <c r="J285" s="175">
        <f>SUM(J286:J291)</f>
        <v>62806</v>
      </c>
      <c r="K285" s="175">
        <f>SUM(K286:K291)</f>
        <v>839</v>
      </c>
      <c r="L285" s="175">
        <f>SUM(L286:L291)</f>
        <v>63645</v>
      </c>
      <c r="M285" s="38">
        <f>SUM(M286:M291)</f>
        <v>63099.560000000005</v>
      </c>
      <c r="N285" s="39">
        <f t="shared" si="74"/>
        <v>99.142996307643969</v>
      </c>
      <c r="O285" s="389" t="s">
        <v>235</v>
      </c>
    </row>
    <row r="286" spans="1:15" s="15" customFormat="1" ht="11.1" customHeight="1" outlineLevel="1">
      <c r="A286" s="370"/>
      <c r="B286" s="76" t="s">
        <v>10</v>
      </c>
      <c r="C286" s="151" t="s">
        <v>89</v>
      </c>
      <c r="D286" s="369"/>
      <c r="E286" s="369"/>
      <c r="F286" s="79" t="s">
        <v>15</v>
      </c>
      <c r="G286" s="176">
        <v>3000</v>
      </c>
      <c r="H286" s="176">
        <v>3000</v>
      </c>
      <c r="I286" s="81">
        <f t="shared" si="73"/>
        <v>100</v>
      </c>
      <c r="J286" s="176">
        <v>0</v>
      </c>
      <c r="K286" s="170">
        <f t="shared" ref="K286:K291" si="83">L286-J286</f>
        <v>0</v>
      </c>
      <c r="L286" s="142">
        <v>0</v>
      </c>
      <c r="M286" s="80">
        <v>0</v>
      </c>
      <c r="N286" s="81" t="str">
        <f t="shared" si="74"/>
        <v>-</v>
      </c>
      <c r="O286" s="392"/>
    </row>
    <row r="287" spans="1:15" s="15" customFormat="1" ht="11.1" customHeight="1" outlineLevel="1">
      <c r="A287" s="370"/>
      <c r="B287" s="76" t="s">
        <v>11</v>
      </c>
      <c r="C287" s="82" t="s">
        <v>93</v>
      </c>
      <c r="D287" s="369"/>
      <c r="E287" s="369"/>
      <c r="F287" s="79" t="s">
        <v>7</v>
      </c>
      <c r="G287" s="176">
        <v>165406</v>
      </c>
      <c r="H287" s="176">
        <f>ROUNDUP(101795+M287,0)</f>
        <v>164861</v>
      </c>
      <c r="I287" s="81">
        <f t="shared" si="73"/>
        <v>99.670507720397083</v>
      </c>
      <c r="J287" s="176">
        <v>62772</v>
      </c>
      <c r="K287" s="170">
        <f t="shared" si="83"/>
        <v>839</v>
      </c>
      <c r="L287" s="142">
        <v>63611</v>
      </c>
      <c r="M287" s="83">
        <v>63065.760000000002</v>
      </c>
      <c r="N287" s="81">
        <f t="shared" si="74"/>
        <v>99.142852651271014</v>
      </c>
      <c r="O287" s="392"/>
    </row>
    <row r="288" spans="1:15" s="15" customFormat="1" ht="11.1" customHeight="1" outlineLevel="1">
      <c r="A288" s="120"/>
      <c r="B288" s="76" t="s">
        <v>12</v>
      </c>
      <c r="C288" s="82" t="s">
        <v>361</v>
      </c>
      <c r="D288" s="111"/>
      <c r="E288" s="209"/>
      <c r="F288" s="79" t="s">
        <v>8</v>
      </c>
      <c r="G288" s="176">
        <v>0</v>
      </c>
      <c r="H288" s="176">
        <v>0</v>
      </c>
      <c r="I288" s="81" t="str">
        <f t="shared" si="73"/>
        <v>-</v>
      </c>
      <c r="J288" s="176">
        <v>0</v>
      </c>
      <c r="K288" s="170">
        <f t="shared" si="83"/>
        <v>0</v>
      </c>
      <c r="L288" s="142">
        <v>0</v>
      </c>
      <c r="M288" s="83">
        <v>0</v>
      </c>
      <c r="N288" s="81" t="str">
        <f t="shared" si="74"/>
        <v>-</v>
      </c>
      <c r="O288" s="392"/>
    </row>
    <row r="289" spans="1:15" s="15" customFormat="1" ht="11.1" customHeight="1" outlineLevel="1">
      <c r="A289" s="120"/>
      <c r="B289" s="76" t="s">
        <v>23</v>
      </c>
      <c r="C289" s="82" t="s">
        <v>324</v>
      </c>
      <c r="D289" s="111"/>
      <c r="E289" s="209"/>
      <c r="F289" s="79" t="s">
        <v>22</v>
      </c>
      <c r="G289" s="176">
        <v>89</v>
      </c>
      <c r="H289" s="176">
        <v>89</v>
      </c>
      <c r="I289" s="81">
        <f t="shared" si="73"/>
        <v>100</v>
      </c>
      <c r="J289" s="176">
        <v>34</v>
      </c>
      <c r="K289" s="170">
        <f t="shared" si="83"/>
        <v>0</v>
      </c>
      <c r="L289" s="142">
        <v>34</v>
      </c>
      <c r="M289" s="83">
        <v>33.799999999999997</v>
      </c>
      <c r="N289" s="81">
        <f>IF(L289&gt;0,M289/L289*100,"-")</f>
        <v>99.411764705882348</v>
      </c>
      <c r="O289" s="392"/>
    </row>
    <row r="290" spans="1:15" s="15" customFormat="1" ht="11.1" customHeight="1" outlineLevel="1">
      <c r="A290" s="120"/>
      <c r="B290" s="76"/>
      <c r="C290" s="82" t="s">
        <v>325</v>
      </c>
      <c r="D290" s="111"/>
      <c r="E290" s="209"/>
      <c r="F290" s="107" t="s">
        <v>45</v>
      </c>
      <c r="G290" s="176">
        <v>0</v>
      </c>
      <c r="H290" s="176">
        <v>0</v>
      </c>
      <c r="I290" s="177" t="str">
        <f t="shared" si="73"/>
        <v>-</v>
      </c>
      <c r="J290" s="176">
        <v>0</v>
      </c>
      <c r="K290" s="170">
        <f t="shared" si="83"/>
        <v>0</v>
      </c>
      <c r="L290" s="142">
        <v>0</v>
      </c>
      <c r="M290" s="83">
        <v>0</v>
      </c>
      <c r="N290" s="81" t="str">
        <f>IF(L290&gt;0,M290/L290*100,"-")</f>
        <v>-</v>
      </c>
      <c r="O290" s="392"/>
    </row>
    <row r="291" spans="1:15" s="15" customFormat="1" ht="11.1" customHeight="1" outlineLevel="1">
      <c r="A291" s="120"/>
      <c r="B291" s="76"/>
      <c r="C291" s="82" t="s">
        <v>326</v>
      </c>
      <c r="D291" s="111"/>
      <c r="E291" s="209"/>
      <c r="F291" s="107" t="s">
        <v>46</v>
      </c>
      <c r="G291" s="176">
        <v>0</v>
      </c>
      <c r="H291" s="176">
        <v>0</v>
      </c>
      <c r="I291" s="177" t="str">
        <f t="shared" si="73"/>
        <v>-</v>
      </c>
      <c r="J291" s="176">
        <v>0</v>
      </c>
      <c r="K291" s="170">
        <f t="shared" si="83"/>
        <v>0</v>
      </c>
      <c r="L291" s="142">
        <v>0</v>
      </c>
      <c r="M291" s="83">
        <v>0</v>
      </c>
      <c r="N291" s="81" t="str">
        <f>IF(L291&gt;0,M291/L291*100,"-")</f>
        <v>-</v>
      </c>
      <c r="O291" s="392"/>
    </row>
    <row r="292" spans="1:15" s="15" customFormat="1" ht="11.1" customHeight="1" outlineLevel="1">
      <c r="A292" s="213"/>
      <c r="B292" s="76"/>
      <c r="C292" s="82" t="s">
        <v>327</v>
      </c>
      <c r="D292" s="203"/>
      <c r="E292" s="203"/>
      <c r="F292" s="107"/>
      <c r="G292" s="176"/>
      <c r="H292" s="176"/>
      <c r="I292" s="177"/>
      <c r="J292" s="176"/>
      <c r="K292" s="176"/>
      <c r="L292" s="142"/>
      <c r="M292" s="83"/>
      <c r="N292" s="81"/>
      <c r="O292" s="361"/>
    </row>
    <row r="293" spans="1:15" s="15" customFormat="1" ht="11.1" customHeight="1" outlineLevel="1">
      <c r="A293" s="213"/>
      <c r="B293" s="76"/>
      <c r="C293" s="82" t="s">
        <v>328</v>
      </c>
      <c r="D293" s="203"/>
      <c r="E293" s="203"/>
      <c r="F293" s="107"/>
      <c r="G293" s="176"/>
      <c r="H293" s="176"/>
      <c r="I293" s="177"/>
      <c r="J293" s="176"/>
      <c r="K293" s="176"/>
      <c r="L293" s="142"/>
      <c r="M293" s="83"/>
      <c r="N293" s="81"/>
      <c r="O293" s="361"/>
    </row>
    <row r="294" spans="1:15" s="15" customFormat="1" ht="3.95" customHeight="1" outlineLevel="1">
      <c r="A294" s="162"/>
      <c r="B294" s="85"/>
      <c r="C294" s="185"/>
      <c r="D294" s="204"/>
      <c r="E294" s="204"/>
      <c r="F294" s="243"/>
      <c r="G294" s="178"/>
      <c r="H294" s="178"/>
      <c r="I294" s="186"/>
      <c r="J294" s="178"/>
      <c r="K294" s="178"/>
      <c r="L294" s="143"/>
      <c r="M294" s="174"/>
      <c r="N294" s="88"/>
      <c r="O294" s="359"/>
    </row>
    <row r="295" spans="1:15" s="15" customFormat="1" ht="3.95" customHeight="1" outlineLevel="1">
      <c r="A295" s="212"/>
      <c r="B295" s="72"/>
      <c r="C295" s="158"/>
      <c r="D295" s="269"/>
      <c r="E295" s="269"/>
      <c r="F295" s="274"/>
      <c r="G295" s="272"/>
      <c r="H295" s="272"/>
      <c r="I295" s="275"/>
      <c r="J295" s="272"/>
      <c r="K295" s="272"/>
      <c r="L295" s="138"/>
      <c r="M295" s="265"/>
      <c r="N295" s="75"/>
      <c r="O295" s="360"/>
    </row>
    <row r="296" spans="1:15" s="15" customFormat="1" ht="11.1" customHeight="1" outlineLevel="1">
      <c r="A296" s="370" t="s">
        <v>97</v>
      </c>
      <c r="B296" s="76" t="s">
        <v>9</v>
      </c>
      <c r="C296" s="151" t="s">
        <v>57</v>
      </c>
      <c r="D296" s="369" t="s">
        <v>54</v>
      </c>
      <c r="E296" s="369" t="s">
        <v>56</v>
      </c>
      <c r="F296" s="78" t="s">
        <v>221</v>
      </c>
      <c r="G296" s="175">
        <f>SUM(G297:G302)</f>
        <v>83474</v>
      </c>
      <c r="H296" s="175">
        <f>SUM(H297:H302)</f>
        <v>81772</v>
      </c>
      <c r="I296" s="39">
        <f t="shared" si="73"/>
        <v>97.961041761506578</v>
      </c>
      <c r="J296" s="175">
        <f>SUM(J297:J302)</f>
        <v>39354</v>
      </c>
      <c r="K296" s="175">
        <f>SUM(K297:K302)</f>
        <v>1738</v>
      </c>
      <c r="L296" s="175">
        <f>SUM(L297:L302)</f>
        <v>41092</v>
      </c>
      <c r="M296" s="38">
        <f>SUM(M297:M302)</f>
        <v>39389.83</v>
      </c>
      <c r="N296" s="39">
        <f t="shared" si="74"/>
        <v>95.857660858561275</v>
      </c>
      <c r="O296" s="389" t="s">
        <v>235</v>
      </c>
    </row>
    <row r="297" spans="1:15" s="15" customFormat="1" ht="11.1" customHeight="1" outlineLevel="1">
      <c r="A297" s="370"/>
      <c r="B297" s="76" t="s">
        <v>10</v>
      </c>
      <c r="C297" s="151" t="s">
        <v>89</v>
      </c>
      <c r="D297" s="369"/>
      <c r="E297" s="369"/>
      <c r="F297" s="79" t="s">
        <v>15</v>
      </c>
      <c r="G297" s="176">
        <v>36</v>
      </c>
      <c r="H297" s="176">
        <v>36</v>
      </c>
      <c r="I297" s="81">
        <f t="shared" ref="I297:I405" si="84">IF(G297&gt;0,H297/G297*100,"-")</f>
        <v>100</v>
      </c>
      <c r="J297" s="176">
        <v>0</v>
      </c>
      <c r="K297" s="170">
        <f t="shared" ref="K297:K302" si="85">L297-J297</f>
        <v>0</v>
      </c>
      <c r="L297" s="142">
        <v>0</v>
      </c>
      <c r="M297" s="80">
        <v>0</v>
      </c>
      <c r="N297" s="81" t="str">
        <f t="shared" ref="N297:N302" si="86">IF(L297&gt;0,M297/L297*100,"-")</f>
        <v>-</v>
      </c>
      <c r="O297" s="392"/>
    </row>
    <row r="298" spans="1:15" s="15" customFormat="1" ht="11.1" customHeight="1" outlineLevel="1">
      <c r="A298" s="370"/>
      <c r="B298" s="76" t="s">
        <v>11</v>
      </c>
      <c r="C298" s="82" t="s">
        <v>99</v>
      </c>
      <c r="D298" s="369"/>
      <c r="E298" s="369"/>
      <c r="F298" s="79" t="s">
        <v>7</v>
      </c>
      <c r="G298" s="176">
        <v>83438</v>
      </c>
      <c r="H298" s="176">
        <f>ROUNDUP(42346+M298,0)</f>
        <v>81736</v>
      </c>
      <c r="I298" s="81">
        <f t="shared" si="84"/>
        <v>97.960162036482174</v>
      </c>
      <c r="J298" s="176">
        <v>39354</v>
      </c>
      <c r="K298" s="170">
        <f t="shared" si="85"/>
        <v>1738</v>
      </c>
      <c r="L298" s="142">
        <v>41092</v>
      </c>
      <c r="M298" s="83">
        <v>39389.83</v>
      </c>
      <c r="N298" s="81">
        <f t="shared" si="86"/>
        <v>95.857660858561275</v>
      </c>
      <c r="O298" s="392"/>
    </row>
    <row r="299" spans="1:15" s="15" customFormat="1" ht="11.1" customHeight="1" outlineLevel="1">
      <c r="A299" s="120"/>
      <c r="B299" s="76" t="s">
        <v>12</v>
      </c>
      <c r="C299" s="82" t="s">
        <v>362</v>
      </c>
      <c r="D299" s="111"/>
      <c r="E299" s="209"/>
      <c r="F299" s="79" t="s">
        <v>8</v>
      </c>
      <c r="G299" s="176">
        <v>0</v>
      </c>
      <c r="H299" s="176">
        <v>0</v>
      </c>
      <c r="I299" s="81" t="str">
        <f t="shared" si="84"/>
        <v>-</v>
      </c>
      <c r="J299" s="176">
        <v>0</v>
      </c>
      <c r="K299" s="170">
        <f t="shared" si="85"/>
        <v>0</v>
      </c>
      <c r="L299" s="142">
        <v>0</v>
      </c>
      <c r="M299" s="83">
        <v>0</v>
      </c>
      <c r="N299" s="81" t="str">
        <f t="shared" si="86"/>
        <v>-</v>
      </c>
      <c r="O299" s="392"/>
    </row>
    <row r="300" spans="1:15" s="15" customFormat="1" ht="11.1" customHeight="1" outlineLevel="1">
      <c r="A300" s="120"/>
      <c r="B300" s="76" t="s">
        <v>23</v>
      </c>
      <c r="C300" s="82" t="s">
        <v>329</v>
      </c>
      <c r="D300" s="111"/>
      <c r="E300" s="209"/>
      <c r="F300" s="79" t="s">
        <v>22</v>
      </c>
      <c r="G300" s="176">
        <v>0</v>
      </c>
      <c r="H300" s="176">
        <v>0</v>
      </c>
      <c r="I300" s="81" t="str">
        <f t="shared" si="84"/>
        <v>-</v>
      </c>
      <c r="J300" s="176">
        <v>0</v>
      </c>
      <c r="K300" s="170">
        <f t="shared" si="85"/>
        <v>0</v>
      </c>
      <c r="L300" s="142">
        <v>0</v>
      </c>
      <c r="M300" s="83">
        <v>0</v>
      </c>
      <c r="N300" s="81" t="str">
        <f t="shared" si="86"/>
        <v>-</v>
      </c>
      <c r="O300" s="392"/>
    </row>
    <row r="301" spans="1:15" s="15" customFormat="1" ht="11.1" customHeight="1" outlineLevel="1">
      <c r="A301" s="120"/>
      <c r="B301" s="76"/>
      <c r="C301" s="82" t="s">
        <v>330</v>
      </c>
      <c r="D301" s="111"/>
      <c r="E301" s="209"/>
      <c r="F301" s="107" t="s">
        <v>45</v>
      </c>
      <c r="G301" s="176">
        <v>0</v>
      </c>
      <c r="H301" s="176">
        <v>0</v>
      </c>
      <c r="I301" s="177" t="str">
        <f t="shared" si="84"/>
        <v>-</v>
      </c>
      <c r="J301" s="176">
        <v>0</v>
      </c>
      <c r="K301" s="170">
        <f t="shared" si="85"/>
        <v>0</v>
      </c>
      <c r="L301" s="142">
        <v>0</v>
      </c>
      <c r="M301" s="83">
        <v>0</v>
      </c>
      <c r="N301" s="81" t="str">
        <f t="shared" si="86"/>
        <v>-</v>
      </c>
      <c r="O301" s="392"/>
    </row>
    <row r="302" spans="1:15" s="15" customFormat="1" ht="11.1" customHeight="1" outlineLevel="1">
      <c r="A302" s="120"/>
      <c r="B302" s="76"/>
      <c r="C302" s="82"/>
      <c r="D302" s="111"/>
      <c r="E302" s="209"/>
      <c r="F302" s="107" t="s">
        <v>46</v>
      </c>
      <c r="G302" s="176">
        <v>0</v>
      </c>
      <c r="H302" s="176">
        <v>0</v>
      </c>
      <c r="I302" s="177" t="str">
        <f t="shared" si="84"/>
        <v>-</v>
      </c>
      <c r="J302" s="176">
        <v>0</v>
      </c>
      <c r="K302" s="170">
        <f t="shared" si="85"/>
        <v>0</v>
      </c>
      <c r="L302" s="142">
        <v>0</v>
      </c>
      <c r="M302" s="83">
        <v>0</v>
      </c>
      <c r="N302" s="81" t="str">
        <f t="shared" si="86"/>
        <v>-</v>
      </c>
      <c r="O302" s="392"/>
    </row>
    <row r="303" spans="1:15" s="15" customFormat="1" ht="3.95" customHeight="1" outlineLevel="1">
      <c r="A303" s="85"/>
      <c r="B303" s="85"/>
      <c r="C303" s="86"/>
      <c r="D303" s="257"/>
      <c r="E303" s="210"/>
      <c r="F303" s="243"/>
      <c r="G303" s="178"/>
      <c r="H303" s="178"/>
      <c r="I303" s="186"/>
      <c r="J303" s="178"/>
      <c r="K303" s="173"/>
      <c r="L303" s="143"/>
      <c r="M303" s="174"/>
      <c r="N303" s="88"/>
      <c r="O303" s="359"/>
    </row>
    <row r="304" spans="1:15" s="15" customFormat="1" ht="3.95" customHeight="1" outlineLevel="1">
      <c r="A304" s="72"/>
      <c r="B304" s="72"/>
      <c r="C304" s="73"/>
      <c r="D304" s="286"/>
      <c r="E304" s="241"/>
      <c r="F304" s="274"/>
      <c r="G304" s="272"/>
      <c r="H304" s="272"/>
      <c r="I304" s="275"/>
      <c r="J304" s="272"/>
      <c r="K304" s="277"/>
      <c r="L304" s="138"/>
      <c r="M304" s="265"/>
      <c r="N304" s="75"/>
      <c r="O304" s="360"/>
    </row>
    <row r="305" spans="1:16" s="15" customFormat="1" ht="11.1" customHeight="1" outlineLevel="1">
      <c r="A305" s="370" t="s">
        <v>98</v>
      </c>
      <c r="B305" s="76" t="s">
        <v>9</v>
      </c>
      <c r="C305" s="151" t="s">
        <v>57</v>
      </c>
      <c r="D305" s="369" t="s">
        <v>54</v>
      </c>
      <c r="E305" s="369" t="s">
        <v>56</v>
      </c>
      <c r="F305" s="276" t="s">
        <v>221</v>
      </c>
      <c r="G305" s="140">
        <f>SUM(G306:G311)</f>
        <v>164677</v>
      </c>
      <c r="H305" s="140">
        <f>SUM(H306:H311)</f>
        <v>161857</v>
      </c>
      <c r="I305" s="39">
        <f t="shared" si="84"/>
        <v>98.287556853719707</v>
      </c>
      <c r="J305" s="140">
        <f>SUM(J306:J311)</f>
        <v>93877</v>
      </c>
      <c r="K305" s="140">
        <f>SUM(K306:K311)</f>
        <v>1921</v>
      </c>
      <c r="L305" s="140">
        <f>SUM(L306:L311)</f>
        <v>95798</v>
      </c>
      <c r="M305" s="38">
        <f>SUM(M306:M311)</f>
        <v>92976.86</v>
      </c>
      <c r="N305" s="39">
        <f t="shared" ref="N305:N310" si="87">IF(L305&gt;0,M305/L305*100,"-")</f>
        <v>97.055115973193594</v>
      </c>
      <c r="O305" s="389" t="s">
        <v>235</v>
      </c>
    </row>
    <row r="306" spans="1:16" s="15" customFormat="1" ht="11.1" customHeight="1" outlineLevel="1">
      <c r="A306" s="370"/>
      <c r="B306" s="76" t="s">
        <v>10</v>
      </c>
      <c r="C306" s="151" t="s">
        <v>89</v>
      </c>
      <c r="D306" s="369"/>
      <c r="E306" s="369"/>
      <c r="F306" s="79" t="s">
        <v>15</v>
      </c>
      <c r="G306" s="170">
        <v>0</v>
      </c>
      <c r="H306" s="170">
        <v>0</v>
      </c>
      <c r="I306" s="81" t="str">
        <f t="shared" si="84"/>
        <v>-</v>
      </c>
      <c r="J306" s="170">
        <v>0</v>
      </c>
      <c r="K306" s="170">
        <f t="shared" ref="K306:K311" si="88">L306-J306</f>
        <v>0</v>
      </c>
      <c r="L306" s="141">
        <v>0</v>
      </c>
      <c r="M306" s="80">
        <v>0</v>
      </c>
      <c r="N306" s="81" t="str">
        <f t="shared" si="87"/>
        <v>-</v>
      </c>
      <c r="O306" s="392"/>
      <c r="P306" s="180"/>
    </row>
    <row r="307" spans="1:16" s="15" customFormat="1" ht="11.1" customHeight="1" outlineLevel="1">
      <c r="A307" s="370"/>
      <c r="B307" s="76" t="s">
        <v>11</v>
      </c>
      <c r="C307" s="82" t="s">
        <v>99</v>
      </c>
      <c r="D307" s="369"/>
      <c r="E307" s="369"/>
      <c r="F307" s="79" t="s">
        <v>7</v>
      </c>
      <c r="G307" s="170">
        <v>164677</v>
      </c>
      <c r="H307" s="170">
        <f>ROUNDUP(68880+M307,0)</f>
        <v>161857</v>
      </c>
      <c r="I307" s="81">
        <f t="shared" si="84"/>
        <v>98.287556853719707</v>
      </c>
      <c r="J307" s="170">
        <v>93877</v>
      </c>
      <c r="K307" s="170">
        <f t="shared" si="88"/>
        <v>1921</v>
      </c>
      <c r="L307" s="141">
        <v>95798</v>
      </c>
      <c r="M307" s="83">
        <v>92976.86</v>
      </c>
      <c r="N307" s="81">
        <f t="shared" si="87"/>
        <v>97.055115973193594</v>
      </c>
      <c r="O307" s="392"/>
      <c r="P307" s="180"/>
    </row>
    <row r="308" spans="1:16" s="15" customFormat="1" ht="11.1" customHeight="1" outlineLevel="1">
      <c r="A308" s="120"/>
      <c r="B308" s="76" t="s">
        <v>12</v>
      </c>
      <c r="C308" s="82" t="s">
        <v>363</v>
      </c>
      <c r="D308" s="111"/>
      <c r="E308" s="209"/>
      <c r="F308" s="79" t="s">
        <v>8</v>
      </c>
      <c r="G308" s="170">
        <v>0</v>
      </c>
      <c r="H308" s="170">
        <v>0</v>
      </c>
      <c r="I308" s="81" t="str">
        <f t="shared" si="84"/>
        <v>-</v>
      </c>
      <c r="J308" s="170">
        <v>0</v>
      </c>
      <c r="K308" s="170">
        <f t="shared" si="88"/>
        <v>0</v>
      </c>
      <c r="L308" s="141">
        <v>0</v>
      </c>
      <c r="M308" s="83">
        <v>0</v>
      </c>
      <c r="N308" s="81" t="str">
        <f t="shared" si="87"/>
        <v>-</v>
      </c>
      <c r="O308" s="392"/>
      <c r="P308" s="180"/>
    </row>
    <row r="309" spans="1:16" s="15" customFormat="1" ht="11.1" customHeight="1" outlineLevel="1">
      <c r="A309" s="120"/>
      <c r="B309" s="76" t="s">
        <v>23</v>
      </c>
      <c r="C309" s="82" t="s">
        <v>331</v>
      </c>
      <c r="D309" s="111"/>
      <c r="E309" s="209"/>
      <c r="F309" s="79" t="s">
        <v>22</v>
      </c>
      <c r="G309" s="170">
        <v>0</v>
      </c>
      <c r="H309" s="170">
        <v>0</v>
      </c>
      <c r="I309" s="81" t="str">
        <f t="shared" si="84"/>
        <v>-</v>
      </c>
      <c r="J309" s="170">
        <v>0</v>
      </c>
      <c r="K309" s="170">
        <f t="shared" si="88"/>
        <v>0</v>
      </c>
      <c r="L309" s="141">
        <v>0</v>
      </c>
      <c r="M309" s="83">
        <v>0</v>
      </c>
      <c r="N309" s="81" t="str">
        <f t="shared" si="87"/>
        <v>-</v>
      </c>
      <c r="O309" s="392"/>
      <c r="P309" s="180"/>
    </row>
    <row r="310" spans="1:16" s="15" customFormat="1" ht="11.1" customHeight="1" outlineLevel="1">
      <c r="A310" s="120"/>
      <c r="B310" s="76"/>
      <c r="C310" s="82" t="s">
        <v>332</v>
      </c>
      <c r="D310" s="111"/>
      <c r="E310" s="209"/>
      <c r="F310" s="107" t="s">
        <v>45</v>
      </c>
      <c r="G310" s="170">
        <v>0</v>
      </c>
      <c r="H310" s="170">
        <v>0</v>
      </c>
      <c r="I310" s="171" t="str">
        <f t="shared" si="84"/>
        <v>-</v>
      </c>
      <c r="J310" s="170">
        <v>0</v>
      </c>
      <c r="K310" s="170">
        <f t="shared" si="88"/>
        <v>0</v>
      </c>
      <c r="L310" s="141">
        <v>0</v>
      </c>
      <c r="M310" s="83">
        <v>0</v>
      </c>
      <c r="N310" s="81" t="str">
        <f t="shared" si="87"/>
        <v>-</v>
      </c>
      <c r="O310" s="392"/>
      <c r="P310" s="180"/>
    </row>
    <row r="311" spans="1:16" s="15" customFormat="1" ht="11.1" customHeight="1" outlineLevel="1">
      <c r="A311" s="120"/>
      <c r="B311" s="76"/>
      <c r="C311" s="82" t="s">
        <v>333</v>
      </c>
      <c r="D311" s="111"/>
      <c r="E311" s="209"/>
      <c r="F311" s="107" t="s">
        <v>46</v>
      </c>
      <c r="G311" s="170">
        <v>0</v>
      </c>
      <c r="H311" s="170">
        <v>0</v>
      </c>
      <c r="I311" s="171" t="str">
        <f t="shared" si="84"/>
        <v>-</v>
      </c>
      <c r="J311" s="170">
        <v>0</v>
      </c>
      <c r="K311" s="170">
        <f t="shared" si="88"/>
        <v>0</v>
      </c>
      <c r="L311" s="141">
        <v>0</v>
      </c>
      <c r="M311" s="83">
        <v>0</v>
      </c>
      <c r="N311" s="81"/>
      <c r="O311" s="392"/>
      <c r="P311" s="180"/>
    </row>
    <row r="312" spans="1:16" s="15" customFormat="1" ht="3.95" customHeight="1" outlineLevel="1">
      <c r="A312" s="85"/>
      <c r="B312" s="85"/>
      <c r="C312" s="86"/>
      <c r="D312" s="202"/>
      <c r="E312" s="202"/>
      <c r="F312" s="243"/>
      <c r="G312" s="178"/>
      <c r="H312" s="178"/>
      <c r="I312" s="181"/>
      <c r="J312" s="178"/>
      <c r="K312" s="178"/>
      <c r="L312" s="143"/>
      <c r="M312" s="187"/>
      <c r="N312" s="88"/>
      <c r="O312" s="359"/>
      <c r="P312" s="180"/>
    </row>
    <row r="313" spans="1:16" s="15" customFormat="1" ht="3.95" customHeight="1" outlineLevel="1">
      <c r="A313" s="72"/>
      <c r="B313" s="72"/>
      <c r="C313" s="73"/>
      <c r="D313" s="201"/>
      <c r="E313" s="201"/>
      <c r="F313" s="274"/>
      <c r="G313" s="272"/>
      <c r="H313" s="272"/>
      <c r="I313" s="273"/>
      <c r="J313" s="272"/>
      <c r="K313" s="272"/>
      <c r="L313" s="138"/>
      <c r="M313" s="279"/>
      <c r="N313" s="75"/>
      <c r="O313" s="360"/>
      <c r="P313" s="180"/>
    </row>
    <row r="314" spans="1:16" s="15" customFormat="1" ht="11.1" customHeight="1" outlineLevel="1">
      <c r="A314" s="370" t="s">
        <v>100</v>
      </c>
      <c r="B314" s="76" t="s">
        <v>9</v>
      </c>
      <c r="C314" s="151" t="s">
        <v>57</v>
      </c>
      <c r="D314" s="369" t="s">
        <v>334</v>
      </c>
      <c r="E314" s="369" t="s">
        <v>56</v>
      </c>
      <c r="F314" s="78" t="s">
        <v>221</v>
      </c>
      <c r="G314" s="182">
        <f>SUM(G315:G320)</f>
        <v>366964</v>
      </c>
      <c r="H314" s="182">
        <f>SUM(H315:H320)</f>
        <v>159926</v>
      </c>
      <c r="I314" s="39">
        <f t="shared" si="84"/>
        <v>43.580841717443676</v>
      </c>
      <c r="J314" s="182">
        <f>SUM(J315:J320)</f>
        <v>0</v>
      </c>
      <c r="K314" s="182">
        <f>SUM(K315:K320)</f>
        <v>165439</v>
      </c>
      <c r="L314" s="182">
        <f>SUM(L315:L320)</f>
        <v>165439</v>
      </c>
      <c r="M314" s="183">
        <f>SUM(M315:M320)</f>
        <v>159925.57999999999</v>
      </c>
      <c r="N314" s="39">
        <f t="shared" ref="N314:N320" si="89">IF(L314&gt;0,M314/L314*100,"-")</f>
        <v>96.667400068907554</v>
      </c>
      <c r="O314" s="393" t="s">
        <v>241</v>
      </c>
      <c r="P314" s="180"/>
    </row>
    <row r="315" spans="1:16" s="15" customFormat="1" ht="11.1" customHeight="1" outlineLevel="1">
      <c r="A315" s="370"/>
      <c r="B315" s="76" t="s">
        <v>10</v>
      </c>
      <c r="C315" s="151" t="s">
        <v>89</v>
      </c>
      <c r="D315" s="369"/>
      <c r="E315" s="369"/>
      <c r="F315" s="79" t="s">
        <v>15</v>
      </c>
      <c r="G315" s="176">
        <v>0</v>
      </c>
      <c r="H315" s="176">
        <v>0</v>
      </c>
      <c r="I315" s="81" t="str">
        <f t="shared" si="84"/>
        <v>-</v>
      </c>
      <c r="J315" s="176">
        <v>0</v>
      </c>
      <c r="K315" s="170">
        <f t="shared" ref="K315:K320" si="90">L315-J315</f>
        <v>0</v>
      </c>
      <c r="L315" s="142">
        <v>0</v>
      </c>
      <c r="M315" s="89">
        <v>0</v>
      </c>
      <c r="N315" s="81" t="str">
        <f t="shared" si="89"/>
        <v>-</v>
      </c>
      <c r="O315" s="367"/>
      <c r="P315" s="180"/>
    </row>
    <row r="316" spans="1:16" s="15" customFormat="1" ht="11.1" customHeight="1" outlineLevel="1">
      <c r="A316" s="370"/>
      <c r="B316" s="76" t="s">
        <v>11</v>
      </c>
      <c r="C316" s="82" t="s">
        <v>99</v>
      </c>
      <c r="D316" s="369"/>
      <c r="E316" s="369"/>
      <c r="F316" s="79" t="s">
        <v>7</v>
      </c>
      <c r="G316" s="176">
        <v>366964</v>
      </c>
      <c r="H316" s="176">
        <f>ROUNDUP(0+M316,0)</f>
        <v>159926</v>
      </c>
      <c r="I316" s="81">
        <f t="shared" si="84"/>
        <v>43.580841717443676</v>
      </c>
      <c r="J316" s="176">
        <v>0</v>
      </c>
      <c r="K316" s="170">
        <f t="shared" si="90"/>
        <v>165439</v>
      </c>
      <c r="L316" s="142">
        <v>165439</v>
      </c>
      <c r="M316" s="89">
        <v>159925.57999999999</v>
      </c>
      <c r="N316" s="81">
        <f t="shared" si="89"/>
        <v>96.667400068907554</v>
      </c>
      <c r="O316" s="367"/>
      <c r="P316" s="180"/>
    </row>
    <row r="317" spans="1:16" s="15" customFormat="1" ht="11.1" customHeight="1" outlineLevel="1">
      <c r="A317" s="120"/>
      <c r="B317" s="76" t="s">
        <v>12</v>
      </c>
      <c r="C317" s="82" t="s">
        <v>364</v>
      </c>
      <c r="D317" s="111"/>
      <c r="E317" s="111"/>
      <c r="F317" s="79" t="s">
        <v>8</v>
      </c>
      <c r="G317" s="176">
        <v>0</v>
      </c>
      <c r="H317" s="176">
        <v>0</v>
      </c>
      <c r="I317" s="81" t="str">
        <f t="shared" si="84"/>
        <v>-</v>
      </c>
      <c r="J317" s="176">
        <v>0</v>
      </c>
      <c r="K317" s="170">
        <f t="shared" si="90"/>
        <v>0</v>
      </c>
      <c r="L317" s="142">
        <v>0</v>
      </c>
      <c r="M317" s="89">
        <v>0</v>
      </c>
      <c r="N317" s="81" t="str">
        <f t="shared" si="89"/>
        <v>-</v>
      </c>
      <c r="O317" s="367"/>
      <c r="P317" s="180"/>
    </row>
    <row r="318" spans="1:16" s="15" customFormat="1" ht="11.1" customHeight="1" outlineLevel="1">
      <c r="A318" s="120"/>
      <c r="B318" s="76" t="s">
        <v>23</v>
      </c>
      <c r="C318" s="82" t="s">
        <v>335</v>
      </c>
      <c r="D318" s="111"/>
      <c r="E318" s="111"/>
      <c r="F318" s="79" t="s">
        <v>22</v>
      </c>
      <c r="G318" s="176">
        <v>0</v>
      </c>
      <c r="H318" s="176">
        <v>0</v>
      </c>
      <c r="I318" s="81" t="str">
        <f t="shared" si="84"/>
        <v>-</v>
      </c>
      <c r="J318" s="176">
        <v>0</v>
      </c>
      <c r="K318" s="170">
        <f t="shared" si="90"/>
        <v>0</v>
      </c>
      <c r="L318" s="142">
        <v>0</v>
      </c>
      <c r="M318" s="89">
        <v>0</v>
      </c>
      <c r="N318" s="81" t="str">
        <f t="shared" si="89"/>
        <v>-</v>
      </c>
      <c r="O318" s="367"/>
      <c r="P318" s="180"/>
    </row>
    <row r="319" spans="1:16" s="15" customFormat="1" ht="11.1" customHeight="1" outlineLevel="1">
      <c r="A319" s="120"/>
      <c r="B319" s="76"/>
      <c r="C319" s="82" t="s">
        <v>336</v>
      </c>
      <c r="D319" s="111"/>
      <c r="E319" s="111"/>
      <c r="F319" s="107" t="s">
        <v>45</v>
      </c>
      <c r="G319" s="176">
        <v>0</v>
      </c>
      <c r="H319" s="176">
        <v>0</v>
      </c>
      <c r="I319" s="177" t="str">
        <f t="shared" si="84"/>
        <v>-</v>
      </c>
      <c r="J319" s="176">
        <v>0</v>
      </c>
      <c r="K319" s="170">
        <f t="shared" si="90"/>
        <v>0</v>
      </c>
      <c r="L319" s="142">
        <v>0</v>
      </c>
      <c r="M319" s="89">
        <v>0</v>
      </c>
      <c r="N319" s="81" t="str">
        <f t="shared" si="89"/>
        <v>-</v>
      </c>
      <c r="O319" s="367"/>
      <c r="P319" s="180"/>
    </row>
    <row r="320" spans="1:16" s="15" customFormat="1" ht="11.1" customHeight="1" outlineLevel="1">
      <c r="A320" s="120"/>
      <c r="B320" s="76"/>
      <c r="C320" s="82"/>
      <c r="D320" s="111"/>
      <c r="E320" s="111"/>
      <c r="F320" s="107" t="s">
        <v>46</v>
      </c>
      <c r="G320" s="176">
        <v>0</v>
      </c>
      <c r="H320" s="176">
        <v>0</v>
      </c>
      <c r="I320" s="177" t="str">
        <f t="shared" si="84"/>
        <v>-</v>
      </c>
      <c r="J320" s="176">
        <v>0</v>
      </c>
      <c r="K320" s="170">
        <f t="shared" si="90"/>
        <v>0</v>
      </c>
      <c r="L320" s="142">
        <v>0</v>
      </c>
      <c r="M320" s="89">
        <v>0</v>
      </c>
      <c r="N320" s="81" t="str">
        <f t="shared" si="89"/>
        <v>-</v>
      </c>
      <c r="O320" s="367"/>
      <c r="P320" s="180"/>
    </row>
    <row r="321" spans="1:16" s="15" customFormat="1" ht="3.95" customHeight="1" outlineLevel="1">
      <c r="A321" s="162"/>
      <c r="B321" s="85"/>
      <c r="C321" s="185"/>
      <c r="D321" s="202"/>
      <c r="E321" s="202"/>
      <c r="F321" s="243"/>
      <c r="G321" s="178"/>
      <c r="H321" s="178"/>
      <c r="I321" s="186"/>
      <c r="J321" s="178"/>
      <c r="K321" s="178"/>
      <c r="L321" s="143"/>
      <c r="M321" s="187"/>
      <c r="N321" s="88"/>
      <c r="O321" s="362"/>
      <c r="P321" s="180"/>
    </row>
    <row r="322" spans="1:16" s="15" customFormat="1" ht="3.95" customHeight="1" outlineLevel="1">
      <c r="A322" s="212"/>
      <c r="B322" s="72"/>
      <c r="C322" s="285"/>
      <c r="D322" s="201"/>
      <c r="E322" s="201"/>
      <c r="F322" s="274"/>
      <c r="G322" s="272"/>
      <c r="H322" s="272"/>
      <c r="I322" s="275"/>
      <c r="J322" s="272"/>
      <c r="K322" s="272"/>
      <c r="L322" s="138"/>
      <c r="M322" s="279"/>
      <c r="N322" s="75"/>
      <c r="O322" s="280"/>
      <c r="P322" s="180"/>
    </row>
    <row r="323" spans="1:16" s="15" customFormat="1" ht="11.1" customHeight="1" outlineLevel="1">
      <c r="A323" s="370" t="s">
        <v>101</v>
      </c>
      <c r="B323" s="76" t="s">
        <v>9</v>
      </c>
      <c r="C323" s="184" t="s">
        <v>57</v>
      </c>
      <c r="D323" s="369" t="s">
        <v>320</v>
      </c>
      <c r="E323" s="369" t="s">
        <v>56</v>
      </c>
      <c r="F323" s="276" t="s">
        <v>221</v>
      </c>
      <c r="G323" s="182">
        <f>SUM(G324:G329)</f>
        <v>2158729</v>
      </c>
      <c r="H323" s="182">
        <f>SUM(H324:H329)</f>
        <v>1055835</v>
      </c>
      <c r="I323" s="39">
        <f t="shared" si="84"/>
        <v>48.910029929648417</v>
      </c>
      <c r="J323" s="182">
        <f>SUM(J324:J329)</f>
        <v>0</v>
      </c>
      <c r="K323" s="182">
        <f>SUM(K324:K329)</f>
        <v>1123099</v>
      </c>
      <c r="L323" s="278">
        <f>SUM(L324:L329)</f>
        <v>1123099</v>
      </c>
      <c r="M323" s="183">
        <f>SUM(M324:M329)</f>
        <v>1055833.82</v>
      </c>
      <c r="N323" s="39">
        <f t="shared" ref="N323:N329" si="91">IF(L323&gt;0,M323/L323*100,"-")</f>
        <v>94.010752391374226</v>
      </c>
      <c r="O323" s="393" t="s">
        <v>241</v>
      </c>
      <c r="P323" s="180"/>
    </row>
    <row r="324" spans="1:16" s="15" customFormat="1" ht="11.1" customHeight="1" outlineLevel="1">
      <c r="A324" s="370"/>
      <c r="B324" s="76" t="s">
        <v>10</v>
      </c>
      <c r="C324" s="184" t="s">
        <v>89</v>
      </c>
      <c r="D324" s="369"/>
      <c r="E324" s="369"/>
      <c r="F324" s="79" t="s">
        <v>15</v>
      </c>
      <c r="G324" s="176">
        <v>0</v>
      </c>
      <c r="H324" s="176">
        <v>0</v>
      </c>
      <c r="I324" s="81" t="str">
        <f t="shared" si="84"/>
        <v>-</v>
      </c>
      <c r="J324" s="176">
        <v>0</v>
      </c>
      <c r="K324" s="170">
        <f t="shared" ref="K324:K329" si="92">L324-J324</f>
        <v>0</v>
      </c>
      <c r="L324" s="141">
        <v>0</v>
      </c>
      <c r="M324" s="89">
        <v>0</v>
      </c>
      <c r="N324" s="81" t="str">
        <f t="shared" si="91"/>
        <v>-</v>
      </c>
      <c r="O324" s="367"/>
      <c r="P324" s="180"/>
    </row>
    <row r="325" spans="1:16" s="15" customFormat="1" ht="11.1" customHeight="1" outlineLevel="1">
      <c r="A325" s="370"/>
      <c r="B325" s="76" t="s">
        <v>11</v>
      </c>
      <c r="C325" s="179" t="s">
        <v>242</v>
      </c>
      <c r="D325" s="369"/>
      <c r="E325" s="369"/>
      <c r="F325" s="79" t="s">
        <v>7</v>
      </c>
      <c r="G325" s="176">
        <v>1834919</v>
      </c>
      <c r="H325" s="176">
        <f>ROUNDUP(0+M325,0)</f>
        <v>909900</v>
      </c>
      <c r="I325" s="81">
        <f t="shared" si="84"/>
        <v>49.588019961644079</v>
      </c>
      <c r="J325" s="176">
        <v>0</v>
      </c>
      <c r="K325" s="170">
        <f t="shared" si="92"/>
        <v>954634</v>
      </c>
      <c r="L325" s="141">
        <v>954634</v>
      </c>
      <c r="M325" s="89">
        <v>909899.77</v>
      </c>
      <c r="N325" s="81">
        <f t="shared" si="91"/>
        <v>95.313991540213323</v>
      </c>
      <c r="O325" s="367"/>
      <c r="P325" s="180"/>
    </row>
    <row r="326" spans="1:16" s="15" customFormat="1" ht="11.1" customHeight="1" outlineLevel="1">
      <c r="A326" s="244"/>
      <c r="B326" s="76"/>
      <c r="C326" s="179" t="s">
        <v>237</v>
      </c>
      <c r="D326" s="111"/>
      <c r="E326" s="209"/>
      <c r="F326" s="79" t="s">
        <v>8</v>
      </c>
      <c r="G326" s="176">
        <v>0</v>
      </c>
      <c r="H326" s="176">
        <v>0</v>
      </c>
      <c r="I326" s="81" t="str">
        <f t="shared" si="84"/>
        <v>-</v>
      </c>
      <c r="J326" s="176">
        <v>0</v>
      </c>
      <c r="K326" s="170">
        <f t="shared" si="92"/>
        <v>0</v>
      </c>
      <c r="L326" s="141">
        <v>0</v>
      </c>
      <c r="M326" s="89">
        <v>0</v>
      </c>
      <c r="N326" s="81" t="str">
        <f t="shared" si="91"/>
        <v>-</v>
      </c>
      <c r="O326" s="367"/>
      <c r="P326" s="180"/>
    </row>
    <row r="327" spans="1:16" s="15" customFormat="1" ht="11.1" customHeight="1" outlineLevel="1">
      <c r="A327" s="244"/>
      <c r="B327" s="76" t="s">
        <v>12</v>
      </c>
      <c r="C327" s="179" t="s">
        <v>365</v>
      </c>
      <c r="D327" s="111"/>
      <c r="E327" s="209"/>
      <c r="F327" s="79" t="s">
        <v>22</v>
      </c>
      <c r="G327" s="176">
        <v>323810</v>
      </c>
      <c r="H327" s="176">
        <f>ROUNDUP(0+M327,0)</f>
        <v>145935</v>
      </c>
      <c r="I327" s="81">
        <f t="shared" si="84"/>
        <v>45.068095488094869</v>
      </c>
      <c r="J327" s="176">
        <v>0</v>
      </c>
      <c r="K327" s="170">
        <f t="shared" si="92"/>
        <v>168465</v>
      </c>
      <c r="L327" s="141">
        <v>168465</v>
      </c>
      <c r="M327" s="89">
        <v>145934.04999999999</v>
      </c>
      <c r="N327" s="81">
        <f t="shared" si="91"/>
        <v>86.625738283916533</v>
      </c>
      <c r="O327" s="367"/>
      <c r="P327" s="180"/>
    </row>
    <row r="328" spans="1:16" s="15" customFormat="1" ht="11.1" customHeight="1" outlineLevel="1">
      <c r="A328" s="244"/>
      <c r="B328" s="76"/>
      <c r="C328" s="179" t="s">
        <v>243</v>
      </c>
      <c r="D328" s="111"/>
      <c r="E328" s="209"/>
      <c r="F328" s="107" t="s">
        <v>45</v>
      </c>
      <c r="G328" s="176">
        <v>0</v>
      </c>
      <c r="H328" s="176">
        <v>0</v>
      </c>
      <c r="I328" s="177" t="str">
        <f t="shared" si="84"/>
        <v>-</v>
      </c>
      <c r="J328" s="176">
        <v>0</v>
      </c>
      <c r="K328" s="170">
        <f t="shared" si="92"/>
        <v>0</v>
      </c>
      <c r="L328" s="141">
        <v>0</v>
      </c>
      <c r="M328" s="89">
        <v>0</v>
      </c>
      <c r="N328" s="81" t="str">
        <f t="shared" si="91"/>
        <v>-</v>
      </c>
      <c r="O328" s="367"/>
      <c r="P328" s="180"/>
    </row>
    <row r="329" spans="1:16" s="15" customFormat="1" ht="11.1" customHeight="1" outlineLevel="1">
      <c r="A329" s="244"/>
      <c r="B329" s="76" t="s">
        <v>23</v>
      </c>
      <c r="C329" s="82" t="s">
        <v>337</v>
      </c>
      <c r="D329" s="111"/>
      <c r="E329" s="209"/>
      <c r="F329" s="107" t="s">
        <v>46</v>
      </c>
      <c r="G329" s="176">
        <v>0</v>
      </c>
      <c r="H329" s="176">
        <v>0</v>
      </c>
      <c r="I329" s="177" t="str">
        <f t="shared" si="84"/>
        <v>-</v>
      </c>
      <c r="J329" s="176">
        <v>0</v>
      </c>
      <c r="K329" s="170">
        <f t="shared" si="92"/>
        <v>0</v>
      </c>
      <c r="L329" s="141">
        <v>0</v>
      </c>
      <c r="M329" s="89">
        <v>0</v>
      </c>
      <c r="N329" s="81" t="str">
        <f t="shared" si="91"/>
        <v>-</v>
      </c>
      <c r="O329" s="367"/>
      <c r="P329" s="180"/>
    </row>
    <row r="330" spans="1:16" s="15" customFormat="1" ht="11.1" customHeight="1" outlineLevel="1">
      <c r="A330" s="259"/>
      <c r="B330" s="76"/>
      <c r="C330" s="82" t="s">
        <v>338</v>
      </c>
      <c r="D330" s="90"/>
      <c r="E330" s="203"/>
      <c r="F330" s="107"/>
      <c r="G330" s="176"/>
      <c r="H330" s="176"/>
      <c r="I330" s="177"/>
      <c r="J330" s="176"/>
      <c r="K330" s="176"/>
      <c r="L330" s="141"/>
      <c r="M330" s="89"/>
      <c r="N330" s="81"/>
      <c r="O330" s="357"/>
      <c r="P330" s="180"/>
    </row>
    <row r="331" spans="1:16" s="15" customFormat="1" ht="11.1" customHeight="1" outlineLevel="1">
      <c r="A331" s="259"/>
      <c r="B331" s="76"/>
      <c r="C331" s="82" t="s">
        <v>339</v>
      </c>
      <c r="D331" s="90"/>
      <c r="E331" s="203"/>
      <c r="F331" s="107"/>
      <c r="G331" s="176"/>
      <c r="H331" s="176"/>
      <c r="I331" s="177"/>
      <c r="J331" s="176"/>
      <c r="K331" s="176"/>
      <c r="L331" s="141"/>
      <c r="M331" s="89"/>
      <c r="N331" s="81"/>
      <c r="O331" s="357"/>
      <c r="P331" s="180"/>
    </row>
    <row r="332" spans="1:16" s="15" customFormat="1" ht="11.1" customHeight="1" outlineLevel="1">
      <c r="A332" s="259"/>
      <c r="B332" s="76"/>
      <c r="C332" s="82" t="s">
        <v>340</v>
      </c>
      <c r="D332" s="90"/>
      <c r="E332" s="203"/>
      <c r="F332" s="107"/>
      <c r="G332" s="176"/>
      <c r="H332" s="176"/>
      <c r="I332" s="177"/>
      <c r="J332" s="176"/>
      <c r="K332" s="176"/>
      <c r="L332" s="141"/>
      <c r="M332" s="89"/>
      <c r="N332" s="81"/>
      <c r="O332" s="357"/>
      <c r="P332" s="180"/>
    </row>
    <row r="333" spans="1:16" s="15" customFormat="1" ht="11.1" customHeight="1" outlineLevel="1">
      <c r="A333" s="259"/>
      <c r="B333" s="76"/>
      <c r="C333" s="82" t="s">
        <v>341</v>
      </c>
      <c r="D333" s="90"/>
      <c r="E333" s="203"/>
      <c r="F333" s="107"/>
      <c r="G333" s="176"/>
      <c r="H333" s="176"/>
      <c r="I333" s="177"/>
      <c r="J333" s="176"/>
      <c r="K333" s="176"/>
      <c r="L333" s="141"/>
      <c r="M333" s="89"/>
      <c r="N333" s="81"/>
      <c r="O333" s="357"/>
      <c r="P333" s="180"/>
    </row>
    <row r="334" spans="1:16" s="15" customFormat="1" ht="3.95" customHeight="1" outlineLevel="1">
      <c r="A334" s="267"/>
      <c r="B334" s="85"/>
      <c r="C334" s="185"/>
      <c r="D334" s="202"/>
      <c r="E334" s="204"/>
      <c r="F334" s="243"/>
      <c r="G334" s="178"/>
      <c r="H334" s="178"/>
      <c r="I334" s="186"/>
      <c r="J334" s="178"/>
      <c r="K334" s="178"/>
      <c r="L334" s="144"/>
      <c r="M334" s="187"/>
      <c r="N334" s="88"/>
      <c r="O334" s="362"/>
      <c r="P334" s="180"/>
    </row>
    <row r="335" spans="1:16" s="15" customFormat="1" ht="3.95" customHeight="1" outlineLevel="1">
      <c r="A335" s="268"/>
      <c r="B335" s="72"/>
      <c r="C335" s="285"/>
      <c r="D335" s="201"/>
      <c r="E335" s="269"/>
      <c r="F335" s="274"/>
      <c r="G335" s="272"/>
      <c r="H335" s="272"/>
      <c r="I335" s="275"/>
      <c r="J335" s="272"/>
      <c r="K335" s="272"/>
      <c r="L335" s="139"/>
      <c r="M335" s="279"/>
      <c r="N335" s="75"/>
      <c r="O335" s="280"/>
      <c r="P335" s="180"/>
    </row>
    <row r="336" spans="1:16" s="15" customFormat="1" ht="11.1" customHeight="1" outlineLevel="1">
      <c r="A336" s="370" t="s">
        <v>102</v>
      </c>
      <c r="B336" s="76" t="s">
        <v>9</v>
      </c>
      <c r="C336" s="151" t="s">
        <v>57</v>
      </c>
      <c r="D336" s="369" t="s">
        <v>320</v>
      </c>
      <c r="E336" s="369" t="s">
        <v>56</v>
      </c>
      <c r="F336" s="276" t="s">
        <v>221</v>
      </c>
      <c r="G336" s="182">
        <f>SUM(G337:G342)</f>
        <v>999978</v>
      </c>
      <c r="H336" s="182">
        <f>SUM(H337:H342)</f>
        <v>222652</v>
      </c>
      <c r="I336" s="39">
        <f t="shared" si="84"/>
        <v>22.265689845176595</v>
      </c>
      <c r="J336" s="182">
        <f>SUM(J337:J342)</f>
        <v>0</v>
      </c>
      <c r="K336" s="182">
        <f>SUM(K337:K342)</f>
        <v>231981</v>
      </c>
      <c r="L336" s="278">
        <f>SUM(L337:L342)</f>
        <v>231981</v>
      </c>
      <c r="M336" s="183">
        <f>SUM(M337:M342)</f>
        <v>222651.56</v>
      </c>
      <c r="N336" s="39">
        <f t="shared" ref="N336:N342" si="93">IF(L336&gt;0,M336/L336*100,"-")</f>
        <v>95.978360296748448</v>
      </c>
      <c r="O336" s="393" t="s">
        <v>241</v>
      </c>
      <c r="P336" s="180"/>
    </row>
    <row r="337" spans="1:16" s="15" customFormat="1" ht="11.1" customHeight="1" outlineLevel="1">
      <c r="A337" s="370"/>
      <c r="B337" s="76" t="s">
        <v>10</v>
      </c>
      <c r="C337" s="82" t="s">
        <v>89</v>
      </c>
      <c r="D337" s="369"/>
      <c r="E337" s="369"/>
      <c r="F337" s="79" t="s">
        <v>15</v>
      </c>
      <c r="G337" s="176">
        <v>0</v>
      </c>
      <c r="H337" s="176">
        <v>0</v>
      </c>
      <c r="I337" s="81" t="str">
        <f t="shared" si="84"/>
        <v>-</v>
      </c>
      <c r="J337" s="176">
        <v>0</v>
      </c>
      <c r="K337" s="170">
        <f t="shared" ref="K337:K342" si="94">L337-J337</f>
        <v>0</v>
      </c>
      <c r="L337" s="141">
        <v>0</v>
      </c>
      <c r="M337" s="89">
        <v>0</v>
      </c>
      <c r="N337" s="81" t="str">
        <f t="shared" si="93"/>
        <v>-</v>
      </c>
      <c r="O337" s="367"/>
      <c r="P337" s="180"/>
    </row>
    <row r="338" spans="1:16" s="15" customFormat="1" ht="11.1" customHeight="1" outlineLevel="1">
      <c r="A338" s="370"/>
      <c r="B338" s="76" t="s">
        <v>11</v>
      </c>
      <c r="C338" s="82" t="s">
        <v>238</v>
      </c>
      <c r="D338" s="369"/>
      <c r="E338" s="369"/>
      <c r="F338" s="79" t="s">
        <v>7</v>
      </c>
      <c r="G338" s="176">
        <v>849981</v>
      </c>
      <c r="H338" s="176">
        <f>ROUNDUP(0+M338,0)</f>
        <v>189254</v>
      </c>
      <c r="I338" s="81">
        <f t="shared" si="84"/>
        <v>22.265674173893299</v>
      </c>
      <c r="J338" s="176">
        <v>0</v>
      </c>
      <c r="K338" s="170">
        <f t="shared" si="94"/>
        <v>197184</v>
      </c>
      <c r="L338" s="141">
        <v>197184</v>
      </c>
      <c r="M338" s="89">
        <v>189253.83</v>
      </c>
      <c r="N338" s="81">
        <f t="shared" si="93"/>
        <v>95.97828931353456</v>
      </c>
      <c r="O338" s="367"/>
      <c r="P338" s="180"/>
    </row>
    <row r="339" spans="1:16" s="15" customFormat="1" ht="11.1" customHeight="1" outlineLevel="1">
      <c r="A339" s="244"/>
      <c r="B339" s="76"/>
      <c r="C339" s="82" t="s">
        <v>237</v>
      </c>
      <c r="D339" s="111"/>
      <c r="E339" s="209"/>
      <c r="F339" s="79" t="s">
        <v>8</v>
      </c>
      <c r="G339" s="176">
        <v>0</v>
      </c>
      <c r="H339" s="176">
        <v>0</v>
      </c>
      <c r="I339" s="81" t="str">
        <f t="shared" si="84"/>
        <v>-</v>
      </c>
      <c r="J339" s="176">
        <v>0</v>
      </c>
      <c r="K339" s="170">
        <f t="shared" si="94"/>
        <v>0</v>
      </c>
      <c r="L339" s="141">
        <v>0</v>
      </c>
      <c r="M339" s="89">
        <v>0</v>
      </c>
      <c r="N339" s="81" t="str">
        <f t="shared" si="93"/>
        <v>-</v>
      </c>
      <c r="O339" s="367"/>
      <c r="P339" s="180"/>
    </row>
    <row r="340" spans="1:16" s="15" customFormat="1" ht="11.1" customHeight="1" outlineLevel="1">
      <c r="A340" s="244"/>
      <c r="B340" s="76" t="s">
        <v>12</v>
      </c>
      <c r="C340" s="82" t="s">
        <v>485</v>
      </c>
      <c r="D340" s="111"/>
      <c r="E340" s="209"/>
      <c r="F340" s="79" t="s">
        <v>22</v>
      </c>
      <c r="G340" s="176">
        <v>149997</v>
      </c>
      <c r="H340" s="176">
        <f>ROUNDUP(0+M340,0)</f>
        <v>33398</v>
      </c>
      <c r="I340" s="81">
        <f t="shared" si="84"/>
        <v>22.265778648906313</v>
      </c>
      <c r="J340" s="176">
        <v>0</v>
      </c>
      <c r="K340" s="170">
        <f t="shared" si="94"/>
        <v>34797</v>
      </c>
      <c r="L340" s="141">
        <v>34797</v>
      </c>
      <c r="M340" s="89">
        <v>33397.730000000003</v>
      </c>
      <c r="N340" s="81">
        <f t="shared" si="93"/>
        <v>95.978762537000335</v>
      </c>
      <c r="O340" s="367"/>
      <c r="P340" s="180"/>
    </row>
    <row r="341" spans="1:16" s="15" customFormat="1" ht="11.1" customHeight="1" outlineLevel="1">
      <c r="A341" s="244"/>
      <c r="B341" s="76"/>
      <c r="C341" s="82" t="s">
        <v>486</v>
      </c>
      <c r="D341" s="111"/>
      <c r="E341" s="209"/>
      <c r="F341" s="107" t="s">
        <v>45</v>
      </c>
      <c r="G341" s="176">
        <v>0</v>
      </c>
      <c r="H341" s="176">
        <v>0</v>
      </c>
      <c r="I341" s="177" t="str">
        <f t="shared" si="84"/>
        <v>-</v>
      </c>
      <c r="J341" s="176">
        <v>0</v>
      </c>
      <c r="K341" s="170">
        <f t="shared" si="94"/>
        <v>0</v>
      </c>
      <c r="L341" s="141">
        <v>0</v>
      </c>
      <c r="M341" s="89">
        <v>0</v>
      </c>
      <c r="N341" s="81" t="str">
        <f t="shared" si="93"/>
        <v>-</v>
      </c>
      <c r="O341" s="367"/>
      <c r="P341" s="180"/>
    </row>
    <row r="342" spans="1:16" s="15" customFormat="1" ht="11.1" customHeight="1" outlineLevel="1">
      <c r="A342" s="244"/>
      <c r="B342" s="76"/>
      <c r="C342" s="82"/>
      <c r="D342" s="111"/>
      <c r="E342" s="209"/>
      <c r="F342" s="107" t="s">
        <v>46</v>
      </c>
      <c r="G342" s="176">
        <v>0</v>
      </c>
      <c r="H342" s="176">
        <v>0</v>
      </c>
      <c r="I342" s="177" t="str">
        <f t="shared" si="84"/>
        <v>-</v>
      </c>
      <c r="J342" s="176">
        <v>0</v>
      </c>
      <c r="K342" s="170">
        <f t="shared" si="94"/>
        <v>0</v>
      </c>
      <c r="L342" s="141">
        <v>0</v>
      </c>
      <c r="M342" s="89">
        <v>0</v>
      </c>
      <c r="N342" s="81" t="str">
        <f t="shared" si="93"/>
        <v>-</v>
      </c>
      <c r="O342" s="367"/>
      <c r="P342" s="180"/>
    </row>
    <row r="343" spans="1:16" s="15" customFormat="1" ht="3.95" customHeight="1" outlineLevel="1">
      <c r="A343" s="287"/>
      <c r="B343" s="85"/>
      <c r="C343" s="86"/>
      <c r="D343" s="202"/>
      <c r="E343" s="204"/>
      <c r="F343" s="243"/>
      <c r="G343" s="178"/>
      <c r="H343" s="178"/>
      <c r="I343" s="186"/>
      <c r="J343" s="178"/>
      <c r="K343" s="178"/>
      <c r="L343" s="144"/>
      <c r="M343" s="187"/>
      <c r="N343" s="88"/>
      <c r="O343" s="362"/>
      <c r="P343" s="180"/>
    </row>
    <row r="344" spans="1:16" s="15" customFormat="1" ht="3.95" customHeight="1" outlineLevel="1">
      <c r="A344" s="288"/>
      <c r="B344" s="72"/>
      <c r="C344" s="73"/>
      <c r="D344" s="201"/>
      <c r="E344" s="269"/>
      <c r="F344" s="274"/>
      <c r="G344" s="272"/>
      <c r="H344" s="272"/>
      <c r="I344" s="275"/>
      <c r="J344" s="272"/>
      <c r="K344" s="272"/>
      <c r="L344" s="139"/>
      <c r="M344" s="279"/>
      <c r="N344" s="75"/>
      <c r="O344" s="280"/>
      <c r="P344" s="180"/>
    </row>
    <row r="345" spans="1:16" s="15" customFormat="1" ht="11.1" customHeight="1" outlineLevel="1">
      <c r="A345" s="370" t="s">
        <v>106</v>
      </c>
      <c r="B345" s="76" t="s">
        <v>9</v>
      </c>
      <c r="C345" s="151" t="s">
        <v>57</v>
      </c>
      <c r="D345" s="369" t="s">
        <v>65</v>
      </c>
      <c r="E345" s="369" t="s">
        <v>56</v>
      </c>
      <c r="F345" s="276" t="s">
        <v>221</v>
      </c>
      <c r="G345" s="182">
        <f>SUM(G346:G351)</f>
        <v>347868.2</v>
      </c>
      <c r="H345" s="182">
        <f>SUM(H346:H351)</f>
        <v>142125</v>
      </c>
      <c r="I345" s="39">
        <f t="shared" si="84"/>
        <v>40.855990860906516</v>
      </c>
      <c r="J345" s="182">
        <f>SUM(J346:J351)</f>
        <v>0</v>
      </c>
      <c r="K345" s="182">
        <f>SUM(K346:K351)</f>
        <v>152483</v>
      </c>
      <c r="L345" s="278">
        <f>SUM(L346:L351)</f>
        <v>152483</v>
      </c>
      <c r="M345" s="183">
        <f>SUM(M346:M351)</f>
        <v>146424.06</v>
      </c>
      <c r="N345" s="39">
        <f t="shared" ref="N345:N351" si="95">IF(L345&gt;0,M345/L345*100,"-")</f>
        <v>96.026481640576321</v>
      </c>
      <c r="O345" s="393" t="s">
        <v>241</v>
      </c>
      <c r="P345" s="180"/>
    </row>
    <row r="346" spans="1:16" s="15" customFormat="1" ht="11.1" customHeight="1" outlineLevel="1">
      <c r="A346" s="370"/>
      <c r="B346" s="76" t="s">
        <v>10</v>
      </c>
      <c r="C346" s="151" t="s">
        <v>89</v>
      </c>
      <c r="D346" s="369"/>
      <c r="E346" s="369"/>
      <c r="F346" s="79" t="s">
        <v>15</v>
      </c>
      <c r="G346" s="176">
        <v>0</v>
      </c>
      <c r="H346" s="176">
        <v>0</v>
      </c>
      <c r="I346" s="81" t="str">
        <f t="shared" si="84"/>
        <v>-</v>
      </c>
      <c r="J346" s="176">
        <v>0</v>
      </c>
      <c r="K346" s="170">
        <f t="shared" ref="K346:K351" si="96">L346-J346</f>
        <v>0</v>
      </c>
      <c r="L346" s="141">
        <v>0</v>
      </c>
      <c r="M346" s="89">
        <v>4300</v>
      </c>
      <c r="N346" s="81" t="str">
        <f t="shared" si="95"/>
        <v>-</v>
      </c>
      <c r="O346" s="367"/>
      <c r="P346" s="180"/>
    </row>
    <row r="347" spans="1:16" s="15" customFormat="1" ht="11.1" customHeight="1" outlineLevel="1">
      <c r="A347" s="370"/>
      <c r="B347" s="76" t="s">
        <v>11</v>
      </c>
      <c r="C347" s="82" t="s">
        <v>93</v>
      </c>
      <c r="D347" s="369"/>
      <c r="E347" s="369"/>
      <c r="F347" s="79" t="s">
        <v>7</v>
      </c>
      <c r="G347" s="176">
        <v>329589.2</v>
      </c>
      <c r="H347" s="176">
        <f>ROUNDUP(0+M347,0)</f>
        <v>134518</v>
      </c>
      <c r="I347" s="81">
        <f t="shared" si="84"/>
        <v>40.81383734661209</v>
      </c>
      <c r="J347" s="176">
        <v>0</v>
      </c>
      <c r="K347" s="170">
        <f t="shared" si="96"/>
        <v>144876</v>
      </c>
      <c r="L347" s="141">
        <v>144876</v>
      </c>
      <c r="M347" s="89">
        <v>134517.12</v>
      </c>
      <c r="N347" s="81">
        <f t="shared" si="95"/>
        <v>92.849830199618978</v>
      </c>
      <c r="O347" s="367"/>
      <c r="P347" s="180"/>
    </row>
    <row r="348" spans="1:16" s="15" customFormat="1" ht="11.1" customHeight="1" outlineLevel="1">
      <c r="A348" s="244"/>
      <c r="B348" s="76" t="s">
        <v>12</v>
      </c>
      <c r="C348" s="82" t="s">
        <v>366</v>
      </c>
      <c r="D348" s="111"/>
      <c r="E348" s="209"/>
      <c r="F348" s="79" t="s">
        <v>8</v>
      </c>
      <c r="G348" s="176">
        <v>0</v>
      </c>
      <c r="H348" s="176">
        <v>0</v>
      </c>
      <c r="I348" s="81" t="str">
        <f t="shared" si="84"/>
        <v>-</v>
      </c>
      <c r="J348" s="176">
        <v>0</v>
      </c>
      <c r="K348" s="170">
        <f t="shared" si="96"/>
        <v>0</v>
      </c>
      <c r="L348" s="141">
        <v>0</v>
      </c>
      <c r="M348" s="89">
        <v>0</v>
      </c>
      <c r="N348" s="81" t="str">
        <f t="shared" si="95"/>
        <v>-</v>
      </c>
      <c r="O348" s="367"/>
      <c r="P348" s="180"/>
    </row>
    <row r="349" spans="1:16" s="15" customFormat="1" ht="11.1" customHeight="1" outlineLevel="1">
      <c r="A349" s="244"/>
      <c r="B349" s="76"/>
      <c r="C349" s="179"/>
      <c r="D349" s="111"/>
      <c r="E349" s="209"/>
      <c r="F349" s="79" t="s">
        <v>22</v>
      </c>
      <c r="G349" s="176">
        <v>18279</v>
      </c>
      <c r="H349" s="176">
        <f>ROUNDUP(0+M349,0)</f>
        <v>7607</v>
      </c>
      <c r="I349" s="81">
        <f t="shared" si="84"/>
        <v>41.616062147819903</v>
      </c>
      <c r="J349" s="176">
        <v>0</v>
      </c>
      <c r="K349" s="170">
        <f t="shared" si="96"/>
        <v>7607</v>
      </c>
      <c r="L349" s="141">
        <v>7607</v>
      </c>
      <c r="M349" s="89">
        <f>3306.94+4300</f>
        <v>7606.9400000000005</v>
      </c>
      <c r="N349" s="81">
        <f t="shared" si="95"/>
        <v>99.999211252793486</v>
      </c>
      <c r="O349" s="367"/>
      <c r="P349" s="180"/>
    </row>
    <row r="350" spans="1:16" s="15" customFormat="1" ht="11.1" customHeight="1" outlineLevel="1">
      <c r="A350" s="244"/>
      <c r="B350" s="76"/>
      <c r="C350" s="82"/>
      <c r="D350" s="111"/>
      <c r="E350" s="209"/>
      <c r="F350" s="107" t="s">
        <v>45</v>
      </c>
      <c r="G350" s="176">
        <v>0</v>
      </c>
      <c r="H350" s="176">
        <v>0</v>
      </c>
      <c r="I350" s="177" t="str">
        <f t="shared" si="84"/>
        <v>-</v>
      </c>
      <c r="J350" s="176">
        <v>0</v>
      </c>
      <c r="K350" s="170">
        <f t="shared" si="96"/>
        <v>0</v>
      </c>
      <c r="L350" s="141">
        <v>0</v>
      </c>
      <c r="M350" s="89">
        <v>0</v>
      </c>
      <c r="N350" s="81" t="str">
        <f t="shared" si="95"/>
        <v>-</v>
      </c>
      <c r="O350" s="367"/>
      <c r="P350" s="180"/>
    </row>
    <row r="351" spans="1:16" s="15" customFormat="1" ht="11.1" customHeight="1" outlineLevel="1">
      <c r="A351" s="244"/>
      <c r="B351" s="76"/>
      <c r="C351" s="77"/>
      <c r="D351" s="111"/>
      <c r="E351" s="209"/>
      <c r="F351" s="107" t="s">
        <v>46</v>
      </c>
      <c r="G351" s="176">
        <v>0</v>
      </c>
      <c r="H351" s="176">
        <v>0</v>
      </c>
      <c r="I351" s="177" t="str">
        <f t="shared" si="84"/>
        <v>-</v>
      </c>
      <c r="J351" s="176">
        <v>0</v>
      </c>
      <c r="K351" s="170">
        <f t="shared" si="96"/>
        <v>0</v>
      </c>
      <c r="L351" s="141">
        <v>0</v>
      </c>
      <c r="M351" s="89">
        <v>0</v>
      </c>
      <c r="N351" s="81" t="str">
        <f t="shared" si="95"/>
        <v>-</v>
      </c>
      <c r="O351" s="367"/>
      <c r="P351" s="180"/>
    </row>
    <row r="352" spans="1:16" s="15" customFormat="1" ht="3.95" customHeight="1" outlineLevel="1">
      <c r="A352" s="287"/>
      <c r="B352" s="85"/>
      <c r="C352" s="188"/>
      <c r="D352" s="257"/>
      <c r="E352" s="210"/>
      <c r="F352" s="243"/>
      <c r="G352" s="178"/>
      <c r="H352" s="178"/>
      <c r="I352" s="186"/>
      <c r="J352" s="178"/>
      <c r="K352" s="178"/>
      <c r="L352" s="143"/>
      <c r="M352" s="187"/>
      <c r="N352" s="88"/>
      <c r="O352" s="362"/>
      <c r="P352" s="180"/>
    </row>
    <row r="353" spans="1:16" s="15" customFormat="1" ht="3.95" customHeight="1" outlineLevel="1">
      <c r="A353" s="288"/>
      <c r="B353" s="72"/>
      <c r="C353" s="230"/>
      <c r="D353" s="286"/>
      <c r="E353" s="241"/>
      <c r="F353" s="274"/>
      <c r="G353" s="272"/>
      <c r="H353" s="272"/>
      <c r="I353" s="275"/>
      <c r="J353" s="272"/>
      <c r="K353" s="272"/>
      <c r="L353" s="138"/>
      <c r="M353" s="279"/>
      <c r="N353" s="75"/>
      <c r="O353" s="280"/>
      <c r="P353" s="180"/>
    </row>
    <row r="354" spans="1:16" s="15" customFormat="1" ht="11.1" customHeight="1" outlineLevel="1">
      <c r="A354" s="370" t="s">
        <v>107</v>
      </c>
      <c r="B354" s="76" t="s">
        <v>9</v>
      </c>
      <c r="C354" s="151" t="s">
        <v>103</v>
      </c>
      <c r="D354" s="369" t="s">
        <v>90</v>
      </c>
      <c r="E354" s="369" t="s">
        <v>342</v>
      </c>
      <c r="F354" s="276" t="s">
        <v>221</v>
      </c>
      <c r="G354" s="140">
        <f>SUM(G355:G360)</f>
        <v>98029</v>
      </c>
      <c r="H354" s="140">
        <f>SUM(H355:H360)</f>
        <v>98013</v>
      </c>
      <c r="I354" s="39">
        <f t="shared" si="84"/>
        <v>99.983678299278793</v>
      </c>
      <c r="J354" s="140">
        <f>SUM(J355:J360)</f>
        <v>19606</v>
      </c>
      <c r="K354" s="175">
        <f>SUM(K355:K360)</f>
        <v>33156</v>
      </c>
      <c r="L354" s="175">
        <f>SUM(L355:L360)</f>
        <v>52762</v>
      </c>
      <c r="M354" s="38">
        <f>SUM(M355:M360)</f>
        <v>52745.66</v>
      </c>
      <c r="N354" s="39">
        <f t="shared" ref="N354:N360" si="97">IF(L354&gt;0,M354/L354*100,"-")</f>
        <v>99.969030741821769</v>
      </c>
      <c r="O354" s="389" t="s">
        <v>235</v>
      </c>
      <c r="P354" s="180"/>
    </row>
    <row r="355" spans="1:16" s="15" customFormat="1" ht="11.1" customHeight="1" outlineLevel="1">
      <c r="A355" s="370"/>
      <c r="B355" s="76" t="s">
        <v>10</v>
      </c>
      <c r="C355" s="151" t="s">
        <v>104</v>
      </c>
      <c r="D355" s="369"/>
      <c r="E355" s="369"/>
      <c r="F355" s="79" t="s">
        <v>15</v>
      </c>
      <c r="G355" s="176">
        <v>0</v>
      </c>
      <c r="H355" s="176">
        <v>0</v>
      </c>
      <c r="I355" s="81" t="str">
        <f t="shared" si="84"/>
        <v>-</v>
      </c>
      <c r="J355" s="176">
        <v>0</v>
      </c>
      <c r="K355" s="170">
        <f t="shared" ref="K355:K360" si="98">L355-J355</f>
        <v>0</v>
      </c>
      <c r="L355" s="142">
        <v>0</v>
      </c>
      <c r="M355" s="80">
        <v>0</v>
      </c>
      <c r="N355" s="81" t="str">
        <f t="shared" si="97"/>
        <v>-</v>
      </c>
      <c r="O355" s="392"/>
      <c r="P355" s="180"/>
    </row>
    <row r="356" spans="1:16" s="15" customFormat="1" ht="11.1" customHeight="1" outlineLevel="1">
      <c r="A356" s="370"/>
      <c r="B356" s="76" t="s">
        <v>11</v>
      </c>
      <c r="C356" s="82" t="s">
        <v>105</v>
      </c>
      <c r="D356" s="369"/>
      <c r="E356" s="369"/>
      <c r="F356" s="79" t="s">
        <v>7</v>
      </c>
      <c r="G356" s="176">
        <v>98029</v>
      </c>
      <c r="H356" s="176">
        <f>ROUNDUP(45266.61+M356,0)</f>
        <v>98013</v>
      </c>
      <c r="I356" s="81">
        <f t="shared" si="84"/>
        <v>99.983678299278793</v>
      </c>
      <c r="J356" s="176">
        <v>19606</v>
      </c>
      <c r="K356" s="170">
        <f t="shared" si="98"/>
        <v>33156</v>
      </c>
      <c r="L356" s="142">
        <v>52762</v>
      </c>
      <c r="M356" s="83">
        <v>52745.66</v>
      </c>
      <c r="N356" s="81">
        <f t="shared" si="97"/>
        <v>99.969030741821769</v>
      </c>
      <c r="O356" s="392"/>
      <c r="P356" s="180"/>
    </row>
    <row r="357" spans="1:16" s="15" customFormat="1" ht="11.1" customHeight="1" outlineLevel="1">
      <c r="A357" s="120"/>
      <c r="B357" s="76" t="s">
        <v>12</v>
      </c>
      <c r="C357" s="82" t="s">
        <v>367</v>
      </c>
      <c r="D357" s="111"/>
      <c r="E357" s="111"/>
      <c r="F357" s="79" t="s">
        <v>8</v>
      </c>
      <c r="G357" s="176">
        <v>0</v>
      </c>
      <c r="H357" s="176">
        <v>0</v>
      </c>
      <c r="I357" s="81" t="str">
        <f t="shared" si="84"/>
        <v>-</v>
      </c>
      <c r="J357" s="176">
        <v>0</v>
      </c>
      <c r="K357" s="170">
        <f t="shared" si="98"/>
        <v>0</v>
      </c>
      <c r="L357" s="142">
        <v>0</v>
      </c>
      <c r="M357" s="83">
        <v>0</v>
      </c>
      <c r="N357" s="81" t="str">
        <f t="shared" si="97"/>
        <v>-</v>
      </c>
      <c r="O357" s="392"/>
      <c r="P357" s="180"/>
    </row>
    <row r="358" spans="1:16" s="15" customFormat="1" ht="11.1" customHeight="1" outlineLevel="1">
      <c r="A358" s="120"/>
      <c r="B358" s="76" t="s">
        <v>23</v>
      </c>
      <c r="C358" s="82" t="s">
        <v>343</v>
      </c>
      <c r="D358" s="111"/>
      <c r="E358" s="111"/>
      <c r="F358" s="79" t="s">
        <v>22</v>
      </c>
      <c r="G358" s="176">
        <v>0</v>
      </c>
      <c r="H358" s="176">
        <v>0</v>
      </c>
      <c r="I358" s="81" t="str">
        <f t="shared" si="84"/>
        <v>-</v>
      </c>
      <c r="J358" s="176">
        <v>0</v>
      </c>
      <c r="K358" s="170">
        <f t="shared" si="98"/>
        <v>0</v>
      </c>
      <c r="L358" s="142">
        <v>0</v>
      </c>
      <c r="M358" s="83">
        <v>0</v>
      </c>
      <c r="N358" s="81" t="str">
        <f t="shared" si="97"/>
        <v>-</v>
      </c>
      <c r="O358" s="392"/>
      <c r="P358" s="180"/>
    </row>
    <row r="359" spans="1:16" s="15" customFormat="1" ht="11.1" customHeight="1" outlineLevel="1">
      <c r="A359" s="120"/>
      <c r="B359" s="76"/>
      <c r="C359" s="82" t="s">
        <v>344</v>
      </c>
      <c r="D359" s="111"/>
      <c r="E359" s="111"/>
      <c r="F359" s="107" t="s">
        <v>45</v>
      </c>
      <c r="G359" s="176">
        <v>0</v>
      </c>
      <c r="H359" s="176">
        <v>0</v>
      </c>
      <c r="I359" s="81" t="str">
        <f t="shared" si="84"/>
        <v>-</v>
      </c>
      <c r="J359" s="176">
        <v>0</v>
      </c>
      <c r="K359" s="170">
        <f t="shared" si="98"/>
        <v>0</v>
      </c>
      <c r="L359" s="142">
        <v>0</v>
      </c>
      <c r="M359" s="83">
        <v>0</v>
      </c>
      <c r="N359" s="81" t="str">
        <f t="shared" si="97"/>
        <v>-</v>
      </c>
      <c r="O359" s="392"/>
      <c r="P359" s="180"/>
    </row>
    <row r="360" spans="1:16" s="15" customFormat="1" ht="11.1" customHeight="1" outlineLevel="1">
      <c r="A360" s="120"/>
      <c r="B360" s="76"/>
      <c r="C360" s="82" t="s">
        <v>345</v>
      </c>
      <c r="D360" s="111"/>
      <c r="E360" s="111"/>
      <c r="F360" s="107" t="s">
        <v>46</v>
      </c>
      <c r="G360" s="176">
        <v>0</v>
      </c>
      <c r="H360" s="176">
        <v>0</v>
      </c>
      <c r="I360" s="177" t="str">
        <f t="shared" si="84"/>
        <v>-</v>
      </c>
      <c r="J360" s="176">
        <v>0</v>
      </c>
      <c r="K360" s="170">
        <f t="shared" si="98"/>
        <v>0</v>
      </c>
      <c r="L360" s="142">
        <v>0</v>
      </c>
      <c r="M360" s="83">
        <v>0</v>
      </c>
      <c r="N360" s="81" t="str">
        <f t="shared" si="97"/>
        <v>-</v>
      </c>
      <c r="O360" s="392"/>
      <c r="P360" s="180"/>
    </row>
    <row r="361" spans="1:16" s="15" customFormat="1" ht="3.95" customHeight="1" outlineLevel="1">
      <c r="A361" s="162"/>
      <c r="B361" s="85"/>
      <c r="C361" s="86"/>
      <c r="D361" s="202"/>
      <c r="E361" s="202"/>
      <c r="F361" s="243"/>
      <c r="G361" s="178"/>
      <c r="H361" s="178"/>
      <c r="I361" s="186"/>
      <c r="J361" s="178"/>
      <c r="K361" s="178"/>
      <c r="L361" s="143"/>
      <c r="M361" s="187"/>
      <c r="N361" s="88"/>
      <c r="O361" s="359"/>
      <c r="P361" s="180"/>
    </row>
    <row r="362" spans="1:16" s="15" customFormat="1" ht="3.95" customHeight="1" outlineLevel="1">
      <c r="A362" s="212"/>
      <c r="B362" s="72"/>
      <c r="C362" s="73"/>
      <c r="D362" s="201"/>
      <c r="E362" s="201"/>
      <c r="F362" s="274"/>
      <c r="G362" s="272"/>
      <c r="H362" s="272"/>
      <c r="I362" s="275"/>
      <c r="J362" s="272"/>
      <c r="K362" s="272"/>
      <c r="L362" s="138"/>
      <c r="M362" s="279"/>
      <c r="N362" s="75"/>
      <c r="O362" s="360"/>
      <c r="P362" s="180"/>
    </row>
    <row r="363" spans="1:16" s="15" customFormat="1" ht="11.1" customHeight="1" outlineLevel="1">
      <c r="A363" s="370" t="s">
        <v>108</v>
      </c>
      <c r="B363" s="76" t="s">
        <v>9</v>
      </c>
      <c r="C363" s="151" t="s">
        <v>103</v>
      </c>
      <c r="D363" s="369" t="s">
        <v>90</v>
      </c>
      <c r="E363" s="369" t="s">
        <v>369</v>
      </c>
      <c r="F363" s="78" t="s">
        <v>221</v>
      </c>
      <c r="G363" s="175">
        <f>SUM(G364:G369)</f>
        <v>98756</v>
      </c>
      <c r="H363" s="175">
        <f>SUM(H364:H369)</f>
        <v>98753</v>
      </c>
      <c r="I363" s="39">
        <f t="shared" si="84"/>
        <v>99.996962209891052</v>
      </c>
      <c r="J363" s="175">
        <f>SUM(J364:J369)</f>
        <v>19111</v>
      </c>
      <c r="K363" s="175">
        <f>SUM(K364:K369)</f>
        <v>24773</v>
      </c>
      <c r="L363" s="175">
        <f>SUM(L364:L369)</f>
        <v>43884</v>
      </c>
      <c r="M363" s="167">
        <f>SUM(M364:M369)</f>
        <v>43880.66</v>
      </c>
      <c r="N363" s="39">
        <f t="shared" ref="N363:N369" si="99">IF(L363&gt;0,M363/L363*100,"-")</f>
        <v>99.992389025612979</v>
      </c>
      <c r="O363" s="389" t="s">
        <v>235</v>
      </c>
    </row>
    <row r="364" spans="1:16" s="15" customFormat="1" ht="11.1" customHeight="1" outlineLevel="1">
      <c r="A364" s="370"/>
      <c r="B364" s="76" t="s">
        <v>10</v>
      </c>
      <c r="C364" s="151" t="s">
        <v>104</v>
      </c>
      <c r="D364" s="369"/>
      <c r="E364" s="369"/>
      <c r="F364" s="79" t="s">
        <v>15</v>
      </c>
      <c r="G364" s="176">
        <v>0</v>
      </c>
      <c r="H364" s="176">
        <v>0</v>
      </c>
      <c r="I364" s="81" t="str">
        <f t="shared" si="84"/>
        <v>-</v>
      </c>
      <c r="J364" s="176">
        <v>0</v>
      </c>
      <c r="K364" s="170">
        <f t="shared" ref="K364:K369" si="100">L364-J364</f>
        <v>0</v>
      </c>
      <c r="L364" s="142">
        <v>0</v>
      </c>
      <c r="M364" s="108">
        <v>0</v>
      </c>
      <c r="N364" s="39" t="str">
        <f t="shared" si="99"/>
        <v>-</v>
      </c>
      <c r="O364" s="392"/>
    </row>
    <row r="365" spans="1:16" s="15" customFormat="1" ht="11.1" customHeight="1" outlineLevel="1">
      <c r="A365" s="370"/>
      <c r="B365" s="76" t="s">
        <v>11</v>
      </c>
      <c r="C365" s="82" t="s">
        <v>105</v>
      </c>
      <c r="D365" s="369"/>
      <c r="E365" s="369"/>
      <c r="F365" s="79" t="s">
        <v>7</v>
      </c>
      <c r="G365" s="176">
        <v>98756</v>
      </c>
      <c r="H365" s="176">
        <f>ROUNDUP(54871.5+M365,0)</f>
        <v>98753</v>
      </c>
      <c r="I365" s="81">
        <f t="shared" si="84"/>
        <v>99.996962209891052</v>
      </c>
      <c r="J365" s="176">
        <v>19111</v>
      </c>
      <c r="K365" s="170">
        <f t="shared" si="100"/>
        <v>24773</v>
      </c>
      <c r="L365" s="142">
        <v>43884</v>
      </c>
      <c r="M365" s="89">
        <v>43880.66</v>
      </c>
      <c r="N365" s="39">
        <f t="shared" si="99"/>
        <v>99.992389025612979</v>
      </c>
      <c r="O365" s="392"/>
    </row>
    <row r="366" spans="1:16" s="15" customFormat="1" ht="11.1" customHeight="1" outlineLevel="1">
      <c r="A366" s="120"/>
      <c r="B366" s="76" t="s">
        <v>12</v>
      </c>
      <c r="C366" s="82" t="s">
        <v>368</v>
      </c>
      <c r="D366" s="111"/>
      <c r="E366" s="111"/>
      <c r="F366" s="79" t="s">
        <v>8</v>
      </c>
      <c r="G366" s="176">
        <v>0</v>
      </c>
      <c r="H366" s="176">
        <v>0</v>
      </c>
      <c r="I366" s="81" t="str">
        <f t="shared" si="84"/>
        <v>-</v>
      </c>
      <c r="J366" s="176">
        <v>0</v>
      </c>
      <c r="K366" s="170">
        <f t="shared" si="100"/>
        <v>0</v>
      </c>
      <c r="L366" s="142">
        <v>0</v>
      </c>
      <c r="M366" s="89">
        <v>0</v>
      </c>
      <c r="N366" s="39" t="str">
        <f t="shared" si="99"/>
        <v>-</v>
      </c>
      <c r="O366" s="392"/>
    </row>
    <row r="367" spans="1:16" s="15" customFormat="1" ht="11.1" customHeight="1" outlineLevel="1">
      <c r="A367" s="120"/>
      <c r="B367" s="76" t="s">
        <v>23</v>
      </c>
      <c r="C367" s="82" t="s">
        <v>370</v>
      </c>
      <c r="D367" s="111"/>
      <c r="E367" s="111"/>
      <c r="F367" s="79" t="s">
        <v>22</v>
      </c>
      <c r="G367" s="176">
        <v>0</v>
      </c>
      <c r="H367" s="176">
        <v>0</v>
      </c>
      <c r="I367" s="81" t="str">
        <f t="shared" si="84"/>
        <v>-</v>
      </c>
      <c r="J367" s="176">
        <v>0</v>
      </c>
      <c r="K367" s="170">
        <f t="shared" si="100"/>
        <v>0</v>
      </c>
      <c r="L367" s="142">
        <v>0</v>
      </c>
      <c r="M367" s="89">
        <v>0</v>
      </c>
      <c r="N367" s="39" t="str">
        <f t="shared" si="99"/>
        <v>-</v>
      </c>
      <c r="O367" s="392"/>
    </row>
    <row r="368" spans="1:16" s="15" customFormat="1" ht="11.1" customHeight="1" outlineLevel="1">
      <c r="A368" s="120"/>
      <c r="B368" s="76"/>
      <c r="C368" s="82"/>
      <c r="D368" s="111"/>
      <c r="E368" s="111"/>
      <c r="F368" s="107" t="s">
        <v>45</v>
      </c>
      <c r="G368" s="176">
        <v>0</v>
      </c>
      <c r="H368" s="176">
        <v>0</v>
      </c>
      <c r="I368" s="177" t="str">
        <f t="shared" si="84"/>
        <v>-</v>
      </c>
      <c r="J368" s="176">
        <v>0</v>
      </c>
      <c r="K368" s="170">
        <f t="shared" si="100"/>
        <v>0</v>
      </c>
      <c r="L368" s="142">
        <v>0</v>
      </c>
      <c r="M368" s="89">
        <v>0</v>
      </c>
      <c r="N368" s="39" t="str">
        <f t="shared" si="99"/>
        <v>-</v>
      </c>
      <c r="O368" s="392"/>
    </row>
    <row r="369" spans="1:15" s="15" customFormat="1" ht="11.1" customHeight="1" outlineLevel="1">
      <c r="A369" s="120"/>
      <c r="B369" s="76"/>
      <c r="C369" s="82"/>
      <c r="D369" s="111"/>
      <c r="E369" s="111"/>
      <c r="F369" s="107" t="s">
        <v>46</v>
      </c>
      <c r="G369" s="176">
        <v>0</v>
      </c>
      <c r="H369" s="176">
        <v>0</v>
      </c>
      <c r="I369" s="177" t="str">
        <f t="shared" si="84"/>
        <v>-</v>
      </c>
      <c r="J369" s="176">
        <v>0</v>
      </c>
      <c r="K369" s="170">
        <f t="shared" si="100"/>
        <v>0</v>
      </c>
      <c r="L369" s="142">
        <v>0</v>
      </c>
      <c r="M369" s="89">
        <v>0</v>
      </c>
      <c r="N369" s="39" t="str">
        <f t="shared" si="99"/>
        <v>-</v>
      </c>
      <c r="O369" s="392"/>
    </row>
    <row r="370" spans="1:15" s="15" customFormat="1" ht="3.95" customHeight="1" outlineLevel="1">
      <c r="A370" s="85"/>
      <c r="B370" s="85"/>
      <c r="C370" s="86"/>
      <c r="D370" s="257"/>
      <c r="E370" s="257"/>
      <c r="F370" s="243"/>
      <c r="G370" s="178"/>
      <c r="H370" s="178"/>
      <c r="I370" s="186"/>
      <c r="J370" s="178"/>
      <c r="K370" s="173"/>
      <c r="L370" s="143"/>
      <c r="M370" s="187"/>
      <c r="N370" s="189"/>
      <c r="O370" s="359"/>
    </row>
    <row r="371" spans="1:15" s="15" customFormat="1" ht="3.95" customHeight="1" outlineLevel="1">
      <c r="A371" s="72"/>
      <c r="B371" s="72"/>
      <c r="C371" s="73"/>
      <c r="D371" s="286"/>
      <c r="E371" s="286"/>
      <c r="F371" s="274"/>
      <c r="G371" s="272"/>
      <c r="H371" s="272"/>
      <c r="I371" s="275"/>
      <c r="J371" s="272"/>
      <c r="K371" s="277"/>
      <c r="L371" s="138"/>
      <c r="M371" s="279"/>
      <c r="N371" s="160"/>
      <c r="O371" s="360"/>
    </row>
    <row r="372" spans="1:15" s="15" customFormat="1" ht="11.1" customHeight="1" outlineLevel="1">
      <c r="A372" s="370" t="s">
        <v>109</v>
      </c>
      <c r="B372" s="76" t="s">
        <v>9</v>
      </c>
      <c r="C372" s="151" t="s">
        <v>103</v>
      </c>
      <c r="D372" s="369" t="s">
        <v>90</v>
      </c>
      <c r="E372" s="369" t="s">
        <v>371</v>
      </c>
      <c r="F372" s="276" t="s">
        <v>221</v>
      </c>
      <c r="G372" s="140">
        <f>SUM(G373:G378)</f>
        <v>98288</v>
      </c>
      <c r="H372" s="140">
        <f>SUM(H373:H378)</f>
        <v>98281</v>
      </c>
      <c r="I372" s="39">
        <f t="shared" si="84"/>
        <v>99.992878072602963</v>
      </c>
      <c r="J372" s="140">
        <f>SUM(J373:J378)</f>
        <v>19657</v>
      </c>
      <c r="K372" s="140">
        <f>SUM(K373:K378)</f>
        <v>8998</v>
      </c>
      <c r="L372" s="140">
        <f>SUM(L373:L378)</f>
        <v>28655</v>
      </c>
      <c r="M372" s="38">
        <f>SUM(M373:M378)</f>
        <v>28647.63</v>
      </c>
      <c r="N372" s="39">
        <f t="shared" ref="N372:N378" si="101">IF(L372&gt;0,M372/L372*100,"-")</f>
        <v>99.974280230326301</v>
      </c>
      <c r="O372" s="389" t="s">
        <v>235</v>
      </c>
    </row>
    <row r="373" spans="1:15" s="15" customFormat="1" ht="11.1" customHeight="1" outlineLevel="1">
      <c r="A373" s="370"/>
      <c r="B373" s="76" t="s">
        <v>10</v>
      </c>
      <c r="C373" s="151" t="s">
        <v>104</v>
      </c>
      <c r="D373" s="369"/>
      <c r="E373" s="369"/>
      <c r="F373" s="79" t="s">
        <v>15</v>
      </c>
      <c r="G373" s="170">
        <v>0</v>
      </c>
      <c r="H373" s="170">
        <v>0</v>
      </c>
      <c r="I373" s="81" t="str">
        <f t="shared" si="84"/>
        <v>-</v>
      </c>
      <c r="J373" s="170">
        <v>0</v>
      </c>
      <c r="K373" s="170">
        <f t="shared" ref="K373:K378" si="102">L373-J373</f>
        <v>0</v>
      </c>
      <c r="L373" s="141">
        <v>0</v>
      </c>
      <c r="M373" s="80">
        <v>0</v>
      </c>
      <c r="N373" s="81" t="str">
        <f t="shared" si="101"/>
        <v>-</v>
      </c>
      <c r="O373" s="392"/>
    </row>
    <row r="374" spans="1:15" s="15" customFormat="1" ht="11.1" customHeight="1" outlineLevel="1">
      <c r="A374" s="370"/>
      <c r="B374" s="76" t="s">
        <v>11</v>
      </c>
      <c r="C374" s="82" t="s">
        <v>105</v>
      </c>
      <c r="D374" s="369"/>
      <c r="E374" s="369"/>
      <c r="F374" s="79" t="s">
        <v>7</v>
      </c>
      <c r="G374" s="170">
        <v>98288</v>
      </c>
      <c r="H374" s="170">
        <f>ROUNDUP(69632.66+M374,0)</f>
        <v>98281</v>
      </c>
      <c r="I374" s="81">
        <f t="shared" si="84"/>
        <v>99.992878072602963</v>
      </c>
      <c r="J374" s="170">
        <v>19657</v>
      </c>
      <c r="K374" s="170">
        <f t="shared" si="102"/>
        <v>8998</v>
      </c>
      <c r="L374" s="141">
        <v>28655</v>
      </c>
      <c r="M374" s="83">
        <v>28647.63</v>
      </c>
      <c r="N374" s="81">
        <f t="shared" si="101"/>
        <v>99.974280230326301</v>
      </c>
      <c r="O374" s="392"/>
    </row>
    <row r="375" spans="1:15" s="15" customFormat="1" ht="11.1" customHeight="1" outlineLevel="1">
      <c r="A375" s="120"/>
      <c r="B375" s="76" t="s">
        <v>12</v>
      </c>
      <c r="C375" s="82" t="s">
        <v>378</v>
      </c>
      <c r="D375" s="111"/>
      <c r="E375" s="111"/>
      <c r="F375" s="79" t="s">
        <v>8</v>
      </c>
      <c r="G375" s="170">
        <v>0</v>
      </c>
      <c r="H375" s="170">
        <v>0</v>
      </c>
      <c r="I375" s="81" t="str">
        <f t="shared" si="84"/>
        <v>-</v>
      </c>
      <c r="J375" s="170">
        <v>0</v>
      </c>
      <c r="K375" s="170">
        <f t="shared" si="102"/>
        <v>0</v>
      </c>
      <c r="L375" s="141">
        <v>0</v>
      </c>
      <c r="M375" s="83">
        <v>0</v>
      </c>
      <c r="N375" s="81" t="str">
        <f t="shared" si="101"/>
        <v>-</v>
      </c>
      <c r="O375" s="392"/>
    </row>
    <row r="376" spans="1:15" s="15" customFormat="1" ht="11.1" customHeight="1" outlineLevel="1">
      <c r="A376" s="120"/>
      <c r="B376" s="76" t="s">
        <v>23</v>
      </c>
      <c r="C376" s="82" t="s">
        <v>372</v>
      </c>
      <c r="D376" s="111"/>
      <c r="E376" s="111"/>
      <c r="F376" s="79" t="s">
        <v>22</v>
      </c>
      <c r="G376" s="170">
        <v>0</v>
      </c>
      <c r="H376" s="170">
        <v>0</v>
      </c>
      <c r="I376" s="81" t="str">
        <f t="shared" si="84"/>
        <v>-</v>
      </c>
      <c r="J376" s="170">
        <v>0</v>
      </c>
      <c r="K376" s="170">
        <f t="shared" si="102"/>
        <v>0</v>
      </c>
      <c r="L376" s="141">
        <v>0</v>
      </c>
      <c r="M376" s="83">
        <v>0</v>
      </c>
      <c r="N376" s="81" t="str">
        <f t="shared" si="101"/>
        <v>-</v>
      </c>
      <c r="O376" s="392"/>
    </row>
    <row r="377" spans="1:15" s="15" customFormat="1" ht="11.1" customHeight="1" outlineLevel="1">
      <c r="A377" s="120"/>
      <c r="B377" s="76"/>
      <c r="C377" s="82" t="s">
        <v>373</v>
      </c>
      <c r="D377" s="111"/>
      <c r="E377" s="111"/>
      <c r="F377" s="107" t="s">
        <v>45</v>
      </c>
      <c r="G377" s="170">
        <v>0</v>
      </c>
      <c r="H377" s="170">
        <v>0</v>
      </c>
      <c r="I377" s="171" t="str">
        <f t="shared" si="84"/>
        <v>-</v>
      </c>
      <c r="J377" s="170">
        <v>0</v>
      </c>
      <c r="K377" s="170">
        <f t="shared" si="102"/>
        <v>0</v>
      </c>
      <c r="L377" s="141">
        <v>0</v>
      </c>
      <c r="M377" s="83">
        <v>0</v>
      </c>
      <c r="N377" s="81" t="str">
        <f t="shared" si="101"/>
        <v>-</v>
      </c>
      <c r="O377" s="392"/>
    </row>
    <row r="378" spans="1:15" s="15" customFormat="1" ht="11.1" customHeight="1" outlineLevel="1">
      <c r="A378" s="120"/>
      <c r="B378" s="76"/>
      <c r="C378" s="82" t="s">
        <v>374</v>
      </c>
      <c r="D378" s="111"/>
      <c r="E378" s="111"/>
      <c r="F378" s="107" t="s">
        <v>46</v>
      </c>
      <c r="G378" s="170">
        <v>0</v>
      </c>
      <c r="H378" s="170">
        <v>0</v>
      </c>
      <c r="I378" s="171" t="str">
        <f t="shared" si="84"/>
        <v>-</v>
      </c>
      <c r="J378" s="170">
        <v>0</v>
      </c>
      <c r="K378" s="170">
        <f t="shared" si="102"/>
        <v>0</v>
      </c>
      <c r="L378" s="141">
        <v>0</v>
      </c>
      <c r="M378" s="83">
        <v>0</v>
      </c>
      <c r="N378" s="81" t="str">
        <f t="shared" si="101"/>
        <v>-</v>
      </c>
      <c r="O378" s="392"/>
    </row>
    <row r="379" spans="1:15" s="15" customFormat="1" ht="3.95" customHeight="1" outlineLevel="1">
      <c r="A379" s="162"/>
      <c r="B379" s="85"/>
      <c r="C379" s="86"/>
      <c r="D379" s="202"/>
      <c r="E379" s="202"/>
      <c r="F379" s="243"/>
      <c r="G379" s="178"/>
      <c r="H379" s="178"/>
      <c r="I379" s="181"/>
      <c r="J379" s="178"/>
      <c r="K379" s="178"/>
      <c r="L379" s="143"/>
      <c r="M379" s="174"/>
      <c r="N379" s="88"/>
      <c r="O379" s="359"/>
    </row>
    <row r="380" spans="1:15" s="15" customFormat="1" ht="3.95" customHeight="1" outlineLevel="1">
      <c r="A380" s="212"/>
      <c r="B380" s="72"/>
      <c r="C380" s="73"/>
      <c r="D380" s="201"/>
      <c r="E380" s="201"/>
      <c r="F380" s="274"/>
      <c r="G380" s="272"/>
      <c r="H380" s="272"/>
      <c r="I380" s="273"/>
      <c r="J380" s="272"/>
      <c r="K380" s="272"/>
      <c r="L380" s="138"/>
      <c r="M380" s="265"/>
      <c r="N380" s="75"/>
      <c r="O380" s="360"/>
    </row>
    <row r="381" spans="1:15" s="15" customFormat="1" ht="11.1" customHeight="1" outlineLevel="1">
      <c r="A381" s="370" t="s">
        <v>110</v>
      </c>
      <c r="B381" s="76" t="s">
        <v>9</v>
      </c>
      <c r="C381" s="151" t="s">
        <v>103</v>
      </c>
      <c r="D381" s="369" t="s">
        <v>64</v>
      </c>
      <c r="E381" s="369" t="s">
        <v>369</v>
      </c>
      <c r="F381" s="78" t="s">
        <v>221</v>
      </c>
      <c r="G381" s="175">
        <f>SUM(G382:G387)</f>
        <v>57719</v>
      </c>
      <c r="H381" s="175">
        <f>SUM(H382:H387)</f>
        <v>20399</v>
      </c>
      <c r="I381" s="39">
        <f t="shared" si="84"/>
        <v>35.341915140594956</v>
      </c>
      <c r="J381" s="175">
        <f>SUM(J382:J387)</f>
        <v>5772</v>
      </c>
      <c r="K381" s="175">
        <f>SUM(K382:K387)</f>
        <v>38900</v>
      </c>
      <c r="L381" s="175">
        <f>SUM(L382:L387)</f>
        <v>44672</v>
      </c>
      <c r="M381" s="38">
        <f>SUM(M382:M387)</f>
        <v>13123.48</v>
      </c>
      <c r="N381" s="39">
        <f>IF(L381&gt;0,M381/L381*100,"-")</f>
        <v>29.377417621776502</v>
      </c>
      <c r="O381" s="393" t="s">
        <v>241</v>
      </c>
    </row>
    <row r="382" spans="1:15" s="15" customFormat="1" ht="11.1" customHeight="1" outlineLevel="1">
      <c r="A382" s="370"/>
      <c r="B382" s="76" t="s">
        <v>10</v>
      </c>
      <c r="C382" s="151" t="s">
        <v>104</v>
      </c>
      <c r="D382" s="369"/>
      <c r="E382" s="369"/>
      <c r="F382" s="79" t="s">
        <v>15</v>
      </c>
      <c r="G382" s="170">
        <v>0</v>
      </c>
      <c r="H382" s="170">
        <v>0</v>
      </c>
      <c r="I382" s="81" t="str">
        <f t="shared" si="84"/>
        <v>-</v>
      </c>
      <c r="J382" s="176">
        <v>0</v>
      </c>
      <c r="K382" s="170">
        <f t="shared" ref="K382:K387" si="103">L382-J382</f>
        <v>0</v>
      </c>
      <c r="L382" s="142">
        <v>0</v>
      </c>
      <c r="M382" s="80">
        <v>0</v>
      </c>
      <c r="N382" s="81" t="str">
        <f>IF(L382&gt;0,M382/L382*100,"-")</f>
        <v>-</v>
      </c>
      <c r="O382" s="367"/>
    </row>
    <row r="383" spans="1:15" s="15" customFormat="1" ht="11.1" customHeight="1" outlineLevel="1">
      <c r="A383" s="370"/>
      <c r="B383" s="76" t="s">
        <v>11</v>
      </c>
      <c r="C383" s="82" t="s">
        <v>105</v>
      </c>
      <c r="D383" s="369"/>
      <c r="E383" s="369"/>
      <c r="F383" s="79" t="s">
        <v>7</v>
      </c>
      <c r="G383" s="170">
        <v>57719</v>
      </c>
      <c r="H383" s="170">
        <f>ROUNDUP(7275.45+M383,0)</f>
        <v>20399</v>
      </c>
      <c r="I383" s="81">
        <f t="shared" si="84"/>
        <v>35.341915140594956</v>
      </c>
      <c r="J383" s="176">
        <v>5772</v>
      </c>
      <c r="K383" s="170">
        <f t="shared" si="103"/>
        <v>38900</v>
      </c>
      <c r="L383" s="142">
        <v>44672</v>
      </c>
      <c r="M383" s="83">
        <v>13123.48</v>
      </c>
      <c r="N383" s="81">
        <f t="shared" ref="N383:N470" si="104">IF(L383&gt;0,M383/L383*100,"-")</f>
        <v>29.377417621776502</v>
      </c>
      <c r="O383" s="367"/>
    </row>
    <row r="384" spans="1:15" s="15" customFormat="1" ht="11.1" customHeight="1" outlineLevel="1">
      <c r="A384" s="120"/>
      <c r="B384" s="76" t="s">
        <v>12</v>
      </c>
      <c r="C384" s="82" t="s">
        <v>379</v>
      </c>
      <c r="D384" s="111"/>
      <c r="E384" s="111"/>
      <c r="F384" s="79" t="s">
        <v>8</v>
      </c>
      <c r="G384" s="170">
        <v>0</v>
      </c>
      <c r="H384" s="170">
        <v>0</v>
      </c>
      <c r="I384" s="81" t="str">
        <f t="shared" si="84"/>
        <v>-</v>
      </c>
      <c r="J384" s="176">
        <v>0</v>
      </c>
      <c r="K384" s="170">
        <f t="shared" si="103"/>
        <v>0</v>
      </c>
      <c r="L384" s="142">
        <v>0</v>
      </c>
      <c r="M384" s="83">
        <v>0</v>
      </c>
      <c r="N384" s="81" t="str">
        <f t="shared" si="104"/>
        <v>-</v>
      </c>
      <c r="O384" s="367"/>
    </row>
    <row r="385" spans="1:15" s="15" customFormat="1" ht="11.1" customHeight="1" outlineLevel="1">
      <c r="A385" s="120"/>
      <c r="B385" s="76" t="s">
        <v>23</v>
      </c>
      <c r="C385" s="82" t="s">
        <v>375</v>
      </c>
      <c r="D385" s="111"/>
      <c r="E385" s="111"/>
      <c r="F385" s="79" t="s">
        <v>22</v>
      </c>
      <c r="G385" s="170">
        <v>0</v>
      </c>
      <c r="H385" s="170">
        <v>0</v>
      </c>
      <c r="I385" s="81" t="str">
        <f t="shared" si="84"/>
        <v>-</v>
      </c>
      <c r="J385" s="176">
        <v>0</v>
      </c>
      <c r="K385" s="170">
        <f t="shared" si="103"/>
        <v>0</v>
      </c>
      <c r="L385" s="142">
        <v>0</v>
      </c>
      <c r="M385" s="83">
        <v>0</v>
      </c>
      <c r="N385" s="81" t="str">
        <f>IF(L385&gt;0,M385/L385*100,"-")</f>
        <v>-</v>
      </c>
      <c r="O385" s="367"/>
    </row>
    <row r="386" spans="1:15" s="15" customFormat="1" ht="11.1" customHeight="1" outlineLevel="1">
      <c r="A386" s="120"/>
      <c r="B386" s="76"/>
      <c r="C386" s="82" t="s">
        <v>376</v>
      </c>
      <c r="D386" s="111"/>
      <c r="E386" s="111"/>
      <c r="F386" s="107" t="s">
        <v>45</v>
      </c>
      <c r="G386" s="170">
        <v>0</v>
      </c>
      <c r="H386" s="170">
        <v>0</v>
      </c>
      <c r="I386" s="177" t="str">
        <f t="shared" si="84"/>
        <v>-</v>
      </c>
      <c r="J386" s="176">
        <v>0</v>
      </c>
      <c r="K386" s="170">
        <f t="shared" si="103"/>
        <v>0</v>
      </c>
      <c r="L386" s="142">
        <v>0</v>
      </c>
      <c r="M386" s="83">
        <v>0</v>
      </c>
      <c r="N386" s="81" t="str">
        <f>IF(L386&gt;0,M386/L386*100,"-")</f>
        <v>-</v>
      </c>
      <c r="O386" s="367"/>
    </row>
    <row r="387" spans="1:15" s="15" customFormat="1" ht="11.1" customHeight="1" outlineLevel="1">
      <c r="A387" s="120"/>
      <c r="B387" s="76"/>
      <c r="C387" s="82" t="s">
        <v>377</v>
      </c>
      <c r="D387" s="111"/>
      <c r="E387" s="111"/>
      <c r="F387" s="107" t="s">
        <v>46</v>
      </c>
      <c r="G387" s="170">
        <v>0</v>
      </c>
      <c r="H387" s="170">
        <v>0</v>
      </c>
      <c r="I387" s="177" t="str">
        <f t="shared" si="84"/>
        <v>-</v>
      </c>
      <c r="J387" s="176">
        <v>0</v>
      </c>
      <c r="K387" s="170">
        <f t="shared" si="103"/>
        <v>0</v>
      </c>
      <c r="L387" s="142">
        <v>0</v>
      </c>
      <c r="M387" s="83">
        <v>0</v>
      </c>
      <c r="N387" s="81" t="str">
        <f>IF(L387&gt;0,M387/L387*100,"-")</f>
        <v>-</v>
      </c>
      <c r="O387" s="367"/>
    </row>
    <row r="388" spans="1:15" s="15" customFormat="1" ht="3.95" customHeight="1" outlineLevel="1">
      <c r="A388" s="162"/>
      <c r="B388" s="85"/>
      <c r="C388" s="86"/>
      <c r="D388" s="202"/>
      <c r="E388" s="202"/>
      <c r="F388" s="243"/>
      <c r="G388" s="173"/>
      <c r="H388" s="173"/>
      <c r="I388" s="186"/>
      <c r="J388" s="178"/>
      <c r="K388" s="173"/>
      <c r="L388" s="143"/>
      <c r="M388" s="174"/>
      <c r="N388" s="88"/>
      <c r="O388" s="362"/>
    </row>
    <row r="389" spans="1:15" s="15" customFormat="1" ht="3.95" customHeight="1" outlineLevel="1">
      <c r="A389" s="212"/>
      <c r="B389" s="72"/>
      <c r="C389" s="73"/>
      <c r="D389" s="201"/>
      <c r="E389" s="201"/>
      <c r="F389" s="274"/>
      <c r="G389" s="277"/>
      <c r="H389" s="277"/>
      <c r="I389" s="275"/>
      <c r="J389" s="272"/>
      <c r="K389" s="277"/>
      <c r="L389" s="138"/>
      <c r="M389" s="265"/>
      <c r="N389" s="75"/>
      <c r="O389" s="280"/>
    </row>
    <row r="390" spans="1:15" s="15" customFormat="1" ht="11.1" customHeight="1" outlineLevel="1">
      <c r="A390" s="370" t="s">
        <v>381</v>
      </c>
      <c r="B390" s="76" t="s">
        <v>9</v>
      </c>
      <c r="C390" s="151" t="s">
        <v>103</v>
      </c>
      <c r="D390" s="369" t="s">
        <v>64</v>
      </c>
      <c r="E390" s="369" t="s">
        <v>371</v>
      </c>
      <c r="F390" s="276" t="s">
        <v>221</v>
      </c>
      <c r="G390" s="140">
        <f>SUM(G391:G396)</f>
        <v>76523</v>
      </c>
      <c r="H390" s="140">
        <f>SUM(H391:H396)</f>
        <v>63838</v>
      </c>
      <c r="I390" s="39">
        <f t="shared" si="84"/>
        <v>83.423284502698536</v>
      </c>
      <c r="J390" s="140">
        <f>SUM(J391:J396)</f>
        <v>7653</v>
      </c>
      <c r="K390" s="140">
        <f>SUM(K391:K396)</f>
        <v>53923</v>
      </c>
      <c r="L390" s="140">
        <f>SUM(L391:L396)</f>
        <v>61576</v>
      </c>
      <c r="M390" s="38">
        <f>SUM(M391:M396)</f>
        <v>56542.44</v>
      </c>
      <c r="N390" s="39">
        <f t="shared" si="104"/>
        <v>91.825451474600499</v>
      </c>
      <c r="O390" s="393" t="s">
        <v>241</v>
      </c>
    </row>
    <row r="391" spans="1:15" s="15" customFormat="1" ht="11.1" customHeight="1" outlineLevel="1">
      <c r="A391" s="370"/>
      <c r="B391" s="76" t="s">
        <v>10</v>
      </c>
      <c r="C391" s="151" t="s">
        <v>104</v>
      </c>
      <c r="D391" s="369"/>
      <c r="E391" s="369"/>
      <c r="F391" s="79" t="s">
        <v>15</v>
      </c>
      <c r="G391" s="170">
        <v>0</v>
      </c>
      <c r="H391" s="170">
        <v>0</v>
      </c>
      <c r="I391" s="81" t="str">
        <f t="shared" si="84"/>
        <v>-</v>
      </c>
      <c r="J391" s="170">
        <v>0</v>
      </c>
      <c r="K391" s="170">
        <f t="shared" ref="K391:K396" si="105">L391-J391</f>
        <v>0</v>
      </c>
      <c r="L391" s="141">
        <v>0</v>
      </c>
      <c r="M391" s="80">
        <v>0</v>
      </c>
      <c r="N391" s="81" t="str">
        <f t="shared" si="104"/>
        <v>-</v>
      </c>
      <c r="O391" s="367"/>
    </row>
    <row r="392" spans="1:15" s="15" customFormat="1" ht="11.1" customHeight="1" outlineLevel="1">
      <c r="A392" s="370"/>
      <c r="B392" s="76" t="s">
        <v>11</v>
      </c>
      <c r="C392" s="82" t="s">
        <v>105</v>
      </c>
      <c r="D392" s="369"/>
      <c r="E392" s="369"/>
      <c r="F392" s="79" t="s">
        <v>7</v>
      </c>
      <c r="G392" s="170">
        <v>76523</v>
      </c>
      <c r="H392" s="170">
        <f>ROUNDUP(7295.16+M392,0)</f>
        <v>63838</v>
      </c>
      <c r="I392" s="81">
        <f t="shared" si="84"/>
        <v>83.423284502698536</v>
      </c>
      <c r="J392" s="170">
        <v>7653</v>
      </c>
      <c r="K392" s="170">
        <f t="shared" si="105"/>
        <v>53923</v>
      </c>
      <c r="L392" s="141">
        <v>61576</v>
      </c>
      <c r="M392" s="83">
        <v>56542.44</v>
      </c>
      <c r="N392" s="81">
        <f t="shared" si="104"/>
        <v>91.825451474600499</v>
      </c>
      <c r="O392" s="367"/>
    </row>
    <row r="393" spans="1:15" s="15" customFormat="1" ht="11.1" customHeight="1" outlineLevel="1">
      <c r="A393" s="120"/>
      <c r="B393" s="76" t="s">
        <v>12</v>
      </c>
      <c r="C393" s="82" t="s">
        <v>380</v>
      </c>
      <c r="D393" s="111"/>
      <c r="E393" s="111"/>
      <c r="F393" s="79" t="s">
        <v>8</v>
      </c>
      <c r="G393" s="170">
        <v>0</v>
      </c>
      <c r="H393" s="170">
        <v>0</v>
      </c>
      <c r="I393" s="81" t="str">
        <f t="shared" si="84"/>
        <v>-</v>
      </c>
      <c r="J393" s="170">
        <v>0</v>
      </c>
      <c r="K393" s="170">
        <f t="shared" si="105"/>
        <v>0</v>
      </c>
      <c r="L393" s="141">
        <v>0</v>
      </c>
      <c r="M393" s="83">
        <v>0</v>
      </c>
      <c r="N393" s="81" t="str">
        <f t="shared" si="104"/>
        <v>-</v>
      </c>
      <c r="O393" s="367"/>
    </row>
    <row r="394" spans="1:15" s="15" customFormat="1" ht="11.1" customHeight="1" outlineLevel="1">
      <c r="A394" s="120"/>
      <c r="B394" s="76" t="s">
        <v>23</v>
      </c>
      <c r="C394" s="82" t="s">
        <v>382</v>
      </c>
      <c r="D394" s="111"/>
      <c r="E394" s="111"/>
      <c r="F394" s="79" t="s">
        <v>22</v>
      </c>
      <c r="G394" s="170">
        <v>0</v>
      </c>
      <c r="H394" s="170">
        <v>0</v>
      </c>
      <c r="I394" s="81" t="str">
        <f t="shared" si="84"/>
        <v>-</v>
      </c>
      <c r="J394" s="170">
        <v>0</v>
      </c>
      <c r="K394" s="170">
        <f t="shared" si="105"/>
        <v>0</v>
      </c>
      <c r="L394" s="141">
        <v>0</v>
      </c>
      <c r="M394" s="83">
        <v>0</v>
      </c>
      <c r="N394" s="81" t="str">
        <f t="shared" si="104"/>
        <v>-</v>
      </c>
      <c r="O394" s="367"/>
    </row>
    <row r="395" spans="1:15" s="15" customFormat="1" ht="11.1" customHeight="1" outlineLevel="1">
      <c r="A395" s="120"/>
      <c r="B395" s="76"/>
      <c r="C395" s="82" t="s">
        <v>383</v>
      </c>
      <c r="D395" s="111"/>
      <c r="E395" s="111"/>
      <c r="F395" s="107" t="s">
        <v>45</v>
      </c>
      <c r="G395" s="170">
        <v>0</v>
      </c>
      <c r="H395" s="170">
        <v>0</v>
      </c>
      <c r="I395" s="171" t="str">
        <f t="shared" si="84"/>
        <v>-</v>
      </c>
      <c r="J395" s="170">
        <v>0</v>
      </c>
      <c r="K395" s="170">
        <f t="shared" si="105"/>
        <v>0</v>
      </c>
      <c r="L395" s="141">
        <v>0</v>
      </c>
      <c r="M395" s="83">
        <v>0</v>
      </c>
      <c r="N395" s="81" t="str">
        <f t="shared" si="104"/>
        <v>-</v>
      </c>
      <c r="O395" s="367"/>
    </row>
    <row r="396" spans="1:15" s="15" customFormat="1" ht="11.1" customHeight="1" outlineLevel="1">
      <c r="A396" s="120"/>
      <c r="B396" s="76"/>
      <c r="C396" s="82"/>
      <c r="D396" s="111"/>
      <c r="E396" s="111"/>
      <c r="F396" s="107" t="s">
        <v>46</v>
      </c>
      <c r="G396" s="170">
        <v>0</v>
      </c>
      <c r="H396" s="170">
        <v>0</v>
      </c>
      <c r="I396" s="171" t="str">
        <f t="shared" si="84"/>
        <v>-</v>
      </c>
      <c r="J396" s="170">
        <v>0</v>
      </c>
      <c r="K396" s="170">
        <f t="shared" si="105"/>
        <v>0</v>
      </c>
      <c r="L396" s="141">
        <v>0</v>
      </c>
      <c r="M396" s="83">
        <v>0</v>
      </c>
      <c r="N396" s="81" t="str">
        <f t="shared" si="104"/>
        <v>-</v>
      </c>
      <c r="O396" s="367"/>
    </row>
    <row r="397" spans="1:15" s="15" customFormat="1" ht="3.95" customHeight="1" outlineLevel="1">
      <c r="A397" s="162"/>
      <c r="B397" s="85"/>
      <c r="C397" s="86"/>
      <c r="D397" s="202"/>
      <c r="E397" s="202"/>
      <c r="F397" s="243"/>
      <c r="G397" s="178"/>
      <c r="H397" s="178"/>
      <c r="I397" s="181"/>
      <c r="J397" s="178"/>
      <c r="K397" s="178"/>
      <c r="L397" s="143"/>
      <c r="M397" s="174"/>
      <c r="N397" s="88"/>
      <c r="O397" s="362"/>
    </row>
    <row r="398" spans="1:15" s="15" customFormat="1" ht="3.95" customHeight="1" outlineLevel="1">
      <c r="A398" s="212"/>
      <c r="B398" s="72"/>
      <c r="C398" s="73"/>
      <c r="D398" s="201"/>
      <c r="E398" s="201"/>
      <c r="F398" s="274"/>
      <c r="G398" s="272"/>
      <c r="H398" s="272"/>
      <c r="I398" s="273"/>
      <c r="J398" s="272"/>
      <c r="K398" s="272"/>
      <c r="L398" s="138"/>
      <c r="M398" s="265"/>
      <c r="N398" s="75"/>
      <c r="O398" s="280"/>
    </row>
    <row r="399" spans="1:15" s="15" customFormat="1" ht="11.1" customHeight="1" outlineLevel="1">
      <c r="A399" s="370" t="s">
        <v>387</v>
      </c>
      <c r="B399" s="76" t="s">
        <v>9</v>
      </c>
      <c r="C399" s="151" t="s">
        <v>103</v>
      </c>
      <c r="D399" s="369" t="s">
        <v>64</v>
      </c>
      <c r="E399" s="369" t="s">
        <v>369</v>
      </c>
      <c r="F399" s="78" t="s">
        <v>221</v>
      </c>
      <c r="G399" s="175">
        <f>SUM(G400:G405)</f>
        <v>57285</v>
      </c>
      <c r="H399" s="175">
        <f>SUM(H400:H405)</f>
        <v>0</v>
      </c>
      <c r="I399" s="39">
        <f t="shared" si="84"/>
        <v>0</v>
      </c>
      <c r="J399" s="175">
        <f>SUM(J400:J405)</f>
        <v>5729</v>
      </c>
      <c r="K399" s="175">
        <f>SUM(K400:K405)</f>
        <v>45828</v>
      </c>
      <c r="L399" s="175">
        <f>SUM(L400:L405)</f>
        <v>51557</v>
      </c>
      <c r="M399" s="38">
        <f>SUM(M400:M405)</f>
        <v>0</v>
      </c>
      <c r="N399" s="39">
        <f t="shared" si="104"/>
        <v>0</v>
      </c>
      <c r="O399" s="393" t="s">
        <v>241</v>
      </c>
    </row>
    <row r="400" spans="1:15" s="15" customFormat="1" ht="11.1" customHeight="1" outlineLevel="1">
      <c r="A400" s="370"/>
      <c r="B400" s="76" t="s">
        <v>10</v>
      </c>
      <c r="C400" s="151" t="s">
        <v>104</v>
      </c>
      <c r="D400" s="369"/>
      <c r="E400" s="369"/>
      <c r="F400" s="79" t="s">
        <v>15</v>
      </c>
      <c r="G400" s="176">
        <v>0</v>
      </c>
      <c r="H400" s="176">
        <v>0</v>
      </c>
      <c r="I400" s="81" t="str">
        <f t="shared" si="84"/>
        <v>-</v>
      </c>
      <c r="J400" s="176">
        <v>0</v>
      </c>
      <c r="K400" s="170">
        <f t="shared" ref="K400:K405" si="106">L400-J400</f>
        <v>0</v>
      </c>
      <c r="L400" s="142">
        <v>0</v>
      </c>
      <c r="M400" s="80">
        <v>0</v>
      </c>
      <c r="N400" s="81" t="str">
        <f t="shared" si="104"/>
        <v>-</v>
      </c>
      <c r="O400" s="367"/>
    </row>
    <row r="401" spans="1:15" s="15" customFormat="1" ht="11.1" customHeight="1" outlineLevel="1">
      <c r="A401" s="370"/>
      <c r="B401" s="76" t="s">
        <v>11</v>
      </c>
      <c r="C401" s="82" t="s">
        <v>105</v>
      </c>
      <c r="D401" s="369"/>
      <c r="E401" s="369"/>
      <c r="F401" s="79" t="s">
        <v>7</v>
      </c>
      <c r="G401" s="176">
        <v>57285</v>
      </c>
      <c r="H401" s="176">
        <v>0</v>
      </c>
      <c r="I401" s="81">
        <f t="shared" si="84"/>
        <v>0</v>
      </c>
      <c r="J401" s="176">
        <v>5729</v>
      </c>
      <c r="K401" s="170">
        <f t="shared" si="106"/>
        <v>45828</v>
      </c>
      <c r="L401" s="142">
        <v>51557</v>
      </c>
      <c r="M401" s="83">
        <v>0</v>
      </c>
      <c r="N401" s="81">
        <f t="shared" si="104"/>
        <v>0</v>
      </c>
      <c r="O401" s="367"/>
    </row>
    <row r="402" spans="1:15" s="15" customFormat="1" ht="11.1" customHeight="1" outlineLevel="1">
      <c r="A402" s="244"/>
      <c r="B402" s="76" t="s">
        <v>12</v>
      </c>
      <c r="C402" s="82" t="s">
        <v>384</v>
      </c>
      <c r="D402" s="111"/>
      <c r="E402" s="111"/>
      <c r="F402" s="79" t="s">
        <v>8</v>
      </c>
      <c r="G402" s="176">
        <v>0</v>
      </c>
      <c r="H402" s="176">
        <v>0</v>
      </c>
      <c r="I402" s="81" t="str">
        <f t="shared" si="84"/>
        <v>-</v>
      </c>
      <c r="J402" s="176">
        <v>0</v>
      </c>
      <c r="K402" s="170">
        <f t="shared" si="106"/>
        <v>0</v>
      </c>
      <c r="L402" s="142">
        <v>0</v>
      </c>
      <c r="M402" s="83">
        <v>0</v>
      </c>
      <c r="N402" s="81" t="str">
        <f t="shared" si="104"/>
        <v>-</v>
      </c>
      <c r="O402" s="367"/>
    </row>
    <row r="403" spans="1:15" s="15" customFormat="1" ht="11.1" customHeight="1" outlineLevel="1">
      <c r="A403" s="244"/>
      <c r="B403" s="76" t="s">
        <v>23</v>
      </c>
      <c r="C403" s="82" t="s">
        <v>385</v>
      </c>
      <c r="D403" s="111"/>
      <c r="E403" s="111"/>
      <c r="F403" s="79" t="s">
        <v>22</v>
      </c>
      <c r="G403" s="176">
        <v>0</v>
      </c>
      <c r="H403" s="176">
        <v>0</v>
      </c>
      <c r="I403" s="81" t="str">
        <f t="shared" si="84"/>
        <v>-</v>
      </c>
      <c r="J403" s="176">
        <v>0</v>
      </c>
      <c r="K403" s="170">
        <f t="shared" si="106"/>
        <v>0</v>
      </c>
      <c r="L403" s="142">
        <v>0</v>
      </c>
      <c r="M403" s="83">
        <v>0</v>
      </c>
      <c r="N403" s="81" t="str">
        <f t="shared" si="104"/>
        <v>-</v>
      </c>
      <c r="O403" s="367"/>
    </row>
    <row r="404" spans="1:15" s="15" customFormat="1" ht="11.1" customHeight="1" outlineLevel="1">
      <c r="A404" s="244"/>
      <c r="B404" s="76"/>
      <c r="C404" s="82" t="s">
        <v>386</v>
      </c>
      <c r="D404" s="111"/>
      <c r="E404" s="111"/>
      <c r="F404" s="107" t="s">
        <v>45</v>
      </c>
      <c r="G404" s="176">
        <v>0</v>
      </c>
      <c r="H404" s="176">
        <v>0</v>
      </c>
      <c r="I404" s="81" t="str">
        <f t="shared" si="84"/>
        <v>-</v>
      </c>
      <c r="J404" s="176">
        <v>0</v>
      </c>
      <c r="K404" s="170">
        <f t="shared" si="106"/>
        <v>0</v>
      </c>
      <c r="L404" s="142">
        <v>0</v>
      </c>
      <c r="M404" s="83">
        <v>0</v>
      </c>
      <c r="N404" s="81" t="str">
        <f t="shared" si="104"/>
        <v>-</v>
      </c>
      <c r="O404" s="367"/>
    </row>
    <row r="405" spans="1:15" s="15" customFormat="1" ht="11.1" customHeight="1" outlineLevel="1">
      <c r="A405" s="244"/>
      <c r="B405" s="76"/>
      <c r="C405" s="82"/>
      <c r="D405" s="111"/>
      <c r="E405" s="111"/>
      <c r="F405" s="107" t="s">
        <v>46</v>
      </c>
      <c r="G405" s="170">
        <v>0</v>
      </c>
      <c r="H405" s="176">
        <v>0</v>
      </c>
      <c r="I405" s="81" t="str">
        <f t="shared" si="84"/>
        <v>-</v>
      </c>
      <c r="J405" s="176">
        <v>0</v>
      </c>
      <c r="K405" s="170">
        <f t="shared" si="106"/>
        <v>0</v>
      </c>
      <c r="L405" s="142">
        <v>0</v>
      </c>
      <c r="M405" s="83">
        <v>0</v>
      </c>
      <c r="N405" s="81" t="str">
        <f t="shared" si="104"/>
        <v>-</v>
      </c>
      <c r="O405" s="367"/>
    </row>
    <row r="406" spans="1:15" s="15" customFormat="1" ht="3.95" customHeight="1" outlineLevel="1">
      <c r="A406" s="267"/>
      <c r="B406" s="85"/>
      <c r="C406" s="86"/>
      <c r="D406" s="202"/>
      <c r="E406" s="202"/>
      <c r="F406" s="243"/>
      <c r="G406" s="178"/>
      <c r="H406" s="178"/>
      <c r="I406" s="88"/>
      <c r="J406" s="178"/>
      <c r="K406" s="178"/>
      <c r="L406" s="143"/>
      <c r="M406" s="174"/>
      <c r="N406" s="88"/>
      <c r="O406" s="362"/>
    </row>
    <row r="407" spans="1:15" s="15" customFormat="1" ht="3.95" customHeight="1" outlineLevel="1">
      <c r="A407" s="288"/>
      <c r="B407" s="72"/>
      <c r="C407" s="73"/>
      <c r="D407" s="286"/>
      <c r="E407" s="286"/>
      <c r="F407" s="274"/>
      <c r="G407" s="272"/>
      <c r="H407" s="272"/>
      <c r="I407" s="75"/>
      <c r="J407" s="272"/>
      <c r="K407" s="272"/>
      <c r="L407" s="138"/>
      <c r="M407" s="265"/>
      <c r="N407" s="75"/>
      <c r="O407" s="360"/>
    </row>
    <row r="408" spans="1:15" s="15" customFormat="1" ht="11.1" customHeight="1" outlineLevel="1">
      <c r="A408" s="370" t="s">
        <v>388</v>
      </c>
      <c r="B408" s="76" t="s">
        <v>9</v>
      </c>
      <c r="C408" s="151" t="s">
        <v>103</v>
      </c>
      <c r="D408" s="369" t="s">
        <v>320</v>
      </c>
      <c r="E408" s="369" t="s">
        <v>369</v>
      </c>
      <c r="F408" s="78" t="s">
        <v>221</v>
      </c>
      <c r="G408" s="175">
        <f>SUM(G409:G414)</f>
        <v>60427</v>
      </c>
      <c r="H408" s="175">
        <f>SUM(H409:H414)</f>
        <v>7166</v>
      </c>
      <c r="I408" s="39">
        <f t="shared" ref="I408:I494" si="107">IF(G408&gt;0,H408/G408*100,"-")</f>
        <v>11.858937230046172</v>
      </c>
      <c r="J408" s="175">
        <f>SUM(J409:J414)</f>
        <v>0</v>
      </c>
      <c r="K408" s="175">
        <f>SUM(K409:K414)</f>
        <v>48344</v>
      </c>
      <c r="L408" s="175">
        <f>SUM(L409:L414)</f>
        <v>48344</v>
      </c>
      <c r="M408" s="38">
        <f>SUM(M409:M414)</f>
        <v>7165.67</v>
      </c>
      <c r="N408" s="39">
        <f t="shared" si="104"/>
        <v>14.822253020023169</v>
      </c>
      <c r="O408" s="393" t="s">
        <v>241</v>
      </c>
    </row>
    <row r="409" spans="1:15" s="15" customFormat="1" ht="11.1" customHeight="1" outlineLevel="1">
      <c r="A409" s="370"/>
      <c r="B409" s="76" t="s">
        <v>10</v>
      </c>
      <c r="C409" s="151" t="s">
        <v>104</v>
      </c>
      <c r="D409" s="369"/>
      <c r="E409" s="369"/>
      <c r="F409" s="79" t="s">
        <v>15</v>
      </c>
      <c r="G409" s="176">
        <v>0</v>
      </c>
      <c r="H409" s="176">
        <v>0</v>
      </c>
      <c r="I409" s="81" t="str">
        <f t="shared" si="107"/>
        <v>-</v>
      </c>
      <c r="J409" s="176">
        <v>0</v>
      </c>
      <c r="K409" s="170">
        <f t="shared" ref="K409:K414" si="108">L409-J409</f>
        <v>0</v>
      </c>
      <c r="L409" s="142">
        <v>0</v>
      </c>
      <c r="M409" s="80">
        <v>0</v>
      </c>
      <c r="N409" s="81" t="str">
        <f t="shared" si="104"/>
        <v>-</v>
      </c>
      <c r="O409" s="367"/>
    </row>
    <row r="410" spans="1:15" s="15" customFormat="1" ht="11.1" customHeight="1" outlineLevel="1">
      <c r="A410" s="370"/>
      <c r="B410" s="76" t="s">
        <v>11</v>
      </c>
      <c r="C410" s="82" t="s">
        <v>105</v>
      </c>
      <c r="D410" s="369"/>
      <c r="E410" s="369"/>
      <c r="F410" s="79" t="s">
        <v>7</v>
      </c>
      <c r="G410" s="176">
        <v>60427</v>
      </c>
      <c r="H410" s="176">
        <f>ROUNDUP(0+M410,0)</f>
        <v>7166</v>
      </c>
      <c r="I410" s="81">
        <f t="shared" si="107"/>
        <v>11.858937230046172</v>
      </c>
      <c r="J410" s="176">
        <v>0</v>
      </c>
      <c r="K410" s="170">
        <f t="shared" si="108"/>
        <v>48344</v>
      </c>
      <c r="L410" s="142">
        <v>48344</v>
      </c>
      <c r="M410" s="83">
        <v>7165.67</v>
      </c>
      <c r="N410" s="81">
        <f t="shared" si="104"/>
        <v>14.822253020023169</v>
      </c>
      <c r="O410" s="367"/>
    </row>
    <row r="411" spans="1:15" s="15" customFormat="1" ht="11.1" customHeight="1" outlineLevel="1">
      <c r="A411" s="244"/>
      <c r="B411" s="76" t="s">
        <v>12</v>
      </c>
      <c r="C411" s="82" t="s">
        <v>422</v>
      </c>
      <c r="D411" s="111"/>
      <c r="E411" s="111"/>
      <c r="F411" s="79" t="s">
        <v>8</v>
      </c>
      <c r="G411" s="176">
        <v>0</v>
      </c>
      <c r="H411" s="176">
        <v>0</v>
      </c>
      <c r="I411" s="81" t="str">
        <f t="shared" si="107"/>
        <v>-</v>
      </c>
      <c r="J411" s="176">
        <v>0</v>
      </c>
      <c r="K411" s="170">
        <f t="shared" si="108"/>
        <v>0</v>
      </c>
      <c r="L411" s="142">
        <v>0</v>
      </c>
      <c r="M411" s="83">
        <v>0</v>
      </c>
      <c r="N411" s="81" t="str">
        <f t="shared" si="104"/>
        <v>-</v>
      </c>
      <c r="O411" s="367"/>
    </row>
    <row r="412" spans="1:15" s="15" customFormat="1" ht="11.1" customHeight="1" outlineLevel="1">
      <c r="A412" s="244"/>
      <c r="B412" s="76"/>
      <c r="C412" s="82"/>
      <c r="D412" s="111"/>
      <c r="E412" s="111"/>
      <c r="F412" s="79" t="s">
        <v>22</v>
      </c>
      <c r="G412" s="176">
        <v>0</v>
      </c>
      <c r="H412" s="176">
        <v>0</v>
      </c>
      <c r="I412" s="81" t="str">
        <f t="shared" si="107"/>
        <v>-</v>
      </c>
      <c r="J412" s="176">
        <v>0</v>
      </c>
      <c r="K412" s="170">
        <f t="shared" si="108"/>
        <v>0</v>
      </c>
      <c r="L412" s="142">
        <v>0</v>
      </c>
      <c r="M412" s="83">
        <v>0</v>
      </c>
      <c r="N412" s="81" t="str">
        <f t="shared" si="104"/>
        <v>-</v>
      </c>
      <c r="O412" s="367"/>
    </row>
    <row r="413" spans="1:15" s="15" customFormat="1" ht="11.1" customHeight="1" outlineLevel="1">
      <c r="A413" s="244"/>
      <c r="B413" s="76"/>
      <c r="C413" s="82"/>
      <c r="D413" s="111"/>
      <c r="E413" s="111"/>
      <c r="F413" s="107" t="s">
        <v>45</v>
      </c>
      <c r="G413" s="176">
        <v>0</v>
      </c>
      <c r="H413" s="176">
        <v>0</v>
      </c>
      <c r="I413" s="81" t="str">
        <f t="shared" si="107"/>
        <v>-</v>
      </c>
      <c r="J413" s="176">
        <v>0</v>
      </c>
      <c r="K413" s="170">
        <f t="shared" si="108"/>
        <v>0</v>
      </c>
      <c r="L413" s="142">
        <v>0</v>
      </c>
      <c r="M413" s="83">
        <v>0</v>
      </c>
      <c r="N413" s="81" t="str">
        <f t="shared" si="104"/>
        <v>-</v>
      </c>
      <c r="O413" s="367"/>
    </row>
    <row r="414" spans="1:15" s="15" customFormat="1" ht="11.1" customHeight="1" outlineLevel="1">
      <c r="A414" s="244"/>
      <c r="B414" s="76"/>
      <c r="C414" s="82"/>
      <c r="D414" s="111"/>
      <c r="E414" s="111"/>
      <c r="F414" s="107" t="s">
        <v>46</v>
      </c>
      <c r="G414" s="170">
        <v>0</v>
      </c>
      <c r="H414" s="176">
        <v>0</v>
      </c>
      <c r="I414" s="81" t="str">
        <f t="shared" si="107"/>
        <v>-</v>
      </c>
      <c r="J414" s="176">
        <v>0</v>
      </c>
      <c r="K414" s="170">
        <f t="shared" si="108"/>
        <v>0</v>
      </c>
      <c r="L414" s="142">
        <v>0</v>
      </c>
      <c r="M414" s="83">
        <v>0</v>
      </c>
      <c r="N414" s="81" t="str">
        <f t="shared" si="104"/>
        <v>-</v>
      </c>
      <c r="O414" s="367"/>
    </row>
    <row r="415" spans="1:15" s="15" customFormat="1" ht="3.95" customHeight="1" outlineLevel="1">
      <c r="A415" s="287"/>
      <c r="B415" s="85"/>
      <c r="C415" s="86"/>
      <c r="D415" s="202"/>
      <c r="E415" s="202"/>
      <c r="F415" s="243"/>
      <c r="G415" s="178"/>
      <c r="H415" s="178"/>
      <c r="I415" s="88"/>
      <c r="J415" s="178"/>
      <c r="K415" s="178"/>
      <c r="L415" s="143"/>
      <c r="M415" s="174"/>
      <c r="N415" s="88"/>
      <c r="O415" s="362"/>
    </row>
    <row r="416" spans="1:15" s="15" customFormat="1" ht="3.95" customHeight="1" outlineLevel="1">
      <c r="A416" s="288"/>
      <c r="B416" s="72"/>
      <c r="C416" s="73"/>
      <c r="D416" s="201"/>
      <c r="E416" s="201"/>
      <c r="F416" s="274"/>
      <c r="G416" s="272"/>
      <c r="H416" s="272"/>
      <c r="I416" s="75"/>
      <c r="J416" s="272"/>
      <c r="K416" s="272"/>
      <c r="L416" s="138"/>
      <c r="M416" s="265"/>
      <c r="N416" s="75"/>
      <c r="O416" s="280"/>
    </row>
    <row r="417" spans="1:15" s="15" customFormat="1" ht="11.1" customHeight="1" outlineLevel="1">
      <c r="A417" s="370" t="s">
        <v>389</v>
      </c>
      <c r="B417" s="76" t="s">
        <v>9</v>
      </c>
      <c r="C417" s="151" t="s">
        <v>103</v>
      </c>
      <c r="D417" s="369" t="s">
        <v>320</v>
      </c>
      <c r="E417" s="369" t="s">
        <v>371</v>
      </c>
      <c r="F417" s="78" t="s">
        <v>221</v>
      </c>
      <c r="G417" s="175">
        <f>SUM(G418:G423)</f>
        <v>81777</v>
      </c>
      <c r="H417" s="175">
        <f>SUM(H418:H423)</f>
        <v>22818</v>
      </c>
      <c r="I417" s="39">
        <f t="shared" si="107"/>
        <v>27.902711031219045</v>
      </c>
      <c r="J417" s="175">
        <f>SUM(J418:J423)</f>
        <v>0</v>
      </c>
      <c r="K417" s="175">
        <f>SUM(K418:K423)</f>
        <v>64207</v>
      </c>
      <c r="L417" s="175">
        <f>SUM(L418:L423)</f>
        <v>64207</v>
      </c>
      <c r="M417" s="38">
        <f>SUM(M418:M423)</f>
        <v>22817.4</v>
      </c>
      <c r="N417" s="39">
        <f t="shared" si="104"/>
        <v>35.537246717647605</v>
      </c>
      <c r="O417" s="393" t="s">
        <v>241</v>
      </c>
    </row>
    <row r="418" spans="1:15" s="15" customFormat="1" ht="11.1" customHeight="1" outlineLevel="1">
      <c r="A418" s="370"/>
      <c r="B418" s="76" t="s">
        <v>10</v>
      </c>
      <c r="C418" s="151" t="s">
        <v>104</v>
      </c>
      <c r="D418" s="369"/>
      <c r="E418" s="369"/>
      <c r="F418" s="79" t="s">
        <v>15</v>
      </c>
      <c r="G418" s="176">
        <v>0</v>
      </c>
      <c r="H418" s="176">
        <v>0</v>
      </c>
      <c r="I418" s="81" t="str">
        <f t="shared" si="107"/>
        <v>-</v>
      </c>
      <c r="J418" s="176">
        <v>0</v>
      </c>
      <c r="K418" s="170">
        <f t="shared" ref="K418:K423" si="109">L418-J418</f>
        <v>0</v>
      </c>
      <c r="L418" s="142">
        <v>0</v>
      </c>
      <c r="M418" s="80">
        <v>0</v>
      </c>
      <c r="N418" s="81" t="str">
        <f t="shared" si="104"/>
        <v>-</v>
      </c>
      <c r="O418" s="367"/>
    </row>
    <row r="419" spans="1:15" s="15" customFormat="1" ht="11.1" customHeight="1" outlineLevel="1">
      <c r="A419" s="370"/>
      <c r="B419" s="76" t="s">
        <v>11</v>
      </c>
      <c r="C419" s="82" t="s">
        <v>105</v>
      </c>
      <c r="D419" s="369"/>
      <c r="E419" s="369"/>
      <c r="F419" s="79" t="s">
        <v>7</v>
      </c>
      <c r="G419" s="176">
        <v>81777</v>
      </c>
      <c r="H419" s="176">
        <f>ROUNDUP(0+M419,0)</f>
        <v>22818</v>
      </c>
      <c r="I419" s="81">
        <f t="shared" si="107"/>
        <v>27.902711031219045</v>
      </c>
      <c r="J419" s="176">
        <v>0</v>
      </c>
      <c r="K419" s="170">
        <f t="shared" si="109"/>
        <v>64207</v>
      </c>
      <c r="L419" s="142">
        <v>64207</v>
      </c>
      <c r="M419" s="83">
        <v>22817.4</v>
      </c>
      <c r="N419" s="81">
        <f t="shared" si="104"/>
        <v>35.537246717647605</v>
      </c>
      <c r="O419" s="367"/>
    </row>
    <row r="420" spans="1:15" s="15" customFormat="1" ht="11.1" customHeight="1" outlineLevel="1">
      <c r="A420" s="244"/>
      <c r="B420" s="76" t="s">
        <v>12</v>
      </c>
      <c r="C420" s="82" t="s">
        <v>421</v>
      </c>
      <c r="D420" s="111"/>
      <c r="E420" s="111"/>
      <c r="F420" s="79" t="s">
        <v>8</v>
      </c>
      <c r="G420" s="176">
        <v>0</v>
      </c>
      <c r="H420" s="176">
        <v>0</v>
      </c>
      <c r="I420" s="81" t="str">
        <f t="shared" si="107"/>
        <v>-</v>
      </c>
      <c r="J420" s="176">
        <v>0</v>
      </c>
      <c r="K420" s="170">
        <f t="shared" si="109"/>
        <v>0</v>
      </c>
      <c r="L420" s="142">
        <v>0</v>
      </c>
      <c r="M420" s="83">
        <v>0</v>
      </c>
      <c r="N420" s="81" t="str">
        <f t="shared" si="104"/>
        <v>-</v>
      </c>
      <c r="O420" s="367"/>
    </row>
    <row r="421" spans="1:15" s="15" customFormat="1" ht="11.1" customHeight="1" outlineLevel="1">
      <c r="A421" s="244"/>
      <c r="B421" s="76"/>
      <c r="C421" s="82"/>
      <c r="D421" s="111"/>
      <c r="E421" s="111"/>
      <c r="F421" s="79" t="s">
        <v>22</v>
      </c>
      <c r="G421" s="176">
        <v>0</v>
      </c>
      <c r="H421" s="176">
        <v>0</v>
      </c>
      <c r="I421" s="81" t="str">
        <f t="shared" si="107"/>
        <v>-</v>
      </c>
      <c r="J421" s="176">
        <v>0</v>
      </c>
      <c r="K421" s="170">
        <f t="shared" si="109"/>
        <v>0</v>
      </c>
      <c r="L421" s="142">
        <v>0</v>
      </c>
      <c r="M421" s="83">
        <v>0</v>
      </c>
      <c r="N421" s="81" t="str">
        <f t="shared" si="104"/>
        <v>-</v>
      </c>
      <c r="O421" s="367"/>
    </row>
    <row r="422" spans="1:15" s="15" customFormat="1" ht="11.1" customHeight="1" outlineLevel="1">
      <c r="A422" s="244"/>
      <c r="B422" s="76"/>
      <c r="C422" s="82"/>
      <c r="D422" s="111"/>
      <c r="E422" s="111"/>
      <c r="F422" s="107" t="s">
        <v>45</v>
      </c>
      <c r="G422" s="176">
        <v>0</v>
      </c>
      <c r="H422" s="176">
        <v>0</v>
      </c>
      <c r="I422" s="81" t="str">
        <f t="shared" si="107"/>
        <v>-</v>
      </c>
      <c r="J422" s="176">
        <v>0</v>
      </c>
      <c r="K422" s="170">
        <f t="shared" si="109"/>
        <v>0</v>
      </c>
      <c r="L422" s="142">
        <v>0</v>
      </c>
      <c r="M422" s="83">
        <v>0</v>
      </c>
      <c r="N422" s="81" t="str">
        <f t="shared" si="104"/>
        <v>-</v>
      </c>
      <c r="O422" s="367"/>
    </row>
    <row r="423" spans="1:15" s="15" customFormat="1" ht="11.1" customHeight="1" outlineLevel="1">
      <c r="A423" s="244"/>
      <c r="B423" s="76"/>
      <c r="C423" s="82"/>
      <c r="D423" s="111"/>
      <c r="E423" s="111"/>
      <c r="F423" s="107" t="s">
        <v>46</v>
      </c>
      <c r="G423" s="170">
        <v>0</v>
      </c>
      <c r="H423" s="176">
        <v>0</v>
      </c>
      <c r="I423" s="81" t="str">
        <f t="shared" si="107"/>
        <v>-</v>
      </c>
      <c r="J423" s="176">
        <v>0</v>
      </c>
      <c r="K423" s="170">
        <f t="shared" si="109"/>
        <v>0</v>
      </c>
      <c r="L423" s="142">
        <v>0</v>
      </c>
      <c r="M423" s="83">
        <v>0</v>
      </c>
      <c r="N423" s="81" t="str">
        <f t="shared" si="104"/>
        <v>-</v>
      </c>
      <c r="O423" s="367"/>
    </row>
    <row r="424" spans="1:15" s="15" customFormat="1" ht="3.95" customHeight="1" outlineLevel="1">
      <c r="A424" s="287"/>
      <c r="B424" s="85"/>
      <c r="C424" s="86"/>
      <c r="D424" s="257"/>
      <c r="E424" s="257"/>
      <c r="F424" s="243"/>
      <c r="G424" s="178"/>
      <c r="H424" s="178"/>
      <c r="I424" s="88"/>
      <c r="J424" s="178"/>
      <c r="K424" s="178"/>
      <c r="L424" s="143"/>
      <c r="M424" s="174"/>
      <c r="N424" s="88"/>
      <c r="O424" s="362"/>
    </row>
    <row r="425" spans="1:15" s="15" customFormat="1" ht="3.95" customHeight="1" outlineLevel="1">
      <c r="A425" s="288"/>
      <c r="B425" s="72"/>
      <c r="C425" s="73"/>
      <c r="D425" s="286"/>
      <c r="E425" s="286"/>
      <c r="F425" s="274"/>
      <c r="G425" s="272"/>
      <c r="H425" s="272"/>
      <c r="I425" s="75"/>
      <c r="J425" s="272"/>
      <c r="K425" s="272"/>
      <c r="L425" s="138"/>
      <c r="M425" s="265"/>
      <c r="N425" s="75"/>
      <c r="O425" s="280"/>
    </row>
    <row r="426" spans="1:15" s="15" customFormat="1" ht="11.1" customHeight="1" outlineLevel="1">
      <c r="A426" s="370" t="s">
        <v>390</v>
      </c>
      <c r="B426" s="76" t="s">
        <v>9</v>
      </c>
      <c r="C426" s="151" t="s">
        <v>103</v>
      </c>
      <c r="D426" s="369" t="s">
        <v>320</v>
      </c>
      <c r="E426" s="369" t="s">
        <v>392</v>
      </c>
      <c r="F426" s="78" t="s">
        <v>221</v>
      </c>
      <c r="G426" s="175">
        <f>SUM(G427:G432)</f>
        <v>80000</v>
      </c>
      <c r="H426" s="175">
        <f>SUM(H427:H432)</f>
        <v>212</v>
      </c>
      <c r="I426" s="39">
        <f t="shared" si="107"/>
        <v>0.26500000000000001</v>
      </c>
      <c r="J426" s="175">
        <f>SUM(J427:J432)</f>
        <v>0</v>
      </c>
      <c r="K426" s="175">
        <f>SUM(K427:K432)</f>
        <v>68210</v>
      </c>
      <c r="L426" s="175">
        <f>SUM(L427:L432)</f>
        <v>68210</v>
      </c>
      <c r="M426" s="38">
        <f>SUM(M427:M432)</f>
        <v>211.74</v>
      </c>
      <c r="N426" s="39">
        <f t="shared" si="104"/>
        <v>0.31042369154082983</v>
      </c>
      <c r="O426" s="393" t="s">
        <v>241</v>
      </c>
    </row>
    <row r="427" spans="1:15" s="15" customFormat="1" ht="11.1" customHeight="1" outlineLevel="1">
      <c r="A427" s="370"/>
      <c r="B427" s="76" t="s">
        <v>10</v>
      </c>
      <c r="C427" s="151" t="s">
        <v>104</v>
      </c>
      <c r="D427" s="369"/>
      <c r="E427" s="369"/>
      <c r="F427" s="79" t="s">
        <v>15</v>
      </c>
      <c r="G427" s="176">
        <v>0</v>
      </c>
      <c r="H427" s="176">
        <v>0</v>
      </c>
      <c r="I427" s="81" t="str">
        <f t="shared" si="107"/>
        <v>-</v>
      </c>
      <c r="J427" s="176">
        <v>0</v>
      </c>
      <c r="K427" s="170">
        <f t="shared" ref="K427:K432" si="110">L427-J427</f>
        <v>0</v>
      </c>
      <c r="L427" s="142">
        <v>0</v>
      </c>
      <c r="M427" s="80">
        <v>0</v>
      </c>
      <c r="N427" s="81" t="str">
        <f t="shared" si="104"/>
        <v>-</v>
      </c>
      <c r="O427" s="367"/>
    </row>
    <row r="428" spans="1:15" s="15" customFormat="1" ht="11.1" customHeight="1" outlineLevel="1">
      <c r="A428" s="370"/>
      <c r="B428" s="76" t="s">
        <v>11</v>
      </c>
      <c r="C428" s="82" t="s">
        <v>105</v>
      </c>
      <c r="D428" s="369"/>
      <c r="E428" s="369"/>
      <c r="F428" s="79" t="s">
        <v>7</v>
      </c>
      <c r="G428" s="176">
        <v>80000</v>
      </c>
      <c r="H428" s="176">
        <f>ROUNDUP(0+M428,0)</f>
        <v>212</v>
      </c>
      <c r="I428" s="81">
        <f t="shared" si="107"/>
        <v>0.26500000000000001</v>
      </c>
      <c r="J428" s="176">
        <v>0</v>
      </c>
      <c r="K428" s="170">
        <f t="shared" si="110"/>
        <v>68210</v>
      </c>
      <c r="L428" s="142">
        <v>68210</v>
      </c>
      <c r="M428" s="83">
        <v>211.74</v>
      </c>
      <c r="N428" s="81">
        <f t="shared" si="104"/>
        <v>0.31042369154082983</v>
      </c>
      <c r="O428" s="367"/>
    </row>
    <row r="429" spans="1:15" s="15" customFormat="1" ht="11.1" customHeight="1" outlineLevel="1">
      <c r="A429" s="244"/>
      <c r="B429" s="76" t="s">
        <v>12</v>
      </c>
      <c r="C429" s="82" t="s">
        <v>420</v>
      </c>
      <c r="D429" s="111"/>
      <c r="E429" s="111"/>
      <c r="F429" s="79" t="s">
        <v>8</v>
      </c>
      <c r="G429" s="176">
        <v>0</v>
      </c>
      <c r="H429" s="176">
        <v>0</v>
      </c>
      <c r="I429" s="81" t="str">
        <f t="shared" si="107"/>
        <v>-</v>
      </c>
      <c r="J429" s="176">
        <v>0</v>
      </c>
      <c r="K429" s="170">
        <f t="shared" si="110"/>
        <v>0</v>
      </c>
      <c r="L429" s="142">
        <v>0</v>
      </c>
      <c r="M429" s="83">
        <v>0</v>
      </c>
      <c r="N429" s="81" t="str">
        <f t="shared" si="104"/>
        <v>-</v>
      </c>
      <c r="O429" s="367"/>
    </row>
    <row r="430" spans="1:15" s="15" customFormat="1" ht="11.1" customHeight="1" outlineLevel="1">
      <c r="A430" s="244"/>
      <c r="B430" s="76"/>
      <c r="C430" s="82"/>
      <c r="D430" s="111"/>
      <c r="E430" s="111"/>
      <c r="F430" s="79" t="s">
        <v>22</v>
      </c>
      <c r="G430" s="176">
        <v>0</v>
      </c>
      <c r="H430" s="176">
        <v>0</v>
      </c>
      <c r="I430" s="81" t="str">
        <f t="shared" si="107"/>
        <v>-</v>
      </c>
      <c r="J430" s="176">
        <v>0</v>
      </c>
      <c r="K430" s="170">
        <f t="shared" si="110"/>
        <v>0</v>
      </c>
      <c r="L430" s="142">
        <v>0</v>
      </c>
      <c r="M430" s="83">
        <v>0</v>
      </c>
      <c r="N430" s="81" t="str">
        <f t="shared" si="104"/>
        <v>-</v>
      </c>
      <c r="O430" s="367"/>
    </row>
    <row r="431" spans="1:15" s="15" customFormat="1" ht="11.1" customHeight="1" outlineLevel="1">
      <c r="A431" s="244"/>
      <c r="B431" s="76"/>
      <c r="C431" s="82"/>
      <c r="D431" s="111"/>
      <c r="E431" s="111"/>
      <c r="F431" s="107" t="s">
        <v>45</v>
      </c>
      <c r="G431" s="176">
        <v>0</v>
      </c>
      <c r="H431" s="176">
        <v>0</v>
      </c>
      <c r="I431" s="81" t="str">
        <f t="shared" si="107"/>
        <v>-</v>
      </c>
      <c r="J431" s="176">
        <v>0</v>
      </c>
      <c r="K431" s="170">
        <f t="shared" si="110"/>
        <v>0</v>
      </c>
      <c r="L431" s="142">
        <v>0</v>
      </c>
      <c r="M431" s="83">
        <v>0</v>
      </c>
      <c r="N431" s="81" t="str">
        <f t="shared" si="104"/>
        <v>-</v>
      </c>
      <c r="O431" s="367"/>
    </row>
    <row r="432" spans="1:15" s="15" customFormat="1" ht="11.1" customHeight="1" outlineLevel="1">
      <c r="A432" s="244"/>
      <c r="B432" s="76"/>
      <c r="C432" s="82"/>
      <c r="D432" s="111"/>
      <c r="E432" s="111"/>
      <c r="F432" s="107" t="s">
        <v>46</v>
      </c>
      <c r="G432" s="170">
        <v>0</v>
      </c>
      <c r="H432" s="176">
        <v>0</v>
      </c>
      <c r="I432" s="81" t="str">
        <f t="shared" si="107"/>
        <v>-</v>
      </c>
      <c r="J432" s="176">
        <v>0</v>
      </c>
      <c r="K432" s="170">
        <f t="shared" si="110"/>
        <v>0</v>
      </c>
      <c r="L432" s="142">
        <v>0</v>
      </c>
      <c r="M432" s="83">
        <v>0</v>
      </c>
      <c r="N432" s="81" t="str">
        <f t="shared" si="104"/>
        <v>-</v>
      </c>
      <c r="O432" s="367"/>
    </row>
    <row r="433" spans="1:15" s="15" customFormat="1" ht="3.95" customHeight="1" outlineLevel="1">
      <c r="A433" s="287"/>
      <c r="B433" s="85"/>
      <c r="C433" s="86"/>
      <c r="D433" s="257"/>
      <c r="E433" s="257"/>
      <c r="F433" s="243"/>
      <c r="G433" s="178"/>
      <c r="H433" s="178"/>
      <c r="I433" s="88"/>
      <c r="J433" s="178"/>
      <c r="K433" s="178"/>
      <c r="L433" s="143"/>
      <c r="M433" s="174"/>
      <c r="N433" s="88"/>
      <c r="O433" s="362"/>
    </row>
    <row r="434" spans="1:15" s="15" customFormat="1" ht="3.95" customHeight="1" outlineLevel="1">
      <c r="A434" s="288"/>
      <c r="B434" s="72"/>
      <c r="C434" s="73"/>
      <c r="D434" s="286"/>
      <c r="E434" s="286"/>
      <c r="F434" s="274"/>
      <c r="G434" s="272"/>
      <c r="H434" s="272"/>
      <c r="I434" s="75"/>
      <c r="J434" s="272"/>
      <c r="K434" s="272"/>
      <c r="L434" s="138"/>
      <c r="M434" s="265"/>
      <c r="N434" s="75"/>
      <c r="O434" s="280"/>
    </row>
    <row r="435" spans="1:15" s="15" customFormat="1" ht="11.1" customHeight="1" outlineLevel="1">
      <c r="A435" s="370" t="s">
        <v>391</v>
      </c>
      <c r="B435" s="76" t="s">
        <v>9</v>
      </c>
      <c r="C435" s="151" t="s">
        <v>103</v>
      </c>
      <c r="D435" s="369" t="s">
        <v>320</v>
      </c>
      <c r="E435" s="369" t="s">
        <v>371</v>
      </c>
      <c r="F435" s="78" t="s">
        <v>221</v>
      </c>
      <c r="G435" s="175">
        <f>SUM(G436:G441)</f>
        <v>88125</v>
      </c>
      <c r="H435" s="175">
        <f>SUM(H436:H441)</f>
        <v>2668</v>
      </c>
      <c r="I435" s="39">
        <f t="shared" si="107"/>
        <v>3.027517730496454</v>
      </c>
      <c r="J435" s="175">
        <f>SUM(J436:J441)</f>
        <v>0</v>
      </c>
      <c r="K435" s="175">
        <f>SUM(K436:K441)</f>
        <v>70500</v>
      </c>
      <c r="L435" s="175">
        <f>SUM(L436:L441)</f>
        <v>70500</v>
      </c>
      <c r="M435" s="38">
        <f>SUM(M436:M441)</f>
        <v>2668</v>
      </c>
      <c r="N435" s="39">
        <f t="shared" si="104"/>
        <v>3.7843971631205675</v>
      </c>
      <c r="O435" s="393" t="s">
        <v>241</v>
      </c>
    </row>
    <row r="436" spans="1:15" s="15" customFormat="1" ht="11.1" customHeight="1" outlineLevel="1">
      <c r="A436" s="370"/>
      <c r="B436" s="76" t="s">
        <v>10</v>
      </c>
      <c r="C436" s="151" t="s">
        <v>104</v>
      </c>
      <c r="D436" s="369"/>
      <c r="E436" s="369"/>
      <c r="F436" s="79" t="s">
        <v>15</v>
      </c>
      <c r="G436" s="176">
        <v>0</v>
      </c>
      <c r="H436" s="176">
        <v>0</v>
      </c>
      <c r="I436" s="81" t="str">
        <f t="shared" si="107"/>
        <v>-</v>
      </c>
      <c r="J436" s="176">
        <v>0</v>
      </c>
      <c r="K436" s="170">
        <f t="shared" ref="K436:K441" si="111">L436-J436</f>
        <v>0</v>
      </c>
      <c r="L436" s="142">
        <v>0</v>
      </c>
      <c r="M436" s="80">
        <v>0</v>
      </c>
      <c r="N436" s="81" t="str">
        <f t="shared" si="104"/>
        <v>-</v>
      </c>
      <c r="O436" s="367"/>
    </row>
    <row r="437" spans="1:15" s="15" customFormat="1" ht="11.1" customHeight="1" outlineLevel="1">
      <c r="A437" s="370"/>
      <c r="B437" s="76" t="s">
        <v>11</v>
      </c>
      <c r="C437" s="82" t="s">
        <v>105</v>
      </c>
      <c r="D437" s="369"/>
      <c r="E437" s="369"/>
      <c r="F437" s="79" t="s">
        <v>7</v>
      </c>
      <c r="G437" s="176">
        <v>88125</v>
      </c>
      <c r="H437" s="176">
        <f>ROUNDUP(0+M437,0)</f>
        <v>2668</v>
      </c>
      <c r="I437" s="81">
        <f t="shared" si="107"/>
        <v>3.027517730496454</v>
      </c>
      <c r="J437" s="176">
        <v>0</v>
      </c>
      <c r="K437" s="170">
        <f t="shared" si="111"/>
        <v>70500</v>
      </c>
      <c r="L437" s="142">
        <v>70500</v>
      </c>
      <c r="M437" s="83">
        <v>2668</v>
      </c>
      <c r="N437" s="81">
        <f t="shared" si="104"/>
        <v>3.7843971631205675</v>
      </c>
      <c r="O437" s="367"/>
    </row>
    <row r="438" spans="1:15" s="15" customFormat="1" ht="11.1" customHeight="1" outlineLevel="1">
      <c r="A438" s="244"/>
      <c r="B438" s="76" t="s">
        <v>12</v>
      </c>
      <c r="C438" s="82" t="s">
        <v>419</v>
      </c>
      <c r="D438" s="111"/>
      <c r="E438" s="111"/>
      <c r="F438" s="79" t="s">
        <v>8</v>
      </c>
      <c r="G438" s="176">
        <v>0</v>
      </c>
      <c r="H438" s="176">
        <v>0</v>
      </c>
      <c r="I438" s="81" t="str">
        <f t="shared" si="107"/>
        <v>-</v>
      </c>
      <c r="J438" s="176">
        <v>0</v>
      </c>
      <c r="K438" s="170">
        <f t="shared" si="111"/>
        <v>0</v>
      </c>
      <c r="L438" s="142">
        <v>0</v>
      </c>
      <c r="M438" s="83">
        <v>0</v>
      </c>
      <c r="N438" s="81" t="str">
        <f t="shared" si="104"/>
        <v>-</v>
      </c>
      <c r="O438" s="367"/>
    </row>
    <row r="439" spans="1:15" s="15" customFormat="1" ht="11.1" customHeight="1" outlineLevel="1">
      <c r="A439" s="244"/>
      <c r="B439" s="76"/>
      <c r="C439" s="82"/>
      <c r="D439" s="111"/>
      <c r="E439" s="111"/>
      <c r="F439" s="79" t="s">
        <v>22</v>
      </c>
      <c r="G439" s="176">
        <v>0</v>
      </c>
      <c r="H439" s="176">
        <v>0</v>
      </c>
      <c r="I439" s="81" t="str">
        <f t="shared" si="107"/>
        <v>-</v>
      </c>
      <c r="J439" s="176">
        <v>0</v>
      </c>
      <c r="K439" s="170">
        <f t="shared" si="111"/>
        <v>0</v>
      </c>
      <c r="L439" s="142">
        <v>0</v>
      </c>
      <c r="M439" s="83">
        <v>0</v>
      </c>
      <c r="N439" s="81" t="str">
        <f t="shared" si="104"/>
        <v>-</v>
      </c>
      <c r="O439" s="367"/>
    </row>
    <row r="440" spans="1:15" s="15" customFormat="1" ht="11.1" customHeight="1" outlineLevel="1">
      <c r="A440" s="244"/>
      <c r="B440" s="76"/>
      <c r="C440" s="82"/>
      <c r="D440" s="111"/>
      <c r="E440" s="111"/>
      <c r="F440" s="107" t="s">
        <v>45</v>
      </c>
      <c r="G440" s="176">
        <v>0</v>
      </c>
      <c r="H440" s="176">
        <v>0</v>
      </c>
      <c r="I440" s="81" t="str">
        <f t="shared" si="107"/>
        <v>-</v>
      </c>
      <c r="J440" s="176">
        <v>0</v>
      </c>
      <c r="K440" s="170">
        <f t="shared" si="111"/>
        <v>0</v>
      </c>
      <c r="L440" s="142">
        <v>0</v>
      </c>
      <c r="M440" s="83">
        <v>0</v>
      </c>
      <c r="N440" s="81" t="str">
        <f t="shared" si="104"/>
        <v>-</v>
      </c>
      <c r="O440" s="367"/>
    </row>
    <row r="441" spans="1:15" s="15" customFormat="1" ht="11.1" customHeight="1" outlineLevel="1">
      <c r="A441" s="244"/>
      <c r="B441" s="76"/>
      <c r="C441" s="82"/>
      <c r="D441" s="111"/>
      <c r="E441" s="111"/>
      <c r="F441" s="107" t="s">
        <v>46</v>
      </c>
      <c r="G441" s="170">
        <v>0</v>
      </c>
      <c r="H441" s="176">
        <v>0</v>
      </c>
      <c r="I441" s="81" t="str">
        <f t="shared" si="107"/>
        <v>-</v>
      </c>
      <c r="J441" s="176">
        <v>0</v>
      </c>
      <c r="K441" s="170">
        <f t="shared" si="111"/>
        <v>0</v>
      </c>
      <c r="L441" s="142">
        <v>0</v>
      </c>
      <c r="M441" s="83">
        <v>0</v>
      </c>
      <c r="N441" s="81" t="str">
        <f t="shared" si="104"/>
        <v>-</v>
      </c>
      <c r="O441" s="367"/>
    </row>
    <row r="442" spans="1:15" s="15" customFormat="1" ht="3.95" customHeight="1" outlineLevel="1">
      <c r="A442" s="287"/>
      <c r="B442" s="85"/>
      <c r="C442" s="86"/>
      <c r="D442" s="257"/>
      <c r="E442" s="257"/>
      <c r="F442" s="243"/>
      <c r="G442" s="173"/>
      <c r="H442" s="192"/>
      <c r="I442" s="88"/>
      <c r="J442" s="192"/>
      <c r="K442" s="173"/>
      <c r="L442" s="193"/>
      <c r="M442" s="174"/>
      <c r="N442" s="88"/>
      <c r="O442" s="362"/>
    </row>
    <row r="443" spans="1:15" s="15" customFormat="1" ht="3.95" customHeight="1" outlineLevel="1">
      <c r="A443" s="288"/>
      <c r="B443" s="72"/>
      <c r="C443" s="73"/>
      <c r="D443" s="286"/>
      <c r="E443" s="286"/>
      <c r="F443" s="274"/>
      <c r="G443" s="277"/>
      <c r="H443" s="289"/>
      <c r="I443" s="75"/>
      <c r="J443" s="289"/>
      <c r="K443" s="277"/>
      <c r="L443" s="250"/>
      <c r="M443" s="265"/>
      <c r="N443" s="75"/>
      <c r="O443" s="280"/>
    </row>
    <row r="444" spans="1:15" s="15" customFormat="1" ht="11.1" customHeight="1" outlineLevel="1">
      <c r="A444" s="370" t="s">
        <v>393</v>
      </c>
      <c r="B444" s="76" t="s">
        <v>9</v>
      </c>
      <c r="C444" s="151" t="s">
        <v>103</v>
      </c>
      <c r="D444" s="369" t="s">
        <v>54</v>
      </c>
      <c r="E444" s="369" t="s">
        <v>342</v>
      </c>
      <c r="F444" s="276" t="s">
        <v>221</v>
      </c>
      <c r="G444" s="140">
        <f>SUM(G445:G450)</f>
        <v>409964</v>
      </c>
      <c r="H444" s="251">
        <f>SUM(H445:H450)</f>
        <v>409197</v>
      </c>
      <c r="I444" s="39">
        <f t="shared" si="107"/>
        <v>99.812910401888942</v>
      </c>
      <c r="J444" s="251">
        <f>SUM(J445:J450)</f>
        <v>60596</v>
      </c>
      <c r="K444" s="140">
        <f>SUM(K445:K450)</f>
        <v>148427</v>
      </c>
      <c r="L444" s="251">
        <f>SUM(L445:L450)</f>
        <v>209023</v>
      </c>
      <c r="M444" s="38">
        <f>SUM(M445:M450)</f>
        <v>208255.4</v>
      </c>
      <c r="N444" s="39">
        <f t="shared" si="104"/>
        <v>99.632767685852755</v>
      </c>
      <c r="O444" s="389" t="s">
        <v>235</v>
      </c>
    </row>
    <row r="445" spans="1:15" s="15" customFormat="1" ht="11.1" customHeight="1" outlineLevel="1">
      <c r="A445" s="370"/>
      <c r="B445" s="76" t="s">
        <v>10</v>
      </c>
      <c r="C445" s="151" t="s">
        <v>111</v>
      </c>
      <c r="D445" s="369"/>
      <c r="E445" s="369"/>
      <c r="F445" s="79" t="s">
        <v>15</v>
      </c>
      <c r="G445" s="170">
        <v>0</v>
      </c>
      <c r="H445" s="309">
        <v>0</v>
      </c>
      <c r="I445" s="81" t="str">
        <f t="shared" si="107"/>
        <v>-</v>
      </c>
      <c r="J445" s="190">
        <v>0</v>
      </c>
      <c r="K445" s="170">
        <f t="shared" ref="K445:K450" si="112">L445-J445</f>
        <v>0</v>
      </c>
      <c r="L445" s="191">
        <v>0</v>
      </c>
      <c r="M445" s="80">
        <v>0</v>
      </c>
      <c r="N445" s="81" t="str">
        <f t="shared" si="104"/>
        <v>-</v>
      </c>
      <c r="O445" s="392"/>
    </row>
    <row r="446" spans="1:15" s="15" customFormat="1" ht="11.1" customHeight="1" outlineLevel="1">
      <c r="A446" s="370"/>
      <c r="B446" s="76" t="s">
        <v>11</v>
      </c>
      <c r="C446" s="82" t="s">
        <v>112</v>
      </c>
      <c r="D446" s="369"/>
      <c r="E446" s="369"/>
      <c r="F446" s="79" t="s">
        <v>7</v>
      </c>
      <c r="G446" s="170">
        <v>409964</v>
      </c>
      <c r="H446" s="309">
        <f>ROUNDUP(200941.02+M446,0)</f>
        <v>409197</v>
      </c>
      <c r="I446" s="81">
        <f t="shared" si="107"/>
        <v>99.812910401888942</v>
      </c>
      <c r="J446" s="190">
        <v>60596</v>
      </c>
      <c r="K446" s="170">
        <f t="shared" si="112"/>
        <v>148427</v>
      </c>
      <c r="L446" s="191">
        <v>209023</v>
      </c>
      <c r="M446" s="83">
        <v>208255.4</v>
      </c>
      <c r="N446" s="81">
        <f t="shared" si="104"/>
        <v>99.632767685852755</v>
      </c>
      <c r="O446" s="392"/>
    </row>
    <row r="447" spans="1:15" s="15" customFormat="1" ht="11.1" customHeight="1" outlineLevel="1">
      <c r="A447" s="120"/>
      <c r="B447" s="76" t="s">
        <v>12</v>
      </c>
      <c r="C447" s="82" t="s">
        <v>418</v>
      </c>
      <c r="D447" s="111"/>
      <c r="E447" s="111"/>
      <c r="F447" s="79" t="s">
        <v>8</v>
      </c>
      <c r="G447" s="170">
        <v>0</v>
      </c>
      <c r="H447" s="309">
        <v>0</v>
      </c>
      <c r="I447" s="81" t="str">
        <f t="shared" si="107"/>
        <v>-</v>
      </c>
      <c r="J447" s="190">
        <v>0</v>
      </c>
      <c r="K447" s="170">
        <f t="shared" si="112"/>
        <v>0</v>
      </c>
      <c r="L447" s="191">
        <v>0</v>
      </c>
      <c r="M447" s="83">
        <v>0</v>
      </c>
      <c r="N447" s="81" t="str">
        <f t="shared" si="104"/>
        <v>-</v>
      </c>
      <c r="O447" s="392"/>
    </row>
    <row r="448" spans="1:15" s="15" customFormat="1" ht="11.1" customHeight="1" outlineLevel="1">
      <c r="A448" s="120"/>
      <c r="B448" s="76" t="s">
        <v>23</v>
      </c>
      <c r="C448" s="82" t="s">
        <v>402</v>
      </c>
      <c r="D448" s="111"/>
      <c r="E448" s="111"/>
      <c r="F448" s="79" t="s">
        <v>22</v>
      </c>
      <c r="G448" s="170">
        <v>0</v>
      </c>
      <c r="H448" s="309">
        <v>0</v>
      </c>
      <c r="I448" s="81" t="str">
        <f t="shared" si="107"/>
        <v>-</v>
      </c>
      <c r="J448" s="190">
        <v>0</v>
      </c>
      <c r="K448" s="170">
        <f t="shared" si="112"/>
        <v>0</v>
      </c>
      <c r="L448" s="191">
        <v>0</v>
      </c>
      <c r="M448" s="83">
        <v>0</v>
      </c>
      <c r="N448" s="81" t="str">
        <f>IF(L448&gt;0,M448/L448*100,"-")</f>
        <v>-</v>
      </c>
      <c r="O448" s="392"/>
    </row>
    <row r="449" spans="1:15" s="15" customFormat="1" ht="11.1" customHeight="1" outlineLevel="1">
      <c r="A449" s="120"/>
      <c r="B449" s="76"/>
      <c r="C449" s="82" t="s">
        <v>403</v>
      </c>
      <c r="D449" s="111"/>
      <c r="E449" s="111"/>
      <c r="F449" s="107" t="s">
        <v>45</v>
      </c>
      <c r="G449" s="170">
        <v>0</v>
      </c>
      <c r="H449" s="309">
        <v>0</v>
      </c>
      <c r="I449" s="81" t="str">
        <f t="shared" si="107"/>
        <v>-</v>
      </c>
      <c r="J449" s="190">
        <v>0</v>
      </c>
      <c r="K449" s="170">
        <f t="shared" si="112"/>
        <v>0</v>
      </c>
      <c r="L449" s="191">
        <v>0</v>
      </c>
      <c r="M449" s="83">
        <v>0</v>
      </c>
      <c r="N449" s="81" t="str">
        <f>IF(L449&gt;0,M449/L449*100,"-")</f>
        <v>-</v>
      </c>
      <c r="O449" s="392"/>
    </row>
    <row r="450" spans="1:15" s="15" customFormat="1" ht="11.1" customHeight="1" outlineLevel="1">
      <c r="A450" s="120"/>
      <c r="B450" s="76"/>
      <c r="C450" s="82" t="s">
        <v>404</v>
      </c>
      <c r="D450" s="111"/>
      <c r="E450" s="111"/>
      <c r="F450" s="107" t="s">
        <v>46</v>
      </c>
      <c r="G450" s="170">
        <v>0</v>
      </c>
      <c r="H450" s="309">
        <v>0</v>
      </c>
      <c r="I450" s="81" t="str">
        <f t="shared" si="107"/>
        <v>-</v>
      </c>
      <c r="J450" s="190">
        <v>0</v>
      </c>
      <c r="K450" s="170">
        <f t="shared" si="112"/>
        <v>0</v>
      </c>
      <c r="L450" s="191">
        <v>0</v>
      </c>
      <c r="M450" s="83">
        <v>0</v>
      </c>
      <c r="N450" s="81" t="str">
        <f t="shared" si="104"/>
        <v>-</v>
      </c>
      <c r="O450" s="392"/>
    </row>
    <row r="451" spans="1:15" s="15" customFormat="1" ht="11.1" customHeight="1" outlineLevel="1">
      <c r="A451" s="76"/>
      <c r="B451" s="76"/>
      <c r="C451" s="82" t="s">
        <v>405</v>
      </c>
      <c r="D451" s="111"/>
      <c r="E451" s="111"/>
      <c r="F451" s="107"/>
      <c r="G451" s="170"/>
      <c r="H451" s="190"/>
      <c r="I451" s="81"/>
      <c r="J451" s="190"/>
      <c r="K451" s="170"/>
      <c r="L451" s="191"/>
      <c r="M451" s="83"/>
      <c r="N451" s="81"/>
      <c r="O451" s="361"/>
    </row>
    <row r="452" spans="1:15" s="15" customFormat="1" ht="3.95" customHeight="1" outlineLevel="1">
      <c r="A452" s="85"/>
      <c r="B452" s="85"/>
      <c r="C452" s="86"/>
      <c r="D452" s="257"/>
      <c r="E452" s="257"/>
      <c r="F452" s="243"/>
      <c r="G452" s="173"/>
      <c r="H452" s="192"/>
      <c r="I452" s="88"/>
      <c r="J452" s="192"/>
      <c r="K452" s="173"/>
      <c r="L452" s="193"/>
      <c r="M452" s="174"/>
      <c r="N452" s="88"/>
      <c r="O452" s="359"/>
    </row>
    <row r="453" spans="1:15" s="15" customFormat="1" ht="3.95" customHeight="1" outlineLevel="1">
      <c r="A453" s="72"/>
      <c r="B453" s="72"/>
      <c r="C453" s="73"/>
      <c r="D453" s="286"/>
      <c r="E453" s="286"/>
      <c r="F453" s="274"/>
      <c r="G453" s="277"/>
      <c r="H453" s="289"/>
      <c r="I453" s="75"/>
      <c r="J453" s="289"/>
      <c r="K453" s="277"/>
      <c r="L453" s="250"/>
      <c r="M453" s="265"/>
      <c r="N453" s="75"/>
      <c r="O453" s="360"/>
    </row>
    <row r="454" spans="1:15" s="15" customFormat="1" ht="11.1" customHeight="1" outlineLevel="1">
      <c r="A454" s="370" t="s">
        <v>394</v>
      </c>
      <c r="B454" s="76" t="s">
        <v>9</v>
      </c>
      <c r="C454" s="151" t="s">
        <v>103</v>
      </c>
      <c r="D454" s="369" t="s">
        <v>54</v>
      </c>
      <c r="E454" s="369" t="s">
        <v>342</v>
      </c>
      <c r="F454" s="78" t="s">
        <v>221</v>
      </c>
      <c r="G454" s="175">
        <f>SUM(G455:G460)</f>
        <v>139485</v>
      </c>
      <c r="H454" s="175">
        <f>SUM(H455:H460)</f>
        <v>131894</v>
      </c>
      <c r="I454" s="39">
        <f t="shared" si="107"/>
        <v>94.557837760332646</v>
      </c>
      <c r="J454" s="175">
        <f>SUM(J455:J460)</f>
        <v>28665</v>
      </c>
      <c r="K454" s="175">
        <f>SUM(K455:K460)</f>
        <v>4111</v>
      </c>
      <c r="L454" s="175">
        <f>SUM(L455:L460)</f>
        <v>32776</v>
      </c>
      <c r="M454" s="38">
        <f>SUM(M455:M460)</f>
        <v>25184.99</v>
      </c>
      <c r="N454" s="39">
        <f t="shared" si="104"/>
        <v>76.83973029045643</v>
      </c>
      <c r="O454" s="389" t="s">
        <v>235</v>
      </c>
    </row>
    <row r="455" spans="1:15" s="15" customFormat="1" ht="11.1" customHeight="1" outlineLevel="1">
      <c r="A455" s="370"/>
      <c r="B455" s="76" t="s">
        <v>10</v>
      </c>
      <c r="C455" s="151" t="s">
        <v>111</v>
      </c>
      <c r="D455" s="369"/>
      <c r="E455" s="369"/>
      <c r="F455" s="79" t="s">
        <v>15</v>
      </c>
      <c r="G455" s="176">
        <v>0</v>
      </c>
      <c r="H455" s="176">
        <v>0</v>
      </c>
      <c r="I455" s="81" t="str">
        <f t="shared" si="107"/>
        <v>-</v>
      </c>
      <c r="J455" s="176">
        <v>0</v>
      </c>
      <c r="K455" s="170">
        <f t="shared" ref="K455:K460" si="113">L455-J455</f>
        <v>0</v>
      </c>
      <c r="L455" s="142">
        <v>0</v>
      </c>
      <c r="M455" s="80">
        <v>0</v>
      </c>
      <c r="N455" s="81" t="str">
        <f t="shared" si="104"/>
        <v>-</v>
      </c>
      <c r="O455" s="392"/>
    </row>
    <row r="456" spans="1:15" s="15" customFormat="1" ht="11.1" customHeight="1" outlineLevel="1">
      <c r="A456" s="370"/>
      <c r="B456" s="76" t="s">
        <v>11</v>
      </c>
      <c r="C456" s="82" t="s">
        <v>112</v>
      </c>
      <c r="D456" s="369"/>
      <c r="E456" s="369"/>
      <c r="F456" s="79" t="s">
        <v>7</v>
      </c>
      <c r="G456" s="176">
        <v>139485</v>
      </c>
      <c r="H456" s="176">
        <f>ROUNDUP(106708.64+M456,0)</f>
        <v>131894</v>
      </c>
      <c r="I456" s="81">
        <f t="shared" si="107"/>
        <v>94.557837760332646</v>
      </c>
      <c r="J456" s="176">
        <v>28665</v>
      </c>
      <c r="K456" s="170">
        <f t="shared" si="113"/>
        <v>4111</v>
      </c>
      <c r="L456" s="142">
        <v>32776</v>
      </c>
      <c r="M456" s="83">
        <v>25184.99</v>
      </c>
      <c r="N456" s="81">
        <f t="shared" si="104"/>
        <v>76.83973029045643</v>
      </c>
      <c r="O456" s="392"/>
    </row>
    <row r="457" spans="1:15" s="15" customFormat="1" ht="11.1" customHeight="1" outlineLevel="1">
      <c r="A457" s="120"/>
      <c r="B457" s="76" t="s">
        <v>12</v>
      </c>
      <c r="C457" s="82" t="s">
        <v>417</v>
      </c>
      <c r="D457" s="111"/>
      <c r="E457" s="111"/>
      <c r="F457" s="79" t="s">
        <v>8</v>
      </c>
      <c r="G457" s="176">
        <v>0</v>
      </c>
      <c r="H457" s="176">
        <v>0</v>
      </c>
      <c r="I457" s="81" t="str">
        <f t="shared" si="107"/>
        <v>-</v>
      </c>
      <c r="J457" s="176">
        <v>0</v>
      </c>
      <c r="K457" s="170">
        <f t="shared" si="113"/>
        <v>0</v>
      </c>
      <c r="L457" s="142">
        <v>0</v>
      </c>
      <c r="M457" s="83">
        <v>0</v>
      </c>
      <c r="N457" s="81" t="str">
        <f t="shared" si="104"/>
        <v>-</v>
      </c>
      <c r="O457" s="392"/>
    </row>
    <row r="458" spans="1:15" s="15" customFormat="1" ht="11.1" customHeight="1" outlineLevel="1">
      <c r="A458" s="120"/>
      <c r="B458" s="76" t="s">
        <v>23</v>
      </c>
      <c r="C458" s="82" t="s">
        <v>398</v>
      </c>
      <c r="D458" s="111"/>
      <c r="E458" s="111"/>
      <c r="F458" s="79" t="s">
        <v>22</v>
      </c>
      <c r="G458" s="176">
        <v>0</v>
      </c>
      <c r="H458" s="176">
        <v>0</v>
      </c>
      <c r="I458" s="81" t="str">
        <f t="shared" si="107"/>
        <v>-</v>
      </c>
      <c r="J458" s="176">
        <v>0</v>
      </c>
      <c r="K458" s="170">
        <f t="shared" si="113"/>
        <v>0</v>
      </c>
      <c r="L458" s="142">
        <v>0</v>
      </c>
      <c r="M458" s="83">
        <v>0</v>
      </c>
      <c r="N458" s="81" t="str">
        <f t="shared" si="104"/>
        <v>-</v>
      </c>
      <c r="O458" s="392"/>
    </row>
    <row r="459" spans="1:15" s="15" customFormat="1" ht="11.1" customHeight="1" outlineLevel="1">
      <c r="A459" s="120"/>
      <c r="B459" s="76"/>
      <c r="C459" s="82" t="s">
        <v>399</v>
      </c>
      <c r="D459" s="111"/>
      <c r="E459" s="111"/>
      <c r="F459" s="107" t="s">
        <v>45</v>
      </c>
      <c r="G459" s="176">
        <v>0</v>
      </c>
      <c r="H459" s="176">
        <v>0</v>
      </c>
      <c r="I459" s="81" t="str">
        <f t="shared" si="107"/>
        <v>-</v>
      </c>
      <c r="J459" s="176">
        <v>0</v>
      </c>
      <c r="K459" s="170">
        <f t="shared" si="113"/>
        <v>0</v>
      </c>
      <c r="L459" s="142">
        <v>0</v>
      </c>
      <c r="M459" s="83">
        <v>0</v>
      </c>
      <c r="N459" s="81" t="str">
        <f t="shared" si="104"/>
        <v>-</v>
      </c>
      <c r="O459" s="392"/>
    </row>
    <row r="460" spans="1:15" s="15" customFormat="1" ht="11.1" customHeight="1" outlineLevel="1">
      <c r="A460" s="120"/>
      <c r="B460" s="76"/>
      <c r="C460" s="82" t="s">
        <v>400</v>
      </c>
      <c r="D460" s="111"/>
      <c r="E460" s="111"/>
      <c r="F460" s="107" t="s">
        <v>46</v>
      </c>
      <c r="G460" s="176">
        <v>0</v>
      </c>
      <c r="H460" s="176">
        <v>0</v>
      </c>
      <c r="I460" s="81" t="str">
        <f t="shared" si="107"/>
        <v>-</v>
      </c>
      <c r="J460" s="176">
        <v>0</v>
      </c>
      <c r="K460" s="170">
        <f t="shared" si="113"/>
        <v>0</v>
      </c>
      <c r="L460" s="142">
        <v>0</v>
      </c>
      <c r="M460" s="83">
        <v>0</v>
      </c>
      <c r="N460" s="81" t="str">
        <f t="shared" si="104"/>
        <v>-</v>
      </c>
      <c r="O460" s="392"/>
    </row>
    <row r="461" spans="1:15" s="15" customFormat="1" ht="11.1" customHeight="1" outlineLevel="1">
      <c r="A461" s="76"/>
      <c r="B461" s="76"/>
      <c r="C461" s="82" t="s">
        <v>401</v>
      </c>
      <c r="D461" s="111"/>
      <c r="E461" s="111"/>
      <c r="F461" s="107"/>
      <c r="G461" s="176"/>
      <c r="H461" s="176"/>
      <c r="I461" s="81"/>
      <c r="J461" s="176"/>
      <c r="K461" s="176"/>
      <c r="L461" s="142"/>
      <c r="M461" s="83"/>
      <c r="N461" s="81"/>
      <c r="O461" s="361"/>
    </row>
    <row r="462" spans="1:15" s="15" customFormat="1" ht="3.95" customHeight="1" outlineLevel="1">
      <c r="A462" s="85"/>
      <c r="B462" s="85"/>
      <c r="C462" s="86"/>
      <c r="D462" s="257"/>
      <c r="E462" s="257"/>
      <c r="F462" s="243"/>
      <c r="G462" s="178"/>
      <c r="H462" s="178"/>
      <c r="I462" s="88"/>
      <c r="J462" s="178"/>
      <c r="K462" s="178"/>
      <c r="L462" s="143"/>
      <c r="M462" s="174"/>
      <c r="N462" s="88"/>
      <c r="O462" s="359"/>
    </row>
    <row r="463" spans="1:15" s="15" customFormat="1" ht="3.95" customHeight="1" outlineLevel="1">
      <c r="A463" s="72"/>
      <c r="B463" s="72"/>
      <c r="C463" s="73"/>
      <c r="D463" s="286"/>
      <c r="E463" s="286"/>
      <c r="F463" s="274"/>
      <c r="G463" s="272"/>
      <c r="H463" s="272"/>
      <c r="I463" s="75"/>
      <c r="J463" s="272"/>
      <c r="K463" s="272"/>
      <c r="L463" s="138"/>
      <c r="M463" s="265"/>
      <c r="N463" s="75"/>
      <c r="O463" s="360"/>
    </row>
    <row r="464" spans="1:15" s="15" customFormat="1" ht="11.1" customHeight="1" outlineLevel="1">
      <c r="A464" s="370" t="s">
        <v>395</v>
      </c>
      <c r="B464" s="76" t="s">
        <v>9</v>
      </c>
      <c r="C464" s="151" t="s">
        <v>103</v>
      </c>
      <c r="D464" s="369" t="s">
        <v>65</v>
      </c>
      <c r="E464" s="369" t="s">
        <v>342</v>
      </c>
      <c r="F464" s="78" t="s">
        <v>221</v>
      </c>
      <c r="G464" s="175">
        <f>SUM(G465:G470)</f>
        <v>118920</v>
      </c>
      <c r="H464" s="175">
        <f>SUM(H465:H470)</f>
        <v>8845</v>
      </c>
      <c r="I464" s="39">
        <f t="shared" si="107"/>
        <v>7.4377732929700642</v>
      </c>
      <c r="J464" s="175">
        <f>SUM(J465:J470)</f>
        <v>0</v>
      </c>
      <c r="K464" s="175">
        <f>SUM(K465:K470)</f>
        <v>95136</v>
      </c>
      <c r="L464" s="175">
        <f>SUM(L465:L470)</f>
        <v>95136</v>
      </c>
      <c r="M464" s="38">
        <f>SUM(M465:M470)</f>
        <v>8844.26</v>
      </c>
      <c r="N464" s="39">
        <f t="shared" si="104"/>
        <v>9.2964387823747057</v>
      </c>
      <c r="O464" s="393" t="s">
        <v>241</v>
      </c>
    </row>
    <row r="465" spans="1:15" s="15" customFormat="1" ht="11.1" customHeight="1" outlineLevel="1">
      <c r="A465" s="370"/>
      <c r="B465" s="76" t="s">
        <v>10</v>
      </c>
      <c r="C465" s="151" t="s">
        <v>111</v>
      </c>
      <c r="D465" s="369"/>
      <c r="E465" s="369"/>
      <c r="F465" s="79" t="s">
        <v>15</v>
      </c>
      <c r="G465" s="176">
        <v>0</v>
      </c>
      <c r="H465" s="176">
        <v>0</v>
      </c>
      <c r="I465" s="81" t="str">
        <f t="shared" si="107"/>
        <v>-</v>
      </c>
      <c r="J465" s="176">
        <v>0</v>
      </c>
      <c r="K465" s="170">
        <f t="shared" ref="K465:K470" si="114">L465-J465</f>
        <v>0</v>
      </c>
      <c r="L465" s="142">
        <v>0</v>
      </c>
      <c r="M465" s="80">
        <v>0</v>
      </c>
      <c r="N465" s="81" t="str">
        <f t="shared" si="104"/>
        <v>-</v>
      </c>
      <c r="O465" s="367"/>
    </row>
    <row r="466" spans="1:15" s="15" customFormat="1" ht="11.1" customHeight="1" outlineLevel="1">
      <c r="A466" s="370"/>
      <c r="B466" s="76" t="s">
        <v>11</v>
      </c>
      <c r="C466" s="82" t="s">
        <v>112</v>
      </c>
      <c r="D466" s="369"/>
      <c r="E466" s="369"/>
      <c r="F466" s="79" t="s">
        <v>7</v>
      </c>
      <c r="G466" s="176">
        <v>118920</v>
      </c>
      <c r="H466" s="176">
        <f>ROUNDUP(0+M466,0)</f>
        <v>8845</v>
      </c>
      <c r="I466" s="81">
        <f t="shared" si="107"/>
        <v>7.4377732929700642</v>
      </c>
      <c r="J466" s="176">
        <v>0</v>
      </c>
      <c r="K466" s="170">
        <f t="shared" si="114"/>
        <v>95136</v>
      </c>
      <c r="L466" s="142">
        <v>95136</v>
      </c>
      <c r="M466" s="83">
        <v>8844.26</v>
      </c>
      <c r="N466" s="81">
        <f t="shared" si="104"/>
        <v>9.2964387823747057</v>
      </c>
      <c r="O466" s="367"/>
    </row>
    <row r="467" spans="1:15" s="15" customFormat="1" ht="11.1" customHeight="1" outlineLevel="1">
      <c r="A467" s="120"/>
      <c r="B467" s="76" t="s">
        <v>12</v>
      </c>
      <c r="C467" s="82" t="s">
        <v>416</v>
      </c>
      <c r="D467" s="111"/>
      <c r="E467" s="111"/>
      <c r="F467" s="79" t="s">
        <v>8</v>
      </c>
      <c r="G467" s="176">
        <v>0</v>
      </c>
      <c r="H467" s="176">
        <v>0</v>
      </c>
      <c r="I467" s="81" t="str">
        <f t="shared" si="107"/>
        <v>-</v>
      </c>
      <c r="J467" s="176">
        <v>0</v>
      </c>
      <c r="K467" s="170">
        <f t="shared" si="114"/>
        <v>0</v>
      </c>
      <c r="L467" s="142">
        <v>0</v>
      </c>
      <c r="M467" s="83">
        <v>0</v>
      </c>
      <c r="N467" s="81" t="str">
        <f t="shared" si="104"/>
        <v>-</v>
      </c>
      <c r="O467" s="367"/>
    </row>
    <row r="468" spans="1:15" s="15" customFormat="1" ht="11.1" customHeight="1" outlineLevel="1">
      <c r="A468" s="120"/>
      <c r="B468" s="76"/>
      <c r="C468" s="82"/>
      <c r="D468" s="111"/>
      <c r="E468" s="111"/>
      <c r="F468" s="79" t="s">
        <v>22</v>
      </c>
      <c r="G468" s="176">
        <v>0</v>
      </c>
      <c r="H468" s="176">
        <v>0</v>
      </c>
      <c r="I468" s="81" t="str">
        <f t="shared" si="107"/>
        <v>-</v>
      </c>
      <c r="J468" s="176">
        <v>0</v>
      </c>
      <c r="K468" s="170">
        <f t="shared" si="114"/>
        <v>0</v>
      </c>
      <c r="L468" s="142">
        <v>0</v>
      </c>
      <c r="M468" s="83">
        <v>0</v>
      </c>
      <c r="N468" s="81" t="str">
        <f t="shared" si="104"/>
        <v>-</v>
      </c>
      <c r="O468" s="367"/>
    </row>
    <row r="469" spans="1:15" s="15" customFormat="1" ht="11.1" customHeight="1" outlineLevel="1">
      <c r="A469" s="120"/>
      <c r="B469" s="76"/>
      <c r="C469" s="82"/>
      <c r="D469" s="111"/>
      <c r="E469" s="111"/>
      <c r="F469" s="107" t="s">
        <v>45</v>
      </c>
      <c r="G469" s="176">
        <v>0</v>
      </c>
      <c r="H469" s="176">
        <v>0</v>
      </c>
      <c r="I469" s="81" t="str">
        <f t="shared" si="107"/>
        <v>-</v>
      </c>
      <c r="J469" s="176">
        <v>0</v>
      </c>
      <c r="K469" s="170">
        <f t="shared" si="114"/>
        <v>0</v>
      </c>
      <c r="L469" s="142">
        <v>0</v>
      </c>
      <c r="M469" s="83">
        <v>0</v>
      </c>
      <c r="N469" s="81" t="str">
        <f t="shared" si="104"/>
        <v>-</v>
      </c>
      <c r="O469" s="367"/>
    </row>
    <row r="470" spans="1:15" s="15" customFormat="1" ht="11.1" customHeight="1" outlineLevel="1">
      <c r="A470" s="120"/>
      <c r="B470" s="76"/>
      <c r="C470" s="82"/>
      <c r="D470" s="111"/>
      <c r="E470" s="111"/>
      <c r="F470" s="107" t="s">
        <v>46</v>
      </c>
      <c r="G470" s="170">
        <v>0</v>
      </c>
      <c r="H470" s="176">
        <v>0</v>
      </c>
      <c r="I470" s="81" t="str">
        <f t="shared" si="107"/>
        <v>-</v>
      </c>
      <c r="J470" s="176">
        <v>0</v>
      </c>
      <c r="K470" s="170">
        <f t="shared" si="114"/>
        <v>0</v>
      </c>
      <c r="L470" s="142">
        <v>0</v>
      </c>
      <c r="M470" s="83">
        <v>0</v>
      </c>
      <c r="N470" s="81" t="str">
        <f t="shared" si="104"/>
        <v>-</v>
      </c>
      <c r="O470" s="367"/>
    </row>
    <row r="471" spans="1:15" s="15" customFormat="1" ht="3.95" customHeight="1" outlineLevel="1">
      <c r="A471" s="85"/>
      <c r="B471" s="85"/>
      <c r="C471" s="86"/>
      <c r="D471" s="257"/>
      <c r="E471" s="257"/>
      <c r="F471" s="243"/>
      <c r="G471" s="178"/>
      <c r="H471" s="178"/>
      <c r="I471" s="88"/>
      <c r="J471" s="178"/>
      <c r="K471" s="178"/>
      <c r="L471" s="143"/>
      <c r="M471" s="174"/>
      <c r="N471" s="88"/>
      <c r="O471" s="362"/>
    </row>
    <row r="472" spans="1:15" s="15" customFormat="1" ht="3.95" customHeight="1" outlineLevel="1">
      <c r="A472" s="72"/>
      <c r="B472" s="72"/>
      <c r="C472" s="73"/>
      <c r="D472" s="286"/>
      <c r="E472" s="286"/>
      <c r="F472" s="274"/>
      <c r="G472" s="272"/>
      <c r="H472" s="272"/>
      <c r="I472" s="75"/>
      <c r="J472" s="272"/>
      <c r="K472" s="272"/>
      <c r="L472" s="138"/>
      <c r="M472" s="265"/>
      <c r="N472" s="75"/>
      <c r="O472" s="280"/>
    </row>
    <row r="473" spans="1:15" s="15" customFormat="1" ht="11.1" customHeight="1" outlineLevel="1">
      <c r="A473" s="370" t="s">
        <v>396</v>
      </c>
      <c r="B473" s="76" t="s">
        <v>9</v>
      </c>
      <c r="C473" s="151" t="s">
        <v>103</v>
      </c>
      <c r="D473" s="369" t="s">
        <v>65</v>
      </c>
      <c r="E473" s="369" t="s">
        <v>342</v>
      </c>
      <c r="F473" s="78" t="s">
        <v>221</v>
      </c>
      <c r="G473" s="175">
        <f>SUM(G474:G479)</f>
        <v>676215</v>
      </c>
      <c r="H473" s="175">
        <f>SUM(H474:H479)</f>
        <v>15735</v>
      </c>
      <c r="I473" s="39">
        <f t="shared" si="107"/>
        <v>2.3269226503404981</v>
      </c>
      <c r="J473" s="175">
        <f>SUM(J474:J479)</f>
        <v>0</v>
      </c>
      <c r="K473" s="175">
        <f>SUM(K474:K479)</f>
        <v>405729</v>
      </c>
      <c r="L473" s="175">
        <f>SUM(L474:L479)</f>
        <v>405729</v>
      </c>
      <c r="M473" s="38">
        <f>SUM(M474:M479)</f>
        <v>15734.8</v>
      </c>
      <c r="N473" s="39">
        <f t="shared" ref="N473:N498" si="115">IF(L473&gt;0,M473/L473*100,"-")</f>
        <v>3.8781551232472906</v>
      </c>
      <c r="O473" s="393" t="s">
        <v>241</v>
      </c>
    </row>
    <row r="474" spans="1:15" s="15" customFormat="1" ht="11.1" customHeight="1" outlineLevel="1">
      <c r="A474" s="370"/>
      <c r="B474" s="76" t="s">
        <v>10</v>
      </c>
      <c r="C474" s="151" t="s">
        <v>111</v>
      </c>
      <c r="D474" s="369"/>
      <c r="E474" s="369"/>
      <c r="F474" s="79" t="s">
        <v>15</v>
      </c>
      <c r="G474" s="176">
        <v>676215</v>
      </c>
      <c r="H474" s="176">
        <f>ROUNDUP(0+M474,0)</f>
        <v>15735</v>
      </c>
      <c r="I474" s="81">
        <f t="shared" si="107"/>
        <v>2.3269226503404981</v>
      </c>
      <c r="J474" s="176">
        <v>0</v>
      </c>
      <c r="K474" s="170">
        <f t="shared" ref="K474:K479" si="116">L474-J474</f>
        <v>405729</v>
      </c>
      <c r="L474" s="142">
        <v>405729</v>
      </c>
      <c r="M474" s="80">
        <v>15734.8</v>
      </c>
      <c r="N474" s="81">
        <f t="shared" si="115"/>
        <v>3.8781551232472906</v>
      </c>
      <c r="O474" s="367"/>
    </row>
    <row r="475" spans="1:15" s="15" customFormat="1" ht="11.1" customHeight="1" outlineLevel="1">
      <c r="A475" s="370"/>
      <c r="B475" s="76" t="s">
        <v>11</v>
      </c>
      <c r="C475" s="82" t="s">
        <v>112</v>
      </c>
      <c r="D475" s="369"/>
      <c r="E475" s="369"/>
      <c r="F475" s="79" t="s">
        <v>7</v>
      </c>
      <c r="G475" s="176">
        <v>0</v>
      </c>
      <c r="H475" s="176">
        <f>ROUNDUP(0+M475,0)</f>
        <v>0</v>
      </c>
      <c r="I475" s="81" t="str">
        <f t="shared" si="107"/>
        <v>-</v>
      </c>
      <c r="J475" s="176">
        <v>0</v>
      </c>
      <c r="K475" s="170">
        <f t="shared" si="116"/>
        <v>0</v>
      </c>
      <c r="L475" s="142">
        <v>0</v>
      </c>
      <c r="M475" s="83">
        <v>0</v>
      </c>
      <c r="N475" s="81" t="str">
        <f t="shared" si="115"/>
        <v>-</v>
      </c>
      <c r="O475" s="367"/>
    </row>
    <row r="476" spans="1:15" s="15" customFormat="1" ht="11.1" customHeight="1" outlineLevel="1">
      <c r="A476" s="120"/>
      <c r="B476" s="76" t="s">
        <v>12</v>
      </c>
      <c r="C476" s="82" t="s">
        <v>414</v>
      </c>
      <c r="D476" s="111"/>
      <c r="E476" s="111"/>
      <c r="F476" s="79" t="s">
        <v>8</v>
      </c>
      <c r="G476" s="176">
        <v>0</v>
      </c>
      <c r="H476" s="176">
        <v>0</v>
      </c>
      <c r="I476" s="81" t="str">
        <f t="shared" si="107"/>
        <v>-</v>
      </c>
      <c r="J476" s="176">
        <v>0</v>
      </c>
      <c r="K476" s="170">
        <f t="shared" si="116"/>
        <v>0</v>
      </c>
      <c r="L476" s="142">
        <v>0</v>
      </c>
      <c r="M476" s="83">
        <v>0</v>
      </c>
      <c r="N476" s="81" t="str">
        <f t="shared" si="115"/>
        <v>-</v>
      </c>
      <c r="O476" s="367"/>
    </row>
    <row r="477" spans="1:15" s="15" customFormat="1" ht="11.1" customHeight="1" outlineLevel="1">
      <c r="A477" s="120"/>
      <c r="B477" s="76"/>
      <c r="C477" s="82" t="s">
        <v>415</v>
      </c>
      <c r="D477" s="111"/>
      <c r="E477" s="111"/>
      <c r="F477" s="79" t="s">
        <v>22</v>
      </c>
      <c r="G477" s="176">
        <v>0</v>
      </c>
      <c r="H477" s="176">
        <v>0</v>
      </c>
      <c r="I477" s="81" t="str">
        <f t="shared" si="107"/>
        <v>-</v>
      </c>
      <c r="J477" s="176">
        <v>0</v>
      </c>
      <c r="K477" s="170">
        <f t="shared" si="116"/>
        <v>0</v>
      </c>
      <c r="L477" s="142">
        <v>0</v>
      </c>
      <c r="M477" s="83">
        <v>0</v>
      </c>
      <c r="N477" s="81" t="str">
        <f t="shared" si="115"/>
        <v>-</v>
      </c>
      <c r="O477" s="367"/>
    </row>
    <row r="478" spans="1:15" s="15" customFormat="1" ht="11.1" customHeight="1" outlineLevel="1">
      <c r="A478" s="120"/>
      <c r="B478" s="76"/>
      <c r="C478" s="82"/>
      <c r="D478" s="111"/>
      <c r="E478" s="111"/>
      <c r="F478" s="107" t="s">
        <v>45</v>
      </c>
      <c r="G478" s="176">
        <v>0</v>
      </c>
      <c r="H478" s="176">
        <v>0</v>
      </c>
      <c r="I478" s="81" t="str">
        <f t="shared" si="107"/>
        <v>-</v>
      </c>
      <c r="J478" s="176">
        <v>0</v>
      </c>
      <c r="K478" s="170">
        <f t="shared" si="116"/>
        <v>0</v>
      </c>
      <c r="L478" s="142">
        <v>0</v>
      </c>
      <c r="M478" s="83">
        <v>0</v>
      </c>
      <c r="N478" s="81" t="str">
        <f t="shared" si="115"/>
        <v>-</v>
      </c>
      <c r="O478" s="367"/>
    </row>
    <row r="479" spans="1:15" s="15" customFormat="1" ht="11.1" customHeight="1" outlineLevel="1">
      <c r="A479" s="120"/>
      <c r="B479" s="76"/>
      <c r="C479" s="82"/>
      <c r="D479" s="111"/>
      <c r="E479" s="111"/>
      <c r="F479" s="107" t="s">
        <v>46</v>
      </c>
      <c r="G479" s="170">
        <v>0</v>
      </c>
      <c r="H479" s="176">
        <v>0</v>
      </c>
      <c r="I479" s="81" t="str">
        <f t="shared" si="107"/>
        <v>-</v>
      </c>
      <c r="J479" s="176">
        <v>0</v>
      </c>
      <c r="K479" s="170">
        <f t="shared" si="116"/>
        <v>0</v>
      </c>
      <c r="L479" s="142">
        <v>0</v>
      </c>
      <c r="M479" s="83">
        <v>0</v>
      </c>
      <c r="N479" s="81" t="str">
        <f t="shared" si="115"/>
        <v>-</v>
      </c>
      <c r="O479" s="367"/>
    </row>
    <row r="480" spans="1:15" s="15" customFormat="1" ht="3.95" customHeight="1" outlineLevel="1">
      <c r="A480" s="85"/>
      <c r="B480" s="85"/>
      <c r="C480" s="86"/>
      <c r="D480" s="257"/>
      <c r="E480" s="257"/>
      <c r="F480" s="243"/>
      <c r="G480" s="178"/>
      <c r="H480" s="178"/>
      <c r="I480" s="88"/>
      <c r="J480" s="178"/>
      <c r="K480" s="178"/>
      <c r="L480" s="143"/>
      <c r="M480" s="174"/>
      <c r="N480" s="88"/>
      <c r="O480" s="362"/>
    </row>
    <row r="481" spans="1:15" s="15" customFormat="1" ht="3.95" customHeight="1" outlineLevel="1">
      <c r="A481" s="72"/>
      <c r="B481" s="72"/>
      <c r="C481" s="73"/>
      <c r="D481" s="286"/>
      <c r="E481" s="286"/>
      <c r="F481" s="274"/>
      <c r="G481" s="272"/>
      <c r="H481" s="272"/>
      <c r="I481" s="75"/>
      <c r="J481" s="272"/>
      <c r="K481" s="272"/>
      <c r="L481" s="138"/>
      <c r="M481" s="265"/>
      <c r="N481" s="75"/>
      <c r="O481" s="280"/>
    </row>
    <row r="482" spans="1:15" s="15" customFormat="1" ht="11.1" customHeight="1" outlineLevel="1">
      <c r="A482" s="370" t="s">
        <v>397</v>
      </c>
      <c r="B482" s="76" t="s">
        <v>9</v>
      </c>
      <c r="C482" s="151" t="s">
        <v>103</v>
      </c>
      <c r="D482" s="369" t="s">
        <v>54</v>
      </c>
      <c r="E482" s="369" t="s">
        <v>342</v>
      </c>
      <c r="F482" s="78" t="s">
        <v>221</v>
      </c>
      <c r="G482" s="175">
        <f>SUM(G483:G488)</f>
        <v>586409</v>
      </c>
      <c r="H482" s="175">
        <f>SUM(H483:H488)</f>
        <v>548267</v>
      </c>
      <c r="I482" s="39">
        <f t="shared" si="107"/>
        <v>93.495665994212231</v>
      </c>
      <c r="J482" s="175">
        <f>SUM(J483:J488)</f>
        <v>229578</v>
      </c>
      <c r="K482" s="175">
        <f>SUM(K483:K488)</f>
        <v>325142</v>
      </c>
      <c r="L482" s="175">
        <f>SUM(L483:L488)</f>
        <v>554720</v>
      </c>
      <c r="M482" s="38">
        <f>SUM(M483:M488)</f>
        <v>526577.23</v>
      </c>
      <c r="N482" s="39">
        <f>IF(L482&gt;0,M482/L482*100,"-")</f>
        <v>94.926671113354473</v>
      </c>
      <c r="O482" s="389" t="s">
        <v>235</v>
      </c>
    </row>
    <row r="483" spans="1:15" s="15" customFormat="1" ht="11.1" customHeight="1" outlineLevel="1">
      <c r="A483" s="370"/>
      <c r="B483" s="76" t="s">
        <v>10</v>
      </c>
      <c r="C483" s="151" t="s">
        <v>111</v>
      </c>
      <c r="D483" s="369"/>
      <c r="E483" s="369"/>
      <c r="F483" s="79" t="s">
        <v>15</v>
      </c>
      <c r="G483" s="176">
        <v>0</v>
      </c>
      <c r="H483" s="176">
        <v>0</v>
      </c>
      <c r="I483" s="81" t="str">
        <f t="shared" si="107"/>
        <v>-</v>
      </c>
      <c r="J483" s="176">
        <v>0</v>
      </c>
      <c r="K483" s="170">
        <f t="shared" ref="K483:K488" si="117">L483-J483</f>
        <v>0</v>
      </c>
      <c r="L483" s="142">
        <v>0</v>
      </c>
      <c r="M483" s="80">
        <v>0</v>
      </c>
      <c r="N483" s="81" t="str">
        <f>IF(L483&gt;0,M483/L483*100,"-")</f>
        <v>-</v>
      </c>
      <c r="O483" s="392"/>
    </row>
    <row r="484" spans="1:15" s="15" customFormat="1" ht="11.1" customHeight="1" outlineLevel="1">
      <c r="A484" s="370"/>
      <c r="B484" s="76" t="s">
        <v>11</v>
      </c>
      <c r="C484" s="82" t="s">
        <v>112</v>
      </c>
      <c r="D484" s="369"/>
      <c r="E484" s="369"/>
      <c r="F484" s="79" t="s">
        <v>7</v>
      </c>
      <c r="G484" s="176">
        <v>586409</v>
      </c>
      <c r="H484" s="176">
        <f>ROUNDUP(21689.2+M484,0)</f>
        <v>548267</v>
      </c>
      <c r="I484" s="81">
        <f t="shared" si="107"/>
        <v>93.495665994212231</v>
      </c>
      <c r="J484" s="176">
        <v>229578</v>
      </c>
      <c r="K484" s="170">
        <f t="shared" si="117"/>
        <v>325142</v>
      </c>
      <c r="L484" s="142">
        <v>554720</v>
      </c>
      <c r="M484" s="83">
        <v>526577.23</v>
      </c>
      <c r="N484" s="81">
        <f>IF(L484&gt;0,M484/L484*100,"-")</f>
        <v>94.926671113354473</v>
      </c>
      <c r="O484" s="392"/>
    </row>
    <row r="485" spans="1:15" s="15" customFormat="1" ht="11.1" customHeight="1" outlineLevel="1">
      <c r="A485" s="120"/>
      <c r="B485" s="76" t="s">
        <v>12</v>
      </c>
      <c r="C485" s="82" t="s">
        <v>409</v>
      </c>
      <c r="D485" s="111"/>
      <c r="E485" s="111"/>
      <c r="F485" s="79" t="s">
        <v>8</v>
      </c>
      <c r="G485" s="176">
        <v>0</v>
      </c>
      <c r="H485" s="176">
        <v>0</v>
      </c>
      <c r="I485" s="81" t="str">
        <f t="shared" si="107"/>
        <v>-</v>
      </c>
      <c r="J485" s="176">
        <v>0</v>
      </c>
      <c r="K485" s="170">
        <f t="shared" si="117"/>
        <v>0</v>
      </c>
      <c r="L485" s="142">
        <v>0</v>
      </c>
      <c r="M485" s="83">
        <v>0</v>
      </c>
      <c r="N485" s="81" t="str">
        <f t="shared" si="115"/>
        <v>-</v>
      </c>
      <c r="O485" s="392"/>
    </row>
    <row r="486" spans="1:15" s="15" customFormat="1" ht="11.1" customHeight="1" outlineLevel="1">
      <c r="A486" s="120"/>
      <c r="B486" s="76" t="s">
        <v>23</v>
      </c>
      <c r="C486" s="82" t="s">
        <v>410</v>
      </c>
      <c r="D486" s="111"/>
      <c r="E486" s="111"/>
      <c r="F486" s="79" t="s">
        <v>22</v>
      </c>
      <c r="G486" s="176">
        <v>0</v>
      </c>
      <c r="H486" s="176">
        <v>0</v>
      </c>
      <c r="I486" s="81" t="str">
        <f t="shared" si="107"/>
        <v>-</v>
      </c>
      <c r="J486" s="176">
        <v>0</v>
      </c>
      <c r="K486" s="170">
        <f t="shared" si="117"/>
        <v>0</v>
      </c>
      <c r="L486" s="142">
        <v>0</v>
      </c>
      <c r="M486" s="83">
        <v>0</v>
      </c>
      <c r="N486" s="81" t="str">
        <f t="shared" si="115"/>
        <v>-</v>
      </c>
      <c r="O486" s="392"/>
    </row>
    <row r="487" spans="1:15" s="15" customFormat="1" ht="11.1" customHeight="1" outlineLevel="1">
      <c r="A487" s="120"/>
      <c r="B487" s="76"/>
      <c r="C487" s="82" t="s">
        <v>411</v>
      </c>
      <c r="D487" s="111"/>
      <c r="E487" s="111"/>
      <c r="F487" s="107" t="s">
        <v>45</v>
      </c>
      <c r="G487" s="176">
        <v>0</v>
      </c>
      <c r="H487" s="176">
        <v>0</v>
      </c>
      <c r="I487" s="81" t="str">
        <f t="shared" si="107"/>
        <v>-</v>
      </c>
      <c r="J487" s="176">
        <v>0</v>
      </c>
      <c r="K487" s="170">
        <f t="shared" si="117"/>
        <v>0</v>
      </c>
      <c r="L487" s="142">
        <v>0</v>
      </c>
      <c r="M487" s="83">
        <v>0</v>
      </c>
      <c r="N487" s="81"/>
      <c r="O487" s="392"/>
    </row>
    <row r="488" spans="1:15" s="15" customFormat="1" ht="11.1" customHeight="1" outlineLevel="1">
      <c r="A488" s="120"/>
      <c r="B488" s="76"/>
      <c r="C488" s="82" t="s">
        <v>412</v>
      </c>
      <c r="D488" s="111"/>
      <c r="E488" s="111"/>
      <c r="F488" s="107" t="s">
        <v>46</v>
      </c>
      <c r="G488" s="176">
        <v>0</v>
      </c>
      <c r="H488" s="176">
        <v>0</v>
      </c>
      <c r="I488" s="81" t="str">
        <f t="shared" si="107"/>
        <v>-</v>
      </c>
      <c r="J488" s="176">
        <v>0</v>
      </c>
      <c r="K488" s="170">
        <f t="shared" si="117"/>
        <v>0</v>
      </c>
      <c r="L488" s="142">
        <v>0</v>
      </c>
      <c r="M488" s="83">
        <v>0</v>
      </c>
      <c r="N488" s="81" t="str">
        <f t="shared" si="115"/>
        <v>-</v>
      </c>
      <c r="O488" s="392"/>
    </row>
    <row r="489" spans="1:15" s="15" customFormat="1" ht="11.1" customHeight="1" outlineLevel="1">
      <c r="A489" s="120"/>
      <c r="B489" s="76"/>
      <c r="C489" s="82" t="s">
        <v>413</v>
      </c>
      <c r="D489" s="111"/>
      <c r="E489" s="111"/>
      <c r="F489" s="107"/>
      <c r="G489" s="176"/>
      <c r="H489" s="176"/>
      <c r="I489" s="81"/>
      <c r="J489" s="176"/>
      <c r="K489" s="176"/>
      <c r="L489" s="142"/>
      <c r="M489" s="83"/>
      <c r="N489" s="81"/>
      <c r="O489" s="361"/>
    </row>
    <row r="490" spans="1:15" s="15" customFormat="1" ht="3.95" customHeight="1" outlineLevel="1">
      <c r="A490" s="121"/>
      <c r="B490" s="85"/>
      <c r="C490" s="86"/>
      <c r="D490" s="257"/>
      <c r="E490" s="257"/>
      <c r="F490" s="243"/>
      <c r="G490" s="178"/>
      <c r="H490" s="178"/>
      <c r="I490" s="88"/>
      <c r="J490" s="178"/>
      <c r="K490" s="178"/>
      <c r="L490" s="143"/>
      <c r="M490" s="174"/>
      <c r="N490" s="88"/>
      <c r="O490" s="359"/>
    </row>
    <row r="491" spans="1:15" s="15" customFormat="1" ht="3.95" customHeight="1" outlineLevel="1">
      <c r="A491" s="157"/>
      <c r="B491" s="72"/>
      <c r="C491" s="73"/>
      <c r="D491" s="286"/>
      <c r="E491" s="286"/>
      <c r="F491" s="274"/>
      <c r="G491" s="272"/>
      <c r="H491" s="272"/>
      <c r="I491" s="75"/>
      <c r="J491" s="272"/>
      <c r="K491" s="272"/>
      <c r="L491" s="138"/>
      <c r="M491" s="265"/>
      <c r="N491" s="75"/>
      <c r="O491" s="360"/>
    </row>
    <row r="492" spans="1:15" s="15" customFormat="1" ht="11.1" customHeight="1" outlineLevel="1">
      <c r="A492" s="370" t="s">
        <v>406</v>
      </c>
      <c r="B492" s="76" t="s">
        <v>9</v>
      </c>
      <c r="C492" s="82" t="s">
        <v>244</v>
      </c>
      <c r="D492" s="369" t="s">
        <v>54</v>
      </c>
      <c r="E492" s="369" t="s">
        <v>407</v>
      </c>
      <c r="F492" s="78" t="s">
        <v>221</v>
      </c>
      <c r="G492" s="175">
        <f>SUM(G493:G498)</f>
        <v>1728040</v>
      </c>
      <c r="H492" s="175">
        <f>SUM(H493:H498)</f>
        <v>1727881</v>
      </c>
      <c r="I492" s="258">
        <f t="shared" si="107"/>
        <v>99.99079882410129</v>
      </c>
      <c r="J492" s="175">
        <f>SUM(J493:J498)</f>
        <v>136313</v>
      </c>
      <c r="K492" s="175">
        <f>SUM(K493:K498)</f>
        <v>0</v>
      </c>
      <c r="L492" s="175">
        <f>SUM(L493:L498)</f>
        <v>136313</v>
      </c>
      <c r="M492" s="38">
        <f>SUM(M493:M498)</f>
        <v>136152.53</v>
      </c>
      <c r="N492" s="39">
        <f>IF(L492&gt;0,M492/L492*100,"-")</f>
        <v>99.88227828600354</v>
      </c>
      <c r="O492" s="389" t="s">
        <v>235</v>
      </c>
    </row>
    <row r="493" spans="1:15" s="15" customFormat="1" ht="11.1" customHeight="1" outlineLevel="1">
      <c r="A493" s="370"/>
      <c r="B493" s="76" t="s">
        <v>10</v>
      </c>
      <c r="C493" s="82" t="s">
        <v>245</v>
      </c>
      <c r="D493" s="369"/>
      <c r="E493" s="369"/>
      <c r="F493" s="79" t="s">
        <v>15</v>
      </c>
      <c r="G493" s="141">
        <v>345608</v>
      </c>
      <c r="H493" s="141">
        <f>ROUNDUP(318346+M493,0)</f>
        <v>345577</v>
      </c>
      <c r="I493" s="171">
        <f t="shared" si="107"/>
        <v>99.991030300224537</v>
      </c>
      <c r="J493" s="141">
        <v>27262</v>
      </c>
      <c r="K493" s="170">
        <f t="shared" ref="K493:K498" si="118">L493-J493</f>
        <v>0</v>
      </c>
      <c r="L493" s="141">
        <v>27262</v>
      </c>
      <c r="M493" s="80">
        <v>27230.5</v>
      </c>
      <c r="N493" s="81">
        <f>IF(L493&gt;0,M493/L493*100,"-")</f>
        <v>99.884454552123842</v>
      </c>
      <c r="O493" s="392"/>
    </row>
    <row r="494" spans="1:15" s="15" customFormat="1" ht="11.1" customHeight="1" outlineLevel="1">
      <c r="A494" s="370"/>
      <c r="B494" s="76" t="s">
        <v>11</v>
      </c>
      <c r="C494" s="82" t="s">
        <v>116</v>
      </c>
      <c r="D494" s="369"/>
      <c r="E494" s="369"/>
      <c r="F494" s="79" t="s">
        <v>7</v>
      </c>
      <c r="G494" s="141">
        <v>1382432</v>
      </c>
      <c r="H494" s="141">
        <f>ROUNDUP(1273381+M494,0)</f>
        <v>1382304</v>
      </c>
      <c r="I494" s="171">
        <f t="shared" si="107"/>
        <v>99.990740955070493</v>
      </c>
      <c r="J494" s="141">
        <v>109051</v>
      </c>
      <c r="K494" s="170">
        <f t="shared" si="118"/>
        <v>0</v>
      </c>
      <c r="L494" s="194">
        <v>109051</v>
      </c>
      <c r="M494" s="83">
        <v>108922.03</v>
      </c>
      <c r="N494" s="81">
        <f>IF(L494&gt;0,M494/L494*100,"-")</f>
        <v>99.881734234440771</v>
      </c>
      <c r="O494" s="392"/>
    </row>
    <row r="495" spans="1:15" s="15" customFormat="1" ht="11.1" customHeight="1" outlineLevel="1">
      <c r="A495" s="120"/>
      <c r="B495" s="76" t="s">
        <v>12</v>
      </c>
      <c r="C495" s="82" t="s">
        <v>408</v>
      </c>
      <c r="D495" s="111"/>
      <c r="E495" s="111"/>
      <c r="F495" s="79" t="s">
        <v>8</v>
      </c>
      <c r="G495" s="176">
        <v>0</v>
      </c>
      <c r="H495" s="176">
        <v>0</v>
      </c>
      <c r="I495" s="81" t="str">
        <f>IF(G495&gt;0,H495/G495*100,"-")</f>
        <v>-</v>
      </c>
      <c r="J495" s="176">
        <v>0</v>
      </c>
      <c r="K495" s="170">
        <f t="shared" si="118"/>
        <v>0</v>
      </c>
      <c r="L495" s="142">
        <v>0</v>
      </c>
      <c r="M495" s="83">
        <v>0</v>
      </c>
      <c r="N495" s="81" t="str">
        <f t="shared" si="115"/>
        <v>-</v>
      </c>
      <c r="O495" s="392"/>
    </row>
    <row r="496" spans="1:15" s="15" customFormat="1" ht="11.1" customHeight="1" outlineLevel="1">
      <c r="A496" s="120"/>
      <c r="B496" s="76" t="s">
        <v>23</v>
      </c>
      <c r="C496" s="82" t="s">
        <v>117</v>
      </c>
      <c r="D496" s="111"/>
      <c r="E496" s="111"/>
      <c r="F496" s="79" t="s">
        <v>22</v>
      </c>
      <c r="G496" s="176">
        <v>0</v>
      </c>
      <c r="H496" s="176">
        <v>0</v>
      </c>
      <c r="I496" s="81" t="str">
        <f>IF(G496&gt;0,H496/G496*100,"-")</f>
        <v>-</v>
      </c>
      <c r="J496" s="176">
        <v>0</v>
      </c>
      <c r="K496" s="170">
        <f t="shared" si="118"/>
        <v>0</v>
      </c>
      <c r="L496" s="142">
        <v>0</v>
      </c>
      <c r="M496" s="83">
        <v>0</v>
      </c>
      <c r="N496" s="81" t="str">
        <f t="shared" si="115"/>
        <v>-</v>
      </c>
      <c r="O496" s="392"/>
    </row>
    <row r="497" spans="1:15" s="15" customFormat="1" ht="11.1" customHeight="1" outlineLevel="1">
      <c r="A497" s="120"/>
      <c r="B497" s="76"/>
      <c r="C497" s="82"/>
      <c r="D497" s="111"/>
      <c r="E497" s="111"/>
      <c r="F497" s="107" t="s">
        <v>45</v>
      </c>
      <c r="G497" s="176">
        <v>0</v>
      </c>
      <c r="H497" s="176">
        <v>0</v>
      </c>
      <c r="I497" s="81" t="str">
        <f>IF(G497&gt;0,H497/G497*100,"-")</f>
        <v>-</v>
      </c>
      <c r="J497" s="176">
        <v>0</v>
      </c>
      <c r="K497" s="170">
        <f t="shared" si="118"/>
        <v>0</v>
      </c>
      <c r="L497" s="142">
        <v>0</v>
      </c>
      <c r="M497" s="83">
        <v>0</v>
      </c>
      <c r="N497" s="81"/>
      <c r="O497" s="392"/>
    </row>
    <row r="498" spans="1:15" s="15" customFormat="1" ht="11.1" customHeight="1" outlineLevel="1">
      <c r="A498" s="120"/>
      <c r="B498" s="76"/>
      <c r="C498" s="82"/>
      <c r="D498" s="111"/>
      <c r="E498" s="111"/>
      <c r="F498" s="107" t="s">
        <v>46</v>
      </c>
      <c r="G498" s="176">
        <v>0</v>
      </c>
      <c r="H498" s="176">
        <v>0</v>
      </c>
      <c r="I498" s="81" t="str">
        <f>IF(G498&gt;0,H498/G498*100,"-")</f>
        <v>-</v>
      </c>
      <c r="J498" s="176">
        <v>0</v>
      </c>
      <c r="K498" s="170">
        <f t="shared" si="118"/>
        <v>0</v>
      </c>
      <c r="L498" s="142">
        <v>0</v>
      </c>
      <c r="M498" s="83">
        <v>0</v>
      </c>
      <c r="N498" s="81" t="str">
        <f t="shared" si="115"/>
        <v>-</v>
      </c>
      <c r="O498" s="392"/>
    </row>
    <row r="499" spans="1:15" s="15" customFormat="1" ht="3.95" customHeight="1" outlineLevel="1">
      <c r="A499" s="290"/>
      <c r="B499" s="291"/>
      <c r="C499" s="292"/>
      <c r="D499" s="293"/>
      <c r="E499" s="293"/>
      <c r="F499" s="294"/>
      <c r="G499" s="295"/>
      <c r="H499" s="295"/>
      <c r="I499" s="296"/>
      <c r="J499" s="295"/>
      <c r="K499" s="297"/>
      <c r="L499" s="298"/>
      <c r="M499" s="187"/>
      <c r="N499" s="296"/>
      <c r="O499" s="363"/>
    </row>
    <row r="500" spans="1:15" ht="3.95" customHeight="1" outlineLevel="1">
      <c r="A500" s="299"/>
      <c r="B500" s="300"/>
      <c r="C500" s="301"/>
      <c r="D500" s="302"/>
      <c r="E500" s="302"/>
      <c r="F500" s="299"/>
      <c r="G500" s="303"/>
      <c r="H500" s="303"/>
      <c r="I500" s="299"/>
      <c r="J500" s="303"/>
      <c r="K500" s="303"/>
      <c r="L500" s="303"/>
      <c r="M500" s="304"/>
      <c r="N500" s="305"/>
      <c r="O500" s="219"/>
    </row>
    <row r="501" spans="1:15" ht="11.45" customHeight="1" outlineLevel="1">
      <c r="A501" s="28" t="s">
        <v>91</v>
      </c>
      <c r="B501" s="390" t="s">
        <v>118</v>
      </c>
      <c r="C501" s="391"/>
      <c r="D501" s="29"/>
      <c r="E501" s="29"/>
      <c r="F501" s="30"/>
      <c r="G501" s="135">
        <f>SUM(G502:G507)</f>
        <v>1115256</v>
      </c>
      <c r="H501" s="135">
        <f>SUM(H502:H507)</f>
        <v>395750</v>
      </c>
      <c r="I501" s="32">
        <f>IF(G501&gt;0,H501/G501*100,"-")</f>
        <v>35.485126284906784</v>
      </c>
      <c r="J501" s="135">
        <f>SUM(J502:J507)</f>
        <v>337466</v>
      </c>
      <c r="K501" s="135">
        <f>SUM(K502:K507)</f>
        <v>83992</v>
      </c>
      <c r="L501" s="135">
        <f>SUM(L502:L507)</f>
        <v>421458</v>
      </c>
      <c r="M501" s="31">
        <f>SUM(M502:M507)</f>
        <v>186728.81</v>
      </c>
      <c r="N501" s="32">
        <f t="shared" ref="N501:N507" si="119">IF(L501&gt;0,M501/L501*100,"-")</f>
        <v>44.305437315224765</v>
      </c>
      <c r="O501" s="220"/>
    </row>
    <row r="502" spans="1:15" ht="11.45" customHeight="1" outlineLevel="1">
      <c r="A502" s="30"/>
      <c r="B502" s="33"/>
      <c r="C502" s="34"/>
      <c r="D502" s="29"/>
      <c r="E502" s="29"/>
      <c r="F502" s="35" t="s">
        <v>15</v>
      </c>
      <c r="G502" s="136">
        <f t="shared" ref="G502:H507" si="120">G511+G522+G534+G547+G560</f>
        <v>312041</v>
      </c>
      <c r="H502" s="136">
        <f t="shared" si="120"/>
        <v>50230</v>
      </c>
      <c r="I502" s="37">
        <f t="shared" ref="I502:I507" si="121">IF(G502&gt;0,H502/G502*100,"-")</f>
        <v>16.097243631445867</v>
      </c>
      <c r="J502" s="136">
        <f t="shared" ref="J502:M507" si="122">J511+J522+J534+J547+J560</f>
        <v>91933</v>
      </c>
      <c r="K502" s="136">
        <f t="shared" si="122"/>
        <v>11474</v>
      </c>
      <c r="L502" s="136">
        <f t="shared" si="122"/>
        <v>103407</v>
      </c>
      <c r="M502" s="36">
        <f t="shared" si="122"/>
        <v>23987.58</v>
      </c>
      <c r="N502" s="37">
        <f t="shared" si="119"/>
        <v>23.19724970263135</v>
      </c>
      <c r="O502" s="220"/>
    </row>
    <row r="503" spans="1:15" ht="11.45" customHeight="1" outlineLevel="1">
      <c r="A503" s="30"/>
      <c r="B503" s="33"/>
      <c r="C503" s="34"/>
      <c r="D503" s="29"/>
      <c r="E503" s="29"/>
      <c r="F503" s="35" t="s">
        <v>7</v>
      </c>
      <c r="G503" s="136">
        <f t="shared" si="120"/>
        <v>779883</v>
      </c>
      <c r="H503" s="136">
        <f t="shared" si="120"/>
        <v>338034</v>
      </c>
      <c r="I503" s="37">
        <f t="shared" si="121"/>
        <v>43.34419393678283</v>
      </c>
      <c r="J503" s="136">
        <f t="shared" si="122"/>
        <v>239131</v>
      </c>
      <c r="K503" s="136">
        <f t="shared" si="122"/>
        <v>72518</v>
      </c>
      <c r="L503" s="136">
        <f t="shared" si="122"/>
        <v>311649</v>
      </c>
      <c r="M503" s="36">
        <f t="shared" si="122"/>
        <v>158188.11000000002</v>
      </c>
      <c r="N503" s="37">
        <f t="shared" si="119"/>
        <v>50.758420530789451</v>
      </c>
      <c r="O503" s="220"/>
    </row>
    <row r="504" spans="1:15" ht="11.45" customHeight="1" outlineLevel="1">
      <c r="A504" s="30"/>
      <c r="B504" s="33"/>
      <c r="C504" s="34"/>
      <c r="D504" s="29"/>
      <c r="E504" s="29"/>
      <c r="F504" s="35" t="s">
        <v>8</v>
      </c>
      <c r="G504" s="136">
        <f t="shared" si="120"/>
        <v>0</v>
      </c>
      <c r="H504" s="136">
        <f t="shared" si="120"/>
        <v>0</v>
      </c>
      <c r="I504" s="37" t="str">
        <f t="shared" si="121"/>
        <v>-</v>
      </c>
      <c r="J504" s="136">
        <f t="shared" si="122"/>
        <v>0</v>
      </c>
      <c r="K504" s="136">
        <f t="shared" si="122"/>
        <v>0</v>
      </c>
      <c r="L504" s="136">
        <f t="shared" si="122"/>
        <v>0</v>
      </c>
      <c r="M504" s="36">
        <f t="shared" si="122"/>
        <v>0</v>
      </c>
      <c r="N504" s="37" t="str">
        <f t="shared" si="119"/>
        <v>-</v>
      </c>
      <c r="O504" s="220"/>
    </row>
    <row r="505" spans="1:15" ht="11.45" customHeight="1" outlineLevel="1">
      <c r="A505" s="30"/>
      <c r="B505" s="33"/>
      <c r="C505" s="34"/>
      <c r="D505" s="29"/>
      <c r="E505" s="29"/>
      <c r="F505" s="35" t="s">
        <v>22</v>
      </c>
      <c r="G505" s="136">
        <f t="shared" si="120"/>
        <v>23332</v>
      </c>
      <c r="H505" s="136">
        <f t="shared" si="120"/>
        <v>7486</v>
      </c>
      <c r="I505" s="37">
        <f t="shared" si="121"/>
        <v>32.084690553745929</v>
      </c>
      <c r="J505" s="136">
        <f t="shared" si="122"/>
        <v>6402</v>
      </c>
      <c r="K505" s="136">
        <f t="shared" si="122"/>
        <v>0</v>
      </c>
      <c r="L505" s="136">
        <f t="shared" si="122"/>
        <v>6402</v>
      </c>
      <c r="M505" s="36">
        <f t="shared" si="122"/>
        <v>4553.12</v>
      </c>
      <c r="N505" s="37">
        <f t="shared" si="119"/>
        <v>71.12027491408935</v>
      </c>
      <c r="O505" s="220"/>
    </row>
    <row r="506" spans="1:15" ht="11.45" customHeight="1" outlineLevel="1">
      <c r="A506" s="30"/>
      <c r="B506" s="33"/>
      <c r="C506" s="34"/>
      <c r="D506" s="29"/>
      <c r="E506" s="29"/>
      <c r="F506" s="35" t="s">
        <v>45</v>
      </c>
      <c r="G506" s="136">
        <f t="shared" si="120"/>
        <v>0</v>
      </c>
      <c r="H506" s="136">
        <f t="shared" si="120"/>
        <v>0</v>
      </c>
      <c r="I506" s="37" t="str">
        <f t="shared" si="121"/>
        <v>-</v>
      </c>
      <c r="J506" s="136">
        <f t="shared" si="122"/>
        <v>0</v>
      </c>
      <c r="K506" s="136">
        <f t="shared" si="122"/>
        <v>0</v>
      </c>
      <c r="L506" s="136">
        <f t="shared" si="122"/>
        <v>0</v>
      </c>
      <c r="M506" s="36">
        <f t="shared" si="122"/>
        <v>0</v>
      </c>
      <c r="N506" s="37" t="str">
        <f t="shared" si="119"/>
        <v>-</v>
      </c>
      <c r="O506" s="220"/>
    </row>
    <row r="507" spans="1:15" ht="11.45" customHeight="1" outlineLevel="1">
      <c r="A507" s="30"/>
      <c r="B507" s="33"/>
      <c r="C507" s="34"/>
      <c r="D507" s="29"/>
      <c r="E507" s="29"/>
      <c r="F507" s="35" t="s">
        <v>46</v>
      </c>
      <c r="G507" s="136">
        <f t="shared" si="120"/>
        <v>0</v>
      </c>
      <c r="H507" s="136">
        <f t="shared" si="120"/>
        <v>0</v>
      </c>
      <c r="I507" s="37" t="str">
        <f t="shared" si="121"/>
        <v>-</v>
      </c>
      <c r="J507" s="136">
        <f t="shared" si="122"/>
        <v>0</v>
      </c>
      <c r="K507" s="136">
        <f t="shared" si="122"/>
        <v>0</v>
      </c>
      <c r="L507" s="136">
        <f t="shared" si="122"/>
        <v>0</v>
      </c>
      <c r="M507" s="36">
        <f t="shared" si="122"/>
        <v>0</v>
      </c>
      <c r="N507" s="37" t="str">
        <f t="shared" si="119"/>
        <v>-</v>
      </c>
      <c r="O507" s="220"/>
    </row>
    <row r="508" spans="1:15" ht="3.95" customHeight="1" outlineLevel="1">
      <c r="A508" s="65"/>
      <c r="B508" s="66"/>
      <c r="C508" s="67"/>
      <c r="D508" s="68"/>
      <c r="E508" s="68"/>
      <c r="F508" s="65"/>
      <c r="G508" s="137"/>
      <c r="H508" s="137"/>
      <c r="I508" s="70"/>
      <c r="J508" s="137"/>
      <c r="K508" s="137"/>
      <c r="L508" s="137"/>
      <c r="M508" s="69"/>
      <c r="N508" s="70"/>
      <c r="O508" s="221"/>
    </row>
    <row r="509" spans="1:15" s="95" customFormat="1" ht="3.95" customHeight="1" outlineLevel="1">
      <c r="A509" s="157"/>
      <c r="B509" s="72"/>
      <c r="C509" s="73"/>
      <c r="D509" s="71"/>
      <c r="E509" s="71"/>
      <c r="F509" s="72"/>
      <c r="G509" s="138"/>
      <c r="H509" s="138"/>
      <c r="I509" s="75"/>
      <c r="J509" s="138"/>
      <c r="K509" s="138"/>
      <c r="L509" s="139"/>
      <c r="M509" s="74"/>
      <c r="N509" s="75"/>
      <c r="O509" s="208"/>
    </row>
    <row r="510" spans="1:15" s="95" customFormat="1" ht="11.1" customHeight="1" outlineLevel="1">
      <c r="A510" s="370" t="s">
        <v>1</v>
      </c>
      <c r="B510" s="76" t="s">
        <v>9</v>
      </c>
      <c r="C510" s="77" t="s">
        <v>119</v>
      </c>
      <c r="D510" s="369" t="s">
        <v>122</v>
      </c>
      <c r="E510" s="369" t="s">
        <v>123</v>
      </c>
      <c r="F510" s="78" t="s">
        <v>28</v>
      </c>
      <c r="G510" s="140">
        <f>SUM(G511:G516)</f>
        <v>157501</v>
      </c>
      <c r="H510" s="140">
        <f>SUM(H511:H516)</f>
        <v>75245</v>
      </c>
      <c r="I510" s="39">
        <f t="shared" ref="I510:I516" si="123">IF(G510&gt;0,H510/G510*100,"-")</f>
        <v>47.774299845715269</v>
      </c>
      <c r="J510" s="140">
        <f>SUM(J511:J516)</f>
        <v>50000</v>
      </c>
      <c r="K510" s="140">
        <f>SUM(K511:K516)</f>
        <v>7500</v>
      </c>
      <c r="L510" s="140">
        <f>SUM(L511:L516)</f>
        <v>57500</v>
      </c>
      <c r="M510" s="38">
        <f>SUM(M511:M516)</f>
        <v>24927.31</v>
      </c>
      <c r="N510" s="39">
        <f t="shared" ref="N510:N516" si="124">IF(L510&gt;0,M510/L510*100,"-")</f>
        <v>43.351843478260868</v>
      </c>
      <c r="O510" s="366" t="s">
        <v>246</v>
      </c>
    </row>
    <row r="511" spans="1:15" s="95" customFormat="1" ht="11.1" customHeight="1" outlineLevel="1">
      <c r="A511" s="370"/>
      <c r="B511" s="76" t="s">
        <v>10</v>
      </c>
      <c r="C511" s="77" t="s">
        <v>120</v>
      </c>
      <c r="D511" s="369"/>
      <c r="E511" s="369"/>
      <c r="F511" s="79" t="s">
        <v>15</v>
      </c>
      <c r="G511" s="141">
        <v>14953</v>
      </c>
      <c r="H511" s="141">
        <v>0</v>
      </c>
      <c r="I511" s="81">
        <f t="shared" si="123"/>
        <v>0</v>
      </c>
      <c r="J511" s="141">
        <v>7500</v>
      </c>
      <c r="K511" s="141">
        <f t="shared" ref="K511:K516" si="125">L511-J511</f>
        <v>0</v>
      </c>
      <c r="L511" s="141">
        <v>7500</v>
      </c>
      <c r="M511" s="80">
        <v>0</v>
      </c>
      <c r="N511" s="81">
        <f t="shared" si="124"/>
        <v>0</v>
      </c>
      <c r="O511" s="366"/>
    </row>
    <row r="512" spans="1:15" s="95" customFormat="1" ht="11.1" customHeight="1" outlineLevel="1">
      <c r="A512" s="370"/>
      <c r="B512" s="76" t="s">
        <v>11</v>
      </c>
      <c r="C512" s="82" t="s">
        <v>121</v>
      </c>
      <c r="D512" s="369"/>
      <c r="E512" s="369"/>
      <c r="F512" s="79" t="s">
        <v>7</v>
      </c>
      <c r="G512" s="141">
        <v>142548</v>
      </c>
      <c r="H512" s="141">
        <v>75245</v>
      </c>
      <c r="I512" s="81">
        <f t="shared" si="123"/>
        <v>52.785728316075989</v>
      </c>
      <c r="J512" s="141">
        <v>42500</v>
      </c>
      <c r="K512" s="141">
        <f t="shared" si="125"/>
        <v>7500</v>
      </c>
      <c r="L512" s="141">
        <v>50000</v>
      </c>
      <c r="M512" s="83">
        <v>24927.31</v>
      </c>
      <c r="N512" s="81">
        <f t="shared" si="124"/>
        <v>49.854620000000004</v>
      </c>
      <c r="O512" s="366"/>
    </row>
    <row r="513" spans="1:15" s="95" customFormat="1" ht="11.1" customHeight="1" outlineLevel="1">
      <c r="A513" s="120"/>
      <c r="B513" s="76" t="s">
        <v>12</v>
      </c>
      <c r="C513" s="82" t="s">
        <v>423</v>
      </c>
      <c r="D513" s="111"/>
      <c r="E513" s="111"/>
      <c r="F513" s="79" t="s">
        <v>8</v>
      </c>
      <c r="G513" s="141">
        <v>0</v>
      </c>
      <c r="H513" s="141">
        <v>0</v>
      </c>
      <c r="I513" s="81" t="str">
        <f t="shared" si="123"/>
        <v>-</v>
      </c>
      <c r="J513" s="141">
        <v>0</v>
      </c>
      <c r="K513" s="141">
        <f t="shared" si="125"/>
        <v>0</v>
      </c>
      <c r="L513" s="141">
        <v>0</v>
      </c>
      <c r="M513" s="80">
        <v>0</v>
      </c>
      <c r="N513" s="81" t="str">
        <f t="shared" si="124"/>
        <v>-</v>
      </c>
      <c r="O513" s="366"/>
    </row>
    <row r="514" spans="1:15" s="95" customFormat="1" ht="11.1" customHeight="1" outlineLevel="1">
      <c r="A514" s="120"/>
      <c r="B514" s="76"/>
      <c r="C514" s="82" t="s">
        <v>424</v>
      </c>
      <c r="D514" s="111"/>
      <c r="E514" s="111"/>
      <c r="F514" s="79" t="s">
        <v>22</v>
      </c>
      <c r="G514" s="141">
        <v>0</v>
      </c>
      <c r="H514" s="141">
        <v>0</v>
      </c>
      <c r="I514" s="81" t="str">
        <f t="shared" si="123"/>
        <v>-</v>
      </c>
      <c r="J514" s="141">
        <v>0</v>
      </c>
      <c r="K514" s="141">
        <f t="shared" si="125"/>
        <v>0</v>
      </c>
      <c r="L514" s="141">
        <v>0</v>
      </c>
      <c r="M514" s="80">
        <v>0</v>
      </c>
      <c r="N514" s="81" t="str">
        <f t="shared" si="124"/>
        <v>-</v>
      </c>
      <c r="O514" s="366"/>
    </row>
    <row r="515" spans="1:15" s="95" customFormat="1" ht="11.1" customHeight="1" outlineLevel="1">
      <c r="A515" s="120"/>
      <c r="B515" s="76" t="s">
        <v>23</v>
      </c>
      <c r="C515" s="82" t="s">
        <v>141</v>
      </c>
      <c r="D515" s="111"/>
      <c r="E515" s="111"/>
      <c r="F515" s="107" t="s">
        <v>45</v>
      </c>
      <c r="G515" s="142">
        <v>0</v>
      </c>
      <c r="H515" s="142">
        <v>0</v>
      </c>
      <c r="I515" s="81" t="str">
        <f t="shared" si="123"/>
        <v>-</v>
      </c>
      <c r="J515" s="141">
        <v>0</v>
      </c>
      <c r="K515" s="141">
        <f t="shared" si="125"/>
        <v>0</v>
      </c>
      <c r="L515" s="141">
        <v>0</v>
      </c>
      <c r="M515" s="80">
        <v>0</v>
      </c>
      <c r="N515" s="81" t="str">
        <f t="shared" si="124"/>
        <v>-</v>
      </c>
      <c r="O515" s="366"/>
    </row>
    <row r="516" spans="1:15" s="95" customFormat="1" ht="11.1" customHeight="1" outlineLevel="1">
      <c r="A516" s="120"/>
      <c r="B516" s="76"/>
      <c r="C516" s="82" t="s">
        <v>142</v>
      </c>
      <c r="D516" s="111"/>
      <c r="E516" s="111"/>
      <c r="F516" s="107" t="s">
        <v>46</v>
      </c>
      <c r="G516" s="142">
        <v>0</v>
      </c>
      <c r="H516" s="142">
        <v>0</v>
      </c>
      <c r="I516" s="81" t="str">
        <f t="shared" si="123"/>
        <v>-</v>
      </c>
      <c r="J516" s="141">
        <v>0</v>
      </c>
      <c r="K516" s="141">
        <f t="shared" si="125"/>
        <v>0</v>
      </c>
      <c r="L516" s="141">
        <v>0</v>
      </c>
      <c r="M516" s="80">
        <v>0</v>
      </c>
      <c r="N516" s="81" t="str">
        <f t="shared" si="124"/>
        <v>-</v>
      </c>
      <c r="O516" s="366"/>
    </row>
    <row r="517" spans="1:15" s="95" customFormat="1" ht="11.1" customHeight="1" outlineLevel="1">
      <c r="A517" s="120"/>
      <c r="B517" s="76"/>
      <c r="C517" s="82" t="s">
        <v>143</v>
      </c>
      <c r="D517" s="111"/>
      <c r="E517" s="111"/>
      <c r="F517" s="107"/>
      <c r="G517" s="142"/>
      <c r="H517" s="142"/>
      <c r="I517" s="81"/>
      <c r="J517" s="142"/>
      <c r="K517" s="142"/>
      <c r="L517" s="141"/>
      <c r="M517" s="89"/>
      <c r="N517" s="81"/>
      <c r="O517" s="356"/>
    </row>
    <row r="518" spans="1:15" s="95" customFormat="1" ht="11.1" customHeight="1" outlineLevel="1">
      <c r="A518" s="120"/>
      <c r="B518" s="76"/>
      <c r="C518" s="82" t="s">
        <v>144</v>
      </c>
      <c r="D518" s="111"/>
      <c r="E518" s="111"/>
      <c r="F518" s="107"/>
      <c r="G518" s="142"/>
      <c r="H518" s="142"/>
      <c r="I518" s="81"/>
      <c r="J518" s="142"/>
      <c r="K518" s="142"/>
      <c r="L518" s="141"/>
      <c r="M518" s="89"/>
      <c r="N518" s="81"/>
      <c r="O518" s="356"/>
    </row>
    <row r="519" spans="1:15" s="95" customFormat="1" ht="3.95" customHeight="1" outlineLevel="1">
      <c r="A519" s="121"/>
      <c r="B519" s="85"/>
      <c r="C519" s="86"/>
      <c r="D519" s="84"/>
      <c r="E519" s="84"/>
      <c r="F519" s="85"/>
      <c r="G519" s="143"/>
      <c r="H519" s="143"/>
      <c r="I519" s="88"/>
      <c r="J519" s="143"/>
      <c r="K519" s="143"/>
      <c r="L519" s="144"/>
      <c r="M519" s="87"/>
      <c r="N519" s="88"/>
      <c r="O519" s="222"/>
    </row>
    <row r="520" spans="1:15" s="95" customFormat="1" ht="3.95" customHeight="1" outlineLevel="1">
      <c r="A520" s="157"/>
      <c r="B520" s="72"/>
      <c r="C520" s="73"/>
      <c r="D520" s="71"/>
      <c r="E520" s="71"/>
      <c r="F520" s="72"/>
      <c r="G520" s="138"/>
      <c r="H520" s="138"/>
      <c r="I520" s="75"/>
      <c r="J520" s="138"/>
      <c r="K520" s="138"/>
      <c r="L520" s="139"/>
      <c r="M520" s="74"/>
      <c r="N520" s="75"/>
      <c r="O520" s="208"/>
    </row>
    <row r="521" spans="1:15" s="95" customFormat="1" ht="11.1" customHeight="1" outlineLevel="1">
      <c r="A521" s="370" t="s">
        <v>51</v>
      </c>
      <c r="B521" s="76" t="s">
        <v>9</v>
      </c>
      <c r="C521" s="77" t="s">
        <v>119</v>
      </c>
      <c r="D521" s="369" t="s">
        <v>131</v>
      </c>
      <c r="E521" s="369" t="s">
        <v>132</v>
      </c>
      <c r="F521" s="78" t="s">
        <v>28</v>
      </c>
      <c r="G521" s="140">
        <f>SUM(G522:G527)</f>
        <v>514725</v>
      </c>
      <c r="H521" s="140">
        <f>SUM(H522:H527)</f>
        <v>104101</v>
      </c>
      <c r="I521" s="39">
        <f t="shared" ref="I521:I527" si="126">IF(G521&gt;0,H521/G521*100,"-")</f>
        <v>20.224585943950654</v>
      </c>
      <c r="J521" s="140">
        <f>SUM(J522:J527)</f>
        <v>140245</v>
      </c>
      <c r="K521" s="140">
        <f>SUM(K522:K527)</f>
        <v>0</v>
      </c>
      <c r="L521" s="140">
        <f>SUM(L522:L527)</f>
        <v>140245</v>
      </c>
      <c r="M521" s="38">
        <f>SUM(M522:M527)</f>
        <v>64716.53</v>
      </c>
      <c r="N521" s="39">
        <f t="shared" ref="N521:N527" si="127">IF(L521&gt;0,M521/L521*100,"-")</f>
        <v>46.145338514742058</v>
      </c>
      <c r="O521" s="366" t="s">
        <v>509</v>
      </c>
    </row>
    <row r="522" spans="1:15" s="95" customFormat="1" ht="11.1" customHeight="1" outlineLevel="1">
      <c r="A522" s="370"/>
      <c r="B522" s="76" t="s">
        <v>10</v>
      </c>
      <c r="C522" s="77" t="s">
        <v>124</v>
      </c>
      <c r="D522" s="369"/>
      <c r="E522" s="369"/>
      <c r="F522" s="79" t="s">
        <v>15</v>
      </c>
      <c r="G522" s="141">
        <v>222753</v>
      </c>
      <c r="H522" s="142">
        <v>10411</v>
      </c>
      <c r="I522" s="81">
        <f t="shared" si="126"/>
        <v>4.673786660561249</v>
      </c>
      <c r="J522" s="141">
        <v>60125</v>
      </c>
      <c r="K522" s="141">
        <f t="shared" ref="K522:K527" si="128">L522-J522</f>
        <v>0</v>
      </c>
      <c r="L522" s="141">
        <v>60125</v>
      </c>
      <c r="M522" s="80">
        <v>7723.38</v>
      </c>
      <c r="N522" s="81">
        <f t="shared" si="127"/>
        <v>12.84553846153846</v>
      </c>
      <c r="O522" s="366"/>
    </row>
    <row r="523" spans="1:15" s="95" customFormat="1" ht="11.1" customHeight="1" outlineLevel="1">
      <c r="A523" s="370"/>
      <c r="B523" s="76" t="s">
        <v>11</v>
      </c>
      <c r="C523" s="82" t="s">
        <v>125</v>
      </c>
      <c r="D523" s="369"/>
      <c r="E523" s="369"/>
      <c r="F523" s="79" t="s">
        <v>7</v>
      </c>
      <c r="G523" s="141">
        <v>268640</v>
      </c>
      <c r="H523" s="142">
        <v>86204</v>
      </c>
      <c r="I523" s="81">
        <f t="shared" si="126"/>
        <v>32.089041095890408</v>
      </c>
      <c r="J523" s="141">
        <v>73718</v>
      </c>
      <c r="K523" s="141">
        <f t="shared" si="128"/>
        <v>0</v>
      </c>
      <c r="L523" s="141">
        <v>73718</v>
      </c>
      <c r="M523" s="83">
        <v>52440.03</v>
      </c>
      <c r="N523" s="81">
        <f t="shared" si="127"/>
        <v>71.135991209745242</v>
      </c>
      <c r="O523" s="366"/>
    </row>
    <row r="524" spans="1:15" s="95" customFormat="1" ht="11.1" customHeight="1" outlineLevel="1">
      <c r="A524" s="120"/>
      <c r="B524" s="76" t="s">
        <v>12</v>
      </c>
      <c r="C524" s="82" t="s">
        <v>425</v>
      </c>
      <c r="D524" s="111"/>
      <c r="E524" s="111"/>
      <c r="F524" s="79" t="s">
        <v>8</v>
      </c>
      <c r="G524" s="142">
        <v>0</v>
      </c>
      <c r="H524" s="142">
        <v>0</v>
      </c>
      <c r="I524" s="81" t="str">
        <f t="shared" si="126"/>
        <v>-</v>
      </c>
      <c r="J524" s="141">
        <v>0</v>
      </c>
      <c r="K524" s="141">
        <f t="shared" si="128"/>
        <v>0</v>
      </c>
      <c r="L524" s="141">
        <v>0</v>
      </c>
      <c r="M524" s="80">
        <v>0</v>
      </c>
      <c r="N524" s="81" t="str">
        <f t="shared" si="127"/>
        <v>-</v>
      </c>
      <c r="O524" s="366"/>
    </row>
    <row r="525" spans="1:15" s="95" customFormat="1" ht="11.1" customHeight="1" outlineLevel="1">
      <c r="A525" s="120"/>
      <c r="B525" s="76" t="s">
        <v>23</v>
      </c>
      <c r="C525" s="82" t="s">
        <v>126</v>
      </c>
      <c r="D525" s="111"/>
      <c r="E525" s="111"/>
      <c r="F525" s="79" t="s">
        <v>22</v>
      </c>
      <c r="G525" s="141">
        <v>23332</v>
      </c>
      <c r="H525" s="142">
        <v>7486</v>
      </c>
      <c r="I525" s="81">
        <f t="shared" si="126"/>
        <v>32.084690553745929</v>
      </c>
      <c r="J525" s="141">
        <v>6402</v>
      </c>
      <c r="K525" s="141">
        <f t="shared" si="128"/>
        <v>0</v>
      </c>
      <c r="L525" s="141">
        <v>6402</v>
      </c>
      <c r="M525" s="83">
        <v>4553.12</v>
      </c>
      <c r="N525" s="81">
        <f t="shared" si="127"/>
        <v>71.12027491408935</v>
      </c>
      <c r="O525" s="366"/>
    </row>
    <row r="526" spans="1:15" s="95" customFormat="1" ht="11.1" customHeight="1" outlineLevel="1">
      <c r="A526" s="120"/>
      <c r="B526" s="76"/>
      <c r="C526" s="82" t="s">
        <v>127</v>
      </c>
      <c r="D526" s="111"/>
      <c r="E526" s="111"/>
      <c r="F526" s="107" t="s">
        <v>45</v>
      </c>
      <c r="G526" s="142">
        <v>0</v>
      </c>
      <c r="H526" s="142">
        <v>0</v>
      </c>
      <c r="I526" s="81" t="str">
        <f t="shared" si="126"/>
        <v>-</v>
      </c>
      <c r="J526" s="141">
        <v>0</v>
      </c>
      <c r="K526" s="141">
        <f t="shared" si="128"/>
        <v>0</v>
      </c>
      <c r="L526" s="141">
        <v>0</v>
      </c>
      <c r="M526" s="80">
        <v>0</v>
      </c>
      <c r="N526" s="81" t="str">
        <f t="shared" si="127"/>
        <v>-</v>
      </c>
      <c r="O526" s="366"/>
    </row>
    <row r="527" spans="1:15" s="95" customFormat="1" ht="11.1" customHeight="1" outlineLevel="1">
      <c r="A527" s="120"/>
      <c r="B527" s="76"/>
      <c r="C527" s="82" t="s">
        <v>128</v>
      </c>
      <c r="D527" s="111"/>
      <c r="E527" s="111"/>
      <c r="F527" s="107" t="s">
        <v>46</v>
      </c>
      <c r="G527" s="142">
        <v>0</v>
      </c>
      <c r="H527" s="142">
        <v>0</v>
      </c>
      <c r="I527" s="81" t="str">
        <f t="shared" si="126"/>
        <v>-</v>
      </c>
      <c r="J527" s="141">
        <v>0</v>
      </c>
      <c r="K527" s="141">
        <f t="shared" si="128"/>
        <v>0</v>
      </c>
      <c r="L527" s="141">
        <v>0</v>
      </c>
      <c r="M527" s="80">
        <v>0</v>
      </c>
      <c r="N527" s="81" t="str">
        <f t="shared" si="127"/>
        <v>-</v>
      </c>
      <c r="O527" s="366"/>
    </row>
    <row r="528" spans="1:15" s="95" customFormat="1" ht="11.1" customHeight="1" outlineLevel="1">
      <c r="A528" s="120"/>
      <c r="B528" s="76"/>
      <c r="C528" s="82" t="s">
        <v>129</v>
      </c>
      <c r="D528" s="111"/>
      <c r="E528" s="111"/>
      <c r="F528" s="107"/>
      <c r="G528" s="142"/>
      <c r="H528" s="142"/>
      <c r="I528" s="81"/>
      <c r="J528" s="142"/>
      <c r="K528" s="142"/>
      <c r="L528" s="141"/>
      <c r="M528" s="89"/>
      <c r="N528" s="81"/>
      <c r="O528" s="366"/>
    </row>
    <row r="529" spans="1:15" s="95" customFormat="1" ht="11.1" customHeight="1" outlineLevel="1">
      <c r="A529" s="120"/>
      <c r="B529" s="76"/>
      <c r="C529" s="82" t="s">
        <v>130</v>
      </c>
      <c r="D529" s="111"/>
      <c r="E529" s="111"/>
      <c r="F529" s="107"/>
      <c r="G529" s="142"/>
      <c r="H529" s="142"/>
      <c r="I529" s="81"/>
      <c r="J529" s="142"/>
      <c r="K529" s="142"/>
      <c r="L529" s="141"/>
      <c r="M529" s="89"/>
      <c r="N529" s="81"/>
      <c r="O529" s="366"/>
    </row>
    <row r="530" spans="1:15" s="95" customFormat="1" ht="10.5" customHeight="1" outlineLevel="1">
      <c r="A530" s="120"/>
      <c r="B530" s="76"/>
      <c r="C530" s="82"/>
      <c r="D530" s="90"/>
      <c r="E530" s="90"/>
      <c r="F530" s="107"/>
      <c r="G530" s="142"/>
      <c r="H530" s="142"/>
      <c r="I530" s="81"/>
      <c r="J530" s="142"/>
      <c r="K530" s="142"/>
      <c r="L530" s="141"/>
      <c r="M530" s="89"/>
      <c r="N530" s="81"/>
      <c r="O530" s="366"/>
    </row>
    <row r="531" spans="1:15" s="95" customFormat="1" ht="3.95" customHeight="1" outlineLevel="1">
      <c r="A531" s="121"/>
      <c r="B531" s="85"/>
      <c r="C531" s="86"/>
      <c r="D531" s="84"/>
      <c r="E531" s="84"/>
      <c r="F531" s="85"/>
      <c r="G531" s="143"/>
      <c r="H531" s="143"/>
      <c r="I531" s="88"/>
      <c r="J531" s="143"/>
      <c r="K531" s="143"/>
      <c r="L531" s="144"/>
      <c r="M531" s="87"/>
      <c r="N531" s="88"/>
      <c r="O531" s="222"/>
    </row>
    <row r="532" spans="1:15" s="95" customFormat="1" ht="3.95" customHeight="1" outlineLevel="1">
      <c r="A532" s="157"/>
      <c r="B532" s="72"/>
      <c r="C532" s="73"/>
      <c r="D532" s="71"/>
      <c r="E532" s="71"/>
      <c r="F532" s="72"/>
      <c r="G532" s="138"/>
      <c r="H532" s="138"/>
      <c r="I532" s="75"/>
      <c r="J532" s="138"/>
      <c r="K532" s="138"/>
      <c r="L532" s="139"/>
      <c r="M532" s="74"/>
      <c r="N532" s="75"/>
      <c r="O532" s="208"/>
    </row>
    <row r="533" spans="1:15" s="95" customFormat="1" ht="11.1" customHeight="1" outlineLevel="1">
      <c r="A533" s="370" t="s">
        <v>62</v>
      </c>
      <c r="B533" s="76" t="s">
        <v>9</v>
      </c>
      <c r="C533" s="151" t="s">
        <v>113</v>
      </c>
      <c r="D533" s="369" t="s">
        <v>54</v>
      </c>
      <c r="E533" s="369" t="s">
        <v>123</v>
      </c>
      <c r="F533" s="78" t="s">
        <v>28</v>
      </c>
      <c r="G533" s="140">
        <f>SUM(G534:G539)</f>
        <v>146494</v>
      </c>
      <c r="H533" s="140">
        <f>SUM(H534:H539)</f>
        <v>69284</v>
      </c>
      <c r="I533" s="39">
        <f t="shared" ref="I533:I539" si="129">IF(G533&gt;0,H533/G533*100,"-")</f>
        <v>47.294769751662187</v>
      </c>
      <c r="J533" s="140">
        <f>SUM(J534:J539)</f>
        <v>63779</v>
      </c>
      <c r="K533" s="140">
        <f>SUM(K534:K539)</f>
        <v>76492</v>
      </c>
      <c r="L533" s="140">
        <f>SUM(L534:L539)</f>
        <v>140271</v>
      </c>
      <c r="M533" s="38">
        <f>SUM(M534:M539)</f>
        <v>63059.920000000006</v>
      </c>
      <c r="N533" s="39">
        <f t="shared" ref="N533:N539" si="130">IF(L533&gt;0,M533/L533*100,"-")</f>
        <v>44.955778457414581</v>
      </c>
      <c r="O533" s="366" t="s">
        <v>247</v>
      </c>
    </row>
    <row r="534" spans="1:15" s="95" customFormat="1" ht="11.1" customHeight="1" outlineLevel="1">
      <c r="A534" s="370"/>
      <c r="B534" s="76" t="s">
        <v>10</v>
      </c>
      <c r="C534" s="151" t="s">
        <v>133</v>
      </c>
      <c r="D534" s="369"/>
      <c r="E534" s="369"/>
      <c r="F534" s="79" t="s">
        <v>15</v>
      </c>
      <c r="G534" s="141">
        <v>21975</v>
      </c>
      <c r="H534" s="142">
        <v>10394</v>
      </c>
      <c r="I534" s="81">
        <f t="shared" si="129"/>
        <v>47.299203640500572</v>
      </c>
      <c r="J534" s="141">
        <v>9567</v>
      </c>
      <c r="K534" s="141">
        <f t="shared" ref="K534:K539" si="131">L534-J534</f>
        <v>11474</v>
      </c>
      <c r="L534" s="141">
        <v>21041</v>
      </c>
      <c r="M534" s="80">
        <v>9459.19</v>
      </c>
      <c r="N534" s="81">
        <f t="shared" si="130"/>
        <v>44.95599068485339</v>
      </c>
      <c r="O534" s="366"/>
    </row>
    <row r="535" spans="1:15" s="95" customFormat="1" ht="11.1" customHeight="1" outlineLevel="1">
      <c r="A535" s="370"/>
      <c r="B535" s="76"/>
      <c r="C535" s="82" t="s">
        <v>134</v>
      </c>
      <c r="D535" s="369"/>
      <c r="E535" s="369"/>
      <c r="F535" s="79" t="s">
        <v>7</v>
      </c>
      <c r="G535" s="141">
        <v>124519</v>
      </c>
      <c r="H535" s="142">
        <v>58890</v>
      </c>
      <c r="I535" s="81">
        <f t="shared" si="129"/>
        <v>47.293987262987983</v>
      </c>
      <c r="J535" s="141">
        <v>54212</v>
      </c>
      <c r="K535" s="141">
        <f t="shared" si="131"/>
        <v>65018</v>
      </c>
      <c r="L535" s="141">
        <v>119230</v>
      </c>
      <c r="M535" s="83">
        <v>53600.73</v>
      </c>
      <c r="N535" s="81">
        <f t="shared" si="130"/>
        <v>44.955741004780677</v>
      </c>
      <c r="O535" s="366"/>
    </row>
    <row r="536" spans="1:15" s="95" customFormat="1" ht="11.1" customHeight="1" outlineLevel="1">
      <c r="A536" s="120"/>
      <c r="B536" s="76" t="s">
        <v>11</v>
      </c>
      <c r="C536" s="82" t="s">
        <v>210</v>
      </c>
      <c r="D536" s="111"/>
      <c r="E536" s="111"/>
      <c r="F536" s="79" t="s">
        <v>8</v>
      </c>
      <c r="G536" s="142">
        <v>0</v>
      </c>
      <c r="H536" s="142">
        <v>0</v>
      </c>
      <c r="I536" s="81" t="str">
        <f t="shared" si="129"/>
        <v>-</v>
      </c>
      <c r="J536" s="141">
        <v>0</v>
      </c>
      <c r="K536" s="141">
        <f t="shared" si="131"/>
        <v>0</v>
      </c>
      <c r="L536" s="141">
        <v>0</v>
      </c>
      <c r="M536" s="80">
        <v>0</v>
      </c>
      <c r="N536" s="81" t="str">
        <f t="shared" si="130"/>
        <v>-</v>
      </c>
      <c r="O536" s="366"/>
    </row>
    <row r="537" spans="1:15" s="95" customFormat="1" ht="11.1" customHeight="1" outlineLevel="1">
      <c r="A537" s="120"/>
      <c r="B537" s="76"/>
      <c r="C537" s="82" t="s">
        <v>135</v>
      </c>
      <c r="D537" s="111"/>
      <c r="E537" s="111"/>
      <c r="F537" s="79" t="s">
        <v>22</v>
      </c>
      <c r="G537" s="142">
        <v>0</v>
      </c>
      <c r="H537" s="142">
        <v>0</v>
      </c>
      <c r="I537" s="81" t="str">
        <f t="shared" si="129"/>
        <v>-</v>
      </c>
      <c r="J537" s="141">
        <v>0</v>
      </c>
      <c r="K537" s="141">
        <f t="shared" si="131"/>
        <v>0</v>
      </c>
      <c r="L537" s="141">
        <v>0</v>
      </c>
      <c r="M537" s="80">
        <v>0</v>
      </c>
      <c r="N537" s="81" t="str">
        <f t="shared" si="130"/>
        <v>-</v>
      </c>
      <c r="O537" s="366"/>
    </row>
    <row r="538" spans="1:15" s="95" customFormat="1" ht="11.1" customHeight="1" outlineLevel="1">
      <c r="A538" s="120"/>
      <c r="B538" s="76" t="s">
        <v>12</v>
      </c>
      <c r="C538" s="82" t="s">
        <v>426</v>
      </c>
      <c r="D538" s="111"/>
      <c r="E538" s="111"/>
      <c r="F538" s="107" t="s">
        <v>45</v>
      </c>
      <c r="G538" s="142">
        <v>0</v>
      </c>
      <c r="H538" s="142">
        <v>0</v>
      </c>
      <c r="I538" s="81" t="str">
        <f t="shared" si="129"/>
        <v>-</v>
      </c>
      <c r="J538" s="141">
        <v>0</v>
      </c>
      <c r="K538" s="141">
        <f t="shared" si="131"/>
        <v>0</v>
      </c>
      <c r="L538" s="141">
        <v>0</v>
      </c>
      <c r="M538" s="80">
        <v>0</v>
      </c>
      <c r="N538" s="81" t="str">
        <f t="shared" si="130"/>
        <v>-</v>
      </c>
      <c r="O538" s="366"/>
    </row>
    <row r="539" spans="1:15" s="95" customFormat="1" ht="11.1" customHeight="1" outlineLevel="1">
      <c r="A539" s="120"/>
      <c r="B539" s="76" t="s">
        <v>23</v>
      </c>
      <c r="C539" s="82" t="s">
        <v>136</v>
      </c>
      <c r="D539" s="111"/>
      <c r="E539" s="111"/>
      <c r="F539" s="107" t="s">
        <v>46</v>
      </c>
      <c r="G539" s="142">
        <v>0</v>
      </c>
      <c r="H539" s="142">
        <v>0</v>
      </c>
      <c r="I539" s="81" t="str">
        <f t="shared" si="129"/>
        <v>-</v>
      </c>
      <c r="J539" s="141">
        <v>0</v>
      </c>
      <c r="K539" s="141">
        <f t="shared" si="131"/>
        <v>0</v>
      </c>
      <c r="L539" s="141">
        <v>0</v>
      </c>
      <c r="M539" s="80">
        <v>0</v>
      </c>
      <c r="N539" s="81" t="str">
        <f t="shared" si="130"/>
        <v>-</v>
      </c>
      <c r="O539" s="366"/>
    </row>
    <row r="540" spans="1:15" s="95" customFormat="1" ht="11.1" customHeight="1" outlineLevel="1">
      <c r="A540" s="120"/>
      <c r="B540" s="76"/>
      <c r="C540" s="82" t="s">
        <v>137</v>
      </c>
      <c r="D540" s="111"/>
      <c r="E540" s="111"/>
      <c r="F540" s="107"/>
      <c r="G540" s="142"/>
      <c r="H540" s="142"/>
      <c r="I540" s="81"/>
      <c r="J540" s="142"/>
      <c r="K540" s="142"/>
      <c r="L540" s="141"/>
      <c r="M540" s="89"/>
      <c r="N540" s="81"/>
      <c r="O540" s="366"/>
    </row>
    <row r="541" spans="1:15" s="95" customFormat="1" ht="11.1" customHeight="1" outlineLevel="1">
      <c r="A541" s="120"/>
      <c r="B541" s="76"/>
      <c r="C541" s="82" t="s">
        <v>138</v>
      </c>
      <c r="D541" s="111"/>
      <c r="E541" s="111"/>
      <c r="F541" s="107"/>
      <c r="G541" s="142"/>
      <c r="H541" s="142"/>
      <c r="I541" s="81"/>
      <c r="J541" s="142"/>
      <c r="K541" s="142"/>
      <c r="L541" s="141"/>
      <c r="M541" s="89"/>
      <c r="N541" s="81"/>
      <c r="O541" s="366"/>
    </row>
    <row r="542" spans="1:15" s="95" customFormat="1" ht="11.1" customHeight="1" outlineLevel="1">
      <c r="A542" s="120"/>
      <c r="B542" s="76"/>
      <c r="C542" s="82" t="s">
        <v>139</v>
      </c>
      <c r="D542" s="111"/>
      <c r="E542" s="111"/>
      <c r="F542" s="107"/>
      <c r="G542" s="142"/>
      <c r="H542" s="142"/>
      <c r="I542" s="81"/>
      <c r="J542" s="142"/>
      <c r="K542" s="142"/>
      <c r="L542" s="141"/>
      <c r="M542" s="89"/>
      <c r="N542" s="81"/>
      <c r="O542" s="356"/>
    </row>
    <row r="543" spans="1:15" s="95" customFormat="1" ht="11.1" customHeight="1" outlineLevel="1">
      <c r="A543" s="120"/>
      <c r="B543" s="76"/>
      <c r="C543" s="82" t="s">
        <v>140</v>
      </c>
      <c r="D543" s="111"/>
      <c r="E543" s="111"/>
      <c r="F543" s="107"/>
      <c r="G543" s="142"/>
      <c r="H543" s="142"/>
      <c r="I543" s="81"/>
      <c r="J543" s="142"/>
      <c r="K543" s="142"/>
      <c r="L543" s="141"/>
      <c r="M543" s="89"/>
      <c r="N543" s="81"/>
      <c r="O543" s="356"/>
    </row>
    <row r="544" spans="1:15" s="95" customFormat="1" ht="3.95" customHeight="1" outlineLevel="1">
      <c r="A544" s="121"/>
      <c r="B544" s="85"/>
      <c r="C544" s="86"/>
      <c r="D544" s="84"/>
      <c r="E544" s="84"/>
      <c r="F544" s="85"/>
      <c r="G544" s="143"/>
      <c r="H544" s="143"/>
      <c r="I544" s="88"/>
      <c r="J544" s="143"/>
      <c r="K544" s="143"/>
      <c r="L544" s="144"/>
      <c r="M544" s="87"/>
      <c r="N544" s="88"/>
      <c r="O544" s="222"/>
    </row>
    <row r="545" spans="1:15" s="95" customFormat="1" ht="3.95" customHeight="1" outlineLevel="1">
      <c r="A545" s="157"/>
      <c r="B545" s="72"/>
      <c r="C545" s="73"/>
      <c r="D545" s="71"/>
      <c r="E545" s="71"/>
      <c r="F545" s="72"/>
      <c r="G545" s="138"/>
      <c r="H545" s="138"/>
      <c r="I545" s="75"/>
      <c r="J545" s="138"/>
      <c r="K545" s="138"/>
      <c r="L545" s="139"/>
      <c r="M545" s="74"/>
      <c r="N545" s="75"/>
      <c r="O545" s="208"/>
    </row>
    <row r="546" spans="1:15" s="95" customFormat="1" ht="11.1" customHeight="1" outlineLevel="1">
      <c r="A546" s="370" t="s">
        <v>66</v>
      </c>
      <c r="B546" s="76" t="s">
        <v>9</v>
      </c>
      <c r="C546" s="151" t="s">
        <v>113</v>
      </c>
      <c r="D546" s="369" t="s">
        <v>65</v>
      </c>
      <c r="E546" s="369" t="s">
        <v>123</v>
      </c>
      <c r="F546" s="78" t="s">
        <v>28</v>
      </c>
      <c r="G546" s="140">
        <f>SUM(G547:G552)</f>
        <v>139000</v>
      </c>
      <c r="H546" s="140">
        <f>SUM(H547:H552)</f>
        <v>0</v>
      </c>
      <c r="I546" s="39">
        <f t="shared" ref="I546:I552" si="132">IF(G546&gt;0,H546/G546*100,"-")</f>
        <v>0</v>
      </c>
      <c r="J546" s="140">
        <f>SUM(J547:J552)</f>
        <v>39000</v>
      </c>
      <c r="K546" s="140">
        <f>SUM(K547:K552)</f>
        <v>0</v>
      </c>
      <c r="L546" s="140">
        <f>SUM(L547:L552)</f>
        <v>39000</v>
      </c>
      <c r="M546" s="38">
        <f>SUM(M547:M552)</f>
        <v>0</v>
      </c>
      <c r="N546" s="39">
        <f t="shared" ref="N546:N552" si="133">IF(L546&gt;0,M546/L546*100,"-")</f>
        <v>0</v>
      </c>
      <c r="O546" s="366" t="s">
        <v>319</v>
      </c>
    </row>
    <row r="547" spans="1:15" s="95" customFormat="1" ht="11.1" customHeight="1" outlineLevel="1">
      <c r="A547" s="370"/>
      <c r="B547" s="76" t="s">
        <v>10</v>
      </c>
      <c r="C547" s="151" t="s">
        <v>133</v>
      </c>
      <c r="D547" s="369"/>
      <c r="E547" s="369"/>
      <c r="F547" s="79" t="s">
        <v>15</v>
      </c>
      <c r="G547" s="141">
        <v>20850</v>
      </c>
      <c r="H547" s="141">
        <v>0</v>
      </c>
      <c r="I547" s="81">
        <f t="shared" si="132"/>
        <v>0</v>
      </c>
      <c r="J547" s="141">
        <v>5850</v>
      </c>
      <c r="K547" s="141">
        <f t="shared" ref="K547:K552" si="134">L547-J547</f>
        <v>0</v>
      </c>
      <c r="L547" s="141">
        <v>5850</v>
      </c>
      <c r="M547" s="80">
        <v>0</v>
      </c>
      <c r="N547" s="81">
        <f t="shared" si="133"/>
        <v>0</v>
      </c>
      <c r="O547" s="366"/>
    </row>
    <row r="548" spans="1:15" s="95" customFormat="1" ht="11.1" customHeight="1" outlineLevel="1">
      <c r="A548" s="370"/>
      <c r="B548" s="76"/>
      <c r="C548" s="82" t="s">
        <v>134</v>
      </c>
      <c r="D548" s="369"/>
      <c r="E548" s="369"/>
      <c r="F548" s="79" t="s">
        <v>7</v>
      </c>
      <c r="G548" s="141">
        <v>118150</v>
      </c>
      <c r="H548" s="141">
        <v>0</v>
      </c>
      <c r="I548" s="81">
        <f t="shared" si="132"/>
        <v>0</v>
      </c>
      <c r="J548" s="141">
        <v>33150</v>
      </c>
      <c r="K548" s="141">
        <f t="shared" si="134"/>
        <v>0</v>
      </c>
      <c r="L548" s="141">
        <v>33150</v>
      </c>
      <c r="M548" s="83">
        <v>0</v>
      </c>
      <c r="N548" s="81">
        <f t="shared" si="133"/>
        <v>0</v>
      </c>
      <c r="O548" s="366"/>
    </row>
    <row r="549" spans="1:15" s="95" customFormat="1" ht="11.1" customHeight="1" outlineLevel="1">
      <c r="A549" s="120"/>
      <c r="B549" s="76" t="s">
        <v>11</v>
      </c>
      <c r="C549" s="82" t="s">
        <v>210</v>
      </c>
      <c r="D549" s="111"/>
      <c r="E549" s="111"/>
      <c r="F549" s="79" t="s">
        <v>8</v>
      </c>
      <c r="G549" s="142">
        <v>0</v>
      </c>
      <c r="H549" s="142">
        <v>0</v>
      </c>
      <c r="I549" s="81" t="str">
        <f t="shared" si="132"/>
        <v>-</v>
      </c>
      <c r="J549" s="141">
        <v>0</v>
      </c>
      <c r="K549" s="141">
        <f t="shared" si="134"/>
        <v>0</v>
      </c>
      <c r="L549" s="141">
        <v>0</v>
      </c>
      <c r="M549" s="80">
        <v>0</v>
      </c>
      <c r="N549" s="81" t="str">
        <f t="shared" si="133"/>
        <v>-</v>
      </c>
      <c r="O549" s="366"/>
    </row>
    <row r="550" spans="1:15" s="95" customFormat="1" ht="11.1" customHeight="1" outlineLevel="1">
      <c r="A550" s="120"/>
      <c r="B550" s="76"/>
      <c r="C550" s="82" t="s">
        <v>135</v>
      </c>
      <c r="D550" s="111"/>
      <c r="E550" s="111"/>
      <c r="F550" s="79" t="s">
        <v>22</v>
      </c>
      <c r="G550" s="142">
        <v>0</v>
      </c>
      <c r="H550" s="142">
        <v>0</v>
      </c>
      <c r="I550" s="81" t="str">
        <f t="shared" si="132"/>
        <v>-</v>
      </c>
      <c r="J550" s="141">
        <v>0</v>
      </c>
      <c r="K550" s="141">
        <f t="shared" si="134"/>
        <v>0</v>
      </c>
      <c r="L550" s="141">
        <v>0</v>
      </c>
      <c r="M550" s="80">
        <v>0</v>
      </c>
      <c r="N550" s="81" t="str">
        <f t="shared" si="133"/>
        <v>-</v>
      </c>
      <c r="O550" s="366"/>
    </row>
    <row r="551" spans="1:15" s="95" customFormat="1" ht="11.1" customHeight="1" outlineLevel="1">
      <c r="A551" s="120"/>
      <c r="B551" s="76" t="s">
        <v>12</v>
      </c>
      <c r="C551" s="82" t="s">
        <v>427</v>
      </c>
      <c r="D551" s="111"/>
      <c r="E551" s="111"/>
      <c r="F551" s="107" t="s">
        <v>45</v>
      </c>
      <c r="G551" s="142">
        <v>0</v>
      </c>
      <c r="H551" s="142">
        <v>0</v>
      </c>
      <c r="I551" s="81" t="str">
        <f t="shared" si="132"/>
        <v>-</v>
      </c>
      <c r="J551" s="141">
        <v>0</v>
      </c>
      <c r="K551" s="141">
        <f t="shared" si="134"/>
        <v>0</v>
      </c>
      <c r="L551" s="141">
        <v>0</v>
      </c>
      <c r="M551" s="80">
        <v>0</v>
      </c>
      <c r="N551" s="81" t="str">
        <f t="shared" si="133"/>
        <v>-</v>
      </c>
      <c r="O551" s="366"/>
    </row>
    <row r="552" spans="1:15" s="95" customFormat="1" ht="11.1" customHeight="1" outlineLevel="1">
      <c r="A552" s="120"/>
      <c r="B552" s="76" t="s">
        <v>23</v>
      </c>
      <c r="C552" s="82" t="s">
        <v>136</v>
      </c>
      <c r="D552" s="111"/>
      <c r="E552" s="111"/>
      <c r="F552" s="107" t="s">
        <v>46</v>
      </c>
      <c r="G552" s="142">
        <v>0</v>
      </c>
      <c r="H552" s="142">
        <v>0</v>
      </c>
      <c r="I552" s="81" t="str">
        <f t="shared" si="132"/>
        <v>-</v>
      </c>
      <c r="J552" s="141">
        <v>0</v>
      </c>
      <c r="K552" s="141">
        <f t="shared" si="134"/>
        <v>0</v>
      </c>
      <c r="L552" s="141">
        <v>0</v>
      </c>
      <c r="M552" s="80">
        <v>0</v>
      </c>
      <c r="N552" s="81" t="str">
        <f t="shared" si="133"/>
        <v>-</v>
      </c>
      <c r="O552" s="366"/>
    </row>
    <row r="553" spans="1:15" s="95" customFormat="1" ht="11.1" customHeight="1" outlineLevel="1">
      <c r="A553" s="120"/>
      <c r="B553" s="76"/>
      <c r="C553" s="82" t="s">
        <v>137</v>
      </c>
      <c r="D553" s="111"/>
      <c r="E553" s="111"/>
      <c r="F553" s="107"/>
      <c r="G553" s="142"/>
      <c r="H553" s="142"/>
      <c r="I553" s="81"/>
      <c r="J553" s="142"/>
      <c r="K553" s="142"/>
      <c r="L553" s="141"/>
      <c r="M553" s="89"/>
      <c r="N553" s="81"/>
      <c r="O553" s="366"/>
    </row>
    <row r="554" spans="1:15" s="95" customFormat="1" ht="11.1" customHeight="1" outlineLevel="1">
      <c r="A554" s="120"/>
      <c r="B554" s="76"/>
      <c r="C554" s="82" t="s">
        <v>138</v>
      </c>
      <c r="D554" s="111"/>
      <c r="E554" s="111"/>
      <c r="F554" s="107"/>
      <c r="G554" s="142"/>
      <c r="H554" s="142"/>
      <c r="I554" s="81"/>
      <c r="J554" s="142"/>
      <c r="K554" s="142"/>
      <c r="L554" s="141"/>
      <c r="M554" s="89"/>
      <c r="N554" s="81"/>
      <c r="O554" s="356"/>
    </row>
    <row r="555" spans="1:15" s="95" customFormat="1" ht="11.1" customHeight="1" outlineLevel="1">
      <c r="A555" s="120"/>
      <c r="B555" s="76"/>
      <c r="C555" s="82" t="s">
        <v>139</v>
      </c>
      <c r="D555" s="111"/>
      <c r="E555" s="111"/>
      <c r="F555" s="107"/>
      <c r="G555" s="142"/>
      <c r="H555" s="142"/>
      <c r="I555" s="81"/>
      <c r="J555" s="142"/>
      <c r="K555" s="142"/>
      <c r="L555" s="141"/>
      <c r="M555" s="89"/>
      <c r="N555" s="81"/>
      <c r="O555" s="356"/>
    </row>
    <row r="556" spans="1:15" s="95" customFormat="1" ht="11.1" customHeight="1" outlineLevel="1">
      <c r="A556" s="120"/>
      <c r="B556" s="76"/>
      <c r="C556" s="82" t="s">
        <v>140</v>
      </c>
      <c r="D556" s="111"/>
      <c r="E556" s="111"/>
      <c r="F556" s="107"/>
      <c r="G556" s="142"/>
      <c r="H556" s="142"/>
      <c r="I556" s="81"/>
      <c r="J556" s="142"/>
      <c r="K556" s="142"/>
      <c r="L556" s="141"/>
      <c r="M556" s="89"/>
      <c r="N556" s="81"/>
      <c r="O556" s="356"/>
    </row>
    <row r="557" spans="1:15" s="95" customFormat="1" ht="3.95" customHeight="1" outlineLevel="1">
      <c r="A557" s="121"/>
      <c r="B557" s="85"/>
      <c r="C557" s="86"/>
      <c r="D557" s="84"/>
      <c r="E557" s="84"/>
      <c r="F557" s="85"/>
      <c r="G557" s="143"/>
      <c r="H557" s="143"/>
      <c r="I557" s="88"/>
      <c r="J557" s="143"/>
      <c r="K557" s="143"/>
      <c r="L557" s="144"/>
      <c r="M557" s="87"/>
      <c r="N557" s="88"/>
      <c r="O557" s="222"/>
    </row>
    <row r="558" spans="1:15" s="95" customFormat="1" ht="3.95" customHeight="1" outlineLevel="1">
      <c r="A558" s="157"/>
      <c r="B558" s="72"/>
      <c r="C558" s="73"/>
      <c r="D558" s="71"/>
      <c r="E558" s="71"/>
      <c r="F558" s="72"/>
      <c r="G558" s="138"/>
      <c r="H558" s="138"/>
      <c r="I558" s="75"/>
      <c r="J558" s="138"/>
      <c r="K558" s="138"/>
      <c r="L558" s="139"/>
      <c r="M558" s="74"/>
      <c r="N558" s="75"/>
      <c r="O558" s="208"/>
    </row>
    <row r="559" spans="1:15" s="95" customFormat="1" ht="11.1" customHeight="1" outlineLevel="1">
      <c r="A559" s="370" t="s">
        <v>91</v>
      </c>
      <c r="B559" s="76" t="s">
        <v>9</v>
      </c>
      <c r="C559" s="77" t="s">
        <v>145</v>
      </c>
      <c r="D559" s="369" t="s">
        <v>90</v>
      </c>
      <c r="E559" s="369" t="s">
        <v>132</v>
      </c>
      <c r="F559" s="78" t="s">
        <v>28</v>
      </c>
      <c r="G559" s="140">
        <f>SUM(G560:G565)</f>
        <v>157536</v>
      </c>
      <c r="H559" s="140">
        <f>SUM(H560:H565)</f>
        <v>147120</v>
      </c>
      <c r="I559" s="39">
        <f t="shared" ref="I559:I565" si="135">IF(G559&gt;0,H559/G559*100,"-")</f>
        <v>93.388177940280315</v>
      </c>
      <c r="J559" s="140">
        <f>SUM(J560:J565)</f>
        <v>44442</v>
      </c>
      <c r="K559" s="140">
        <f>SUM(K560:K565)</f>
        <v>0</v>
      </c>
      <c r="L559" s="140">
        <f>SUM(L560:L565)</f>
        <v>44442</v>
      </c>
      <c r="M559" s="38">
        <f>SUM(M560:M565)</f>
        <v>34025.050000000003</v>
      </c>
      <c r="N559" s="39">
        <f t="shared" ref="N559:N565" si="136">IF(L559&gt;0,M559/L559*100,"-")</f>
        <v>76.560573331533249</v>
      </c>
      <c r="O559" s="366" t="s">
        <v>510</v>
      </c>
    </row>
    <row r="560" spans="1:15" s="95" customFormat="1" ht="11.1" customHeight="1" outlineLevel="1">
      <c r="A560" s="370"/>
      <c r="B560" s="76" t="s">
        <v>10</v>
      </c>
      <c r="C560" s="77" t="s">
        <v>146</v>
      </c>
      <c r="D560" s="369"/>
      <c r="E560" s="369"/>
      <c r="F560" s="79" t="s">
        <v>15</v>
      </c>
      <c r="G560" s="141">
        <v>31510</v>
      </c>
      <c r="H560" s="142">
        <v>29425</v>
      </c>
      <c r="I560" s="81">
        <f t="shared" si="135"/>
        <v>93.383052999047919</v>
      </c>
      <c r="J560" s="141">
        <v>8891</v>
      </c>
      <c r="K560" s="141">
        <f t="shared" ref="K560:K565" si="137">L560-J560</f>
        <v>0</v>
      </c>
      <c r="L560" s="141">
        <v>8891</v>
      </c>
      <c r="M560" s="89">
        <v>6805.01</v>
      </c>
      <c r="N560" s="81">
        <f t="shared" si="136"/>
        <v>76.538184681138233</v>
      </c>
      <c r="O560" s="366"/>
    </row>
    <row r="561" spans="1:15" s="95" customFormat="1" ht="11.1" customHeight="1" outlineLevel="1">
      <c r="A561" s="370"/>
      <c r="B561" s="76" t="s">
        <v>11</v>
      </c>
      <c r="C561" s="82" t="s">
        <v>147</v>
      </c>
      <c r="D561" s="369"/>
      <c r="E561" s="369"/>
      <c r="F561" s="79" t="s">
        <v>7</v>
      </c>
      <c r="G561" s="141">
        <v>126026</v>
      </c>
      <c r="H561" s="142">
        <v>117695</v>
      </c>
      <c r="I561" s="81">
        <f t="shared" si="135"/>
        <v>93.389459317918522</v>
      </c>
      <c r="J561" s="141">
        <v>35551</v>
      </c>
      <c r="K561" s="141">
        <f t="shared" si="137"/>
        <v>0</v>
      </c>
      <c r="L561" s="141">
        <v>35551</v>
      </c>
      <c r="M561" s="89">
        <v>27220.04</v>
      </c>
      <c r="N561" s="81">
        <f t="shared" si="136"/>
        <v>76.566172540856797</v>
      </c>
      <c r="O561" s="366"/>
    </row>
    <row r="562" spans="1:15" s="95" customFormat="1" ht="11.1" customHeight="1" outlineLevel="1">
      <c r="A562" s="120"/>
      <c r="B562" s="76" t="s">
        <v>12</v>
      </c>
      <c r="C562" s="82" t="s">
        <v>428</v>
      </c>
      <c r="D562" s="111"/>
      <c r="E562" s="111"/>
      <c r="F562" s="79" t="s">
        <v>8</v>
      </c>
      <c r="G562" s="142">
        <v>0</v>
      </c>
      <c r="H562" s="142">
        <v>0</v>
      </c>
      <c r="I562" s="81" t="str">
        <f t="shared" si="135"/>
        <v>-</v>
      </c>
      <c r="J562" s="141">
        <v>0</v>
      </c>
      <c r="K562" s="141">
        <f t="shared" si="137"/>
        <v>0</v>
      </c>
      <c r="L562" s="141">
        <v>0</v>
      </c>
      <c r="M562" s="80">
        <v>0</v>
      </c>
      <c r="N562" s="81" t="str">
        <f t="shared" si="136"/>
        <v>-</v>
      </c>
      <c r="O562" s="366"/>
    </row>
    <row r="563" spans="1:15" s="95" customFormat="1" ht="11.1" customHeight="1" outlineLevel="1">
      <c r="A563" s="120"/>
      <c r="B563" s="76" t="s">
        <v>23</v>
      </c>
      <c r="C563" s="82" t="s">
        <v>148</v>
      </c>
      <c r="D563" s="111"/>
      <c r="E563" s="111"/>
      <c r="F563" s="79" t="s">
        <v>22</v>
      </c>
      <c r="G563" s="142">
        <v>0</v>
      </c>
      <c r="H563" s="142">
        <v>0</v>
      </c>
      <c r="I563" s="81" t="str">
        <f t="shared" si="135"/>
        <v>-</v>
      </c>
      <c r="J563" s="141">
        <v>0</v>
      </c>
      <c r="K563" s="141">
        <f t="shared" si="137"/>
        <v>0</v>
      </c>
      <c r="L563" s="141">
        <v>0</v>
      </c>
      <c r="M563" s="80">
        <v>0</v>
      </c>
      <c r="N563" s="81" t="str">
        <f t="shared" si="136"/>
        <v>-</v>
      </c>
      <c r="O563" s="366"/>
    </row>
    <row r="564" spans="1:15" s="95" customFormat="1" ht="11.1" customHeight="1" outlineLevel="1">
      <c r="A564" s="120"/>
      <c r="B564" s="76"/>
      <c r="C564" s="82" t="s">
        <v>149</v>
      </c>
      <c r="D564" s="111"/>
      <c r="E564" s="111"/>
      <c r="F564" s="107" t="s">
        <v>45</v>
      </c>
      <c r="G564" s="142">
        <v>0</v>
      </c>
      <c r="H564" s="142">
        <v>0</v>
      </c>
      <c r="I564" s="81" t="str">
        <f t="shared" si="135"/>
        <v>-</v>
      </c>
      <c r="J564" s="141">
        <v>0</v>
      </c>
      <c r="K564" s="141">
        <f t="shared" si="137"/>
        <v>0</v>
      </c>
      <c r="L564" s="141">
        <v>0</v>
      </c>
      <c r="M564" s="80">
        <v>0</v>
      </c>
      <c r="N564" s="81" t="str">
        <f t="shared" si="136"/>
        <v>-</v>
      </c>
      <c r="O564" s="366"/>
    </row>
    <row r="565" spans="1:15" s="95" customFormat="1" ht="11.1" customHeight="1" outlineLevel="1">
      <c r="A565" s="120"/>
      <c r="B565" s="76"/>
      <c r="C565" s="82" t="s">
        <v>150</v>
      </c>
      <c r="D565" s="111"/>
      <c r="E565" s="111"/>
      <c r="F565" s="107" t="s">
        <v>46</v>
      </c>
      <c r="G565" s="142">
        <v>0</v>
      </c>
      <c r="H565" s="142">
        <v>0</v>
      </c>
      <c r="I565" s="81" t="str">
        <f t="shared" si="135"/>
        <v>-</v>
      </c>
      <c r="J565" s="141">
        <v>0</v>
      </c>
      <c r="K565" s="141">
        <f t="shared" si="137"/>
        <v>0</v>
      </c>
      <c r="L565" s="141">
        <v>0</v>
      </c>
      <c r="M565" s="80">
        <v>0</v>
      </c>
      <c r="N565" s="81" t="str">
        <f t="shared" si="136"/>
        <v>-</v>
      </c>
      <c r="O565" s="366"/>
    </row>
    <row r="566" spans="1:15" s="95" customFormat="1" ht="47.25" customHeight="1" outlineLevel="1">
      <c r="A566" s="120"/>
      <c r="B566" s="76"/>
      <c r="C566" s="82"/>
      <c r="D566" s="90"/>
      <c r="E566" s="90"/>
      <c r="F566" s="107"/>
      <c r="G566" s="142"/>
      <c r="H566" s="142"/>
      <c r="I566" s="81"/>
      <c r="J566" s="142"/>
      <c r="K566" s="142"/>
      <c r="L566" s="141"/>
      <c r="M566" s="108"/>
      <c r="N566" s="81"/>
      <c r="O566" s="366"/>
    </row>
    <row r="567" spans="1:15" s="95" customFormat="1" ht="3.95" customHeight="1" outlineLevel="1">
      <c r="A567" s="121"/>
      <c r="B567" s="85"/>
      <c r="C567" s="86"/>
      <c r="D567" s="84"/>
      <c r="E567" s="84"/>
      <c r="F567" s="85"/>
      <c r="G567" s="143"/>
      <c r="H567" s="143"/>
      <c r="I567" s="88"/>
      <c r="J567" s="143"/>
      <c r="K567" s="143"/>
      <c r="L567" s="144"/>
      <c r="M567" s="87"/>
      <c r="N567" s="88"/>
      <c r="O567" s="222"/>
    </row>
    <row r="568" spans="1:15" s="95" customFormat="1" ht="3.95" customHeight="1">
      <c r="A568" s="211"/>
      <c r="B568" s="91"/>
      <c r="C568" s="92"/>
      <c r="D568" s="394"/>
      <c r="E568" s="211"/>
      <c r="F568" s="91"/>
      <c r="G568" s="149"/>
      <c r="H568" s="149"/>
      <c r="I568" s="94"/>
      <c r="J568" s="149"/>
      <c r="K568" s="149"/>
      <c r="L568" s="150"/>
      <c r="M568" s="93"/>
      <c r="N568" s="94"/>
      <c r="O568" s="217"/>
    </row>
    <row r="569" spans="1:15" ht="11.45" customHeight="1">
      <c r="A569" s="19" t="s">
        <v>13</v>
      </c>
      <c r="B569" s="385" t="s">
        <v>27</v>
      </c>
      <c r="C569" s="386"/>
      <c r="D569" s="394"/>
      <c r="E569" s="20"/>
      <c r="F569" s="21"/>
      <c r="G569" s="131">
        <f>SUM(G570:G575)</f>
        <v>800970736</v>
      </c>
      <c r="H569" s="131">
        <f>SUM(H570:H575)</f>
        <v>328266758</v>
      </c>
      <c r="I569" s="23">
        <f t="shared" ref="I569:I575" si="138">IF(G569&gt;0,H569/G569*100,"-")</f>
        <v>40.983614412599465</v>
      </c>
      <c r="J569" s="131">
        <f>SUM(J570:J575)</f>
        <v>307021399</v>
      </c>
      <c r="K569" s="131">
        <f>SUM(K570:K575)</f>
        <v>-78591484</v>
      </c>
      <c r="L569" s="131">
        <f>SUM(L570:L575)</f>
        <v>228429915</v>
      </c>
      <c r="M569" s="22">
        <f>SUM(M570:M575)</f>
        <v>209798265.34</v>
      </c>
      <c r="N569" s="23">
        <f t="shared" ref="N569:N575" si="139">IF(L569&gt;0,M569/L569*100,"-")</f>
        <v>91.843603470237255</v>
      </c>
      <c r="O569" s="217"/>
    </row>
    <row r="570" spans="1:15" ht="11.45" customHeight="1">
      <c r="A570" s="21"/>
      <c r="B570" s="373" t="s">
        <v>15</v>
      </c>
      <c r="C570" s="374"/>
      <c r="D570" s="394"/>
      <c r="E570" s="20"/>
      <c r="F570" s="25"/>
      <c r="G570" s="132">
        <f t="shared" ref="G570:H575" si="140">G579+G614+G656+G678+G697+G900+G918+G938</f>
        <v>130799036</v>
      </c>
      <c r="H570" s="132">
        <f t="shared" si="140"/>
        <v>39833892</v>
      </c>
      <c r="I570" s="27">
        <f t="shared" si="138"/>
        <v>30.454270320463216</v>
      </c>
      <c r="J570" s="132">
        <f t="shared" ref="J570:M575" si="141">J579+J614+J656+J678+J697+J900+J918+J938</f>
        <v>5116809</v>
      </c>
      <c r="K570" s="132">
        <f t="shared" si="141"/>
        <v>1996866</v>
      </c>
      <c r="L570" s="132">
        <f t="shared" si="141"/>
        <v>7113675</v>
      </c>
      <c r="M570" s="26">
        <f t="shared" si="141"/>
        <v>6244546.2600000007</v>
      </c>
      <c r="N570" s="27">
        <f t="shared" si="139"/>
        <v>87.782282153739118</v>
      </c>
      <c r="O570" s="217"/>
    </row>
    <row r="571" spans="1:15" ht="11.45" customHeight="1">
      <c r="A571" s="21"/>
      <c r="B571" s="373" t="s">
        <v>7</v>
      </c>
      <c r="C571" s="374"/>
      <c r="D571" s="394"/>
      <c r="E571" s="20"/>
      <c r="F571" s="25"/>
      <c r="G571" s="132">
        <f t="shared" si="140"/>
        <v>486045904</v>
      </c>
      <c r="H571" s="132">
        <f t="shared" si="140"/>
        <v>192574822</v>
      </c>
      <c r="I571" s="27">
        <f t="shared" si="138"/>
        <v>39.62070668946528</v>
      </c>
      <c r="J571" s="132">
        <f t="shared" si="141"/>
        <v>225198979</v>
      </c>
      <c r="K571" s="132">
        <f t="shared" si="141"/>
        <v>-75341237</v>
      </c>
      <c r="L571" s="132">
        <f t="shared" si="141"/>
        <v>149857742</v>
      </c>
      <c r="M571" s="26">
        <f t="shared" si="141"/>
        <v>136722909.25999999</v>
      </c>
      <c r="N571" s="27">
        <f t="shared" si="139"/>
        <v>91.235132356391702</v>
      </c>
      <c r="O571" s="217"/>
    </row>
    <row r="572" spans="1:15" ht="11.45" customHeight="1">
      <c r="A572" s="21"/>
      <c r="B572" s="373" t="s">
        <v>8</v>
      </c>
      <c r="C572" s="374"/>
      <c r="D572" s="394"/>
      <c r="E572" s="20"/>
      <c r="F572" s="25"/>
      <c r="G572" s="132">
        <f t="shared" si="140"/>
        <v>174816419</v>
      </c>
      <c r="H572" s="132">
        <f t="shared" si="140"/>
        <v>87055919</v>
      </c>
      <c r="I572" s="27">
        <f t="shared" si="138"/>
        <v>49.798479741196395</v>
      </c>
      <c r="J572" s="132">
        <f t="shared" si="141"/>
        <v>74253411</v>
      </c>
      <c r="K572" s="132">
        <f t="shared" si="141"/>
        <v>-11268608</v>
      </c>
      <c r="L572" s="132">
        <f t="shared" si="141"/>
        <v>62984803</v>
      </c>
      <c r="M572" s="26">
        <f t="shared" si="141"/>
        <v>58600803.039999992</v>
      </c>
      <c r="N572" s="27">
        <f t="shared" si="139"/>
        <v>93.039590899411067</v>
      </c>
      <c r="O572" s="217"/>
    </row>
    <row r="573" spans="1:15" ht="11.45" customHeight="1">
      <c r="A573" s="21"/>
      <c r="B573" s="373" t="s">
        <v>22</v>
      </c>
      <c r="C573" s="374"/>
      <c r="D573" s="394"/>
      <c r="E573" s="20"/>
      <c r="F573" s="25"/>
      <c r="G573" s="132">
        <f t="shared" si="140"/>
        <v>5089071</v>
      </c>
      <c r="H573" s="132">
        <f t="shared" si="140"/>
        <v>4838102</v>
      </c>
      <c r="I573" s="27">
        <f t="shared" si="138"/>
        <v>95.068471239642761</v>
      </c>
      <c r="J573" s="132">
        <f t="shared" si="141"/>
        <v>2452200</v>
      </c>
      <c r="K573" s="132">
        <f t="shared" si="141"/>
        <v>1931454</v>
      </c>
      <c r="L573" s="132">
        <f t="shared" si="141"/>
        <v>4383654</v>
      </c>
      <c r="M573" s="26">
        <f t="shared" si="141"/>
        <v>4265988.21</v>
      </c>
      <c r="N573" s="27">
        <f t="shared" si="139"/>
        <v>97.315805718243269</v>
      </c>
      <c r="O573" s="217"/>
    </row>
    <row r="574" spans="1:15" ht="11.45" customHeight="1">
      <c r="A574" s="21"/>
      <c r="B574" s="25" t="s">
        <v>45</v>
      </c>
      <c r="C574" s="105"/>
      <c r="D574" s="394"/>
      <c r="E574" s="20"/>
      <c r="F574" s="25"/>
      <c r="G574" s="132">
        <f t="shared" si="140"/>
        <v>150000</v>
      </c>
      <c r="H574" s="132">
        <f t="shared" si="140"/>
        <v>29120</v>
      </c>
      <c r="I574" s="27">
        <f t="shared" si="138"/>
        <v>19.413333333333334</v>
      </c>
      <c r="J574" s="132">
        <f t="shared" si="141"/>
        <v>0</v>
      </c>
      <c r="K574" s="132">
        <f t="shared" si="141"/>
        <v>29735</v>
      </c>
      <c r="L574" s="132">
        <f t="shared" si="141"/>
        <v>29735</v>
      </c>
      <c r="M574" s="26">
        <f t="shared" si="141"/>
        <v>29119.02</v>
      </c>
      <c r="N574" s="27">
        <f t="shared" si="139"/>
        <v>97.928434504792335</v>
      </c>
      <c r="O574" s="217"/>
    </row>
    <row r="575" spans="1:15" ht="11.45" customHeight="1">
      <c r="A575" s="21"/>
      <c r="B575" s="25" t="s">
        <v>46</v>
      </c>
      <c r="C575" s="105"/>
      <c r="D575" s="394"/>
      <c r="E575" s="20"/>
      <c r="F575" s="25"/>
      <c r="G575" s="132">
        <f t="shared" si="140"/>
        <v>4070306</v>
      </c>
      <c r="H575" s="132">
        <f t="shared" si="140"/>
        <v>3934903</v>
      </c>
      <c r="I575" s="27">
        <f t="shared" si="138"/>
        <v>96.673395071525334</v>
      </c>
      <c r="J575" s="132">
        <f t="shared" si="141"/>
        <v>0</v>
      </c>
      <c r="K575" s="132">
        <f t="shared" si="141"/>
        <v>4060306</v>
      </c>
      <c r="L575" s="132">
        <f t="shared" si="141"/>
        <v>4060306</v>
      </c>
      <c r="M575" s="26">
        <f t="shared" si="141"/>
        <v>3934899.55</v>
      </c>
      <c r="N575" s="27">
        <f t="shared" si="139"/>
        <v>96.911403968075305</v>
      </c>
      <c r="O575" s="217"/>
    </row>
    <row r="576" spans="1:15" ht="3.95" customHeight="1">
      <c r="A576" s="53"/>
      <c r="B576" s="54"/>
      <c r="C576" s="55"/>
      <c r="D576" s="395"/>
      <c r="E576" s="56"/>
      <c r="F576" s="53"/>
      <c r="G576" s="133"/>
      <c r="H576" s="133"/>
      <c r="I576" s="58"/>
      <c r="J576" s="133"/>
      <c r="K576" s="133"/>
      <c r="L576" s="133"/>
      <c r="M576" s="57"/>
      <c r="N576" s="58"/>
      <c r="O576" s="218"/>
    </row>
    <row r="577" spans="1:15" ht="3.95" customHeight="1">
      <c r="A577" s="59"/>
      <c r="B577" s="60"/>
      <c r="C577" s="61"/>
      <c r="D577" s="62"/>
      <c r="E577" s="62"/>
      <c r="F577" s="59"/>
      <c r="G577" s="134"/>
      <c r="H577" s="134"/>
      <c r="I577" s="64"/>
      <c r="J577" s="134"/>
      <c r="K577" s="134"/>
      <c r="L577" s="134"/>
      <c r="M577" s="63"/>
      <c r="N577" s="64"/>
      <c r="O577" s="219"/>
    </row>
    <row r="578" spans="1:15" ht="11.45" customHeight="1">
      <c r="A578" s="28" t="s">
        <v>1</v>
      </c>
      <c r="B578" s="371" t="s">
        <v>151</v>
      </c>
      <c r="C578" s="372"/>
      <c r="D578" s="29"/>
      <c r="E578" s="29"/>
      <c r="F578" s="30"/>
      <c r="G578" s="135">
        <f>SUM(G579:G584)</f>
        <v>28456193</v>
      </c>
      <c r="H578" s="135">
        <f>SUM(H579:H584)</f>
        <v>2534373</v>
      </c>
      <c r="I578" s="32">
        <f>IF(G578&gt;0,H578/G578*100,"-")</f>
        <v>8.906226493473671</v>
      </c>
      <c r="J578" s="135">
        <f>SUM(J579:J584)</f>
        <v>6261086</v>
      </c>
      <c r="K578" s="135">
        <f>SUM(K579:K584)</f>
        <v>-4812035</v>
      </c>
      <c r="L578" s="135">
        <f>SUM(L579:L584)</f>
        <v>1449051</v>
      </c>
      <c r="M578" s="31">
        <f>SUM(M579:M584)</f>
        <v>1318143.9200000002</v>
      </c>
      <c r="N578" s="32">
        <f t="shared" ref="N578:N584" si="142">IF(L578&gt;0,M578/L578*100,"-")</f>
        <v>90.966012928461467</v>
      </c>
      <c r="O578" s="220"/>
    </row>
    <row r="579" spans="1:15" ht="11.45" customHeight="1">
      <c r="A579" s="30"/>
      <c r="B579" s="33"/>
      <c r="C579" s="34"/>
      <c r="D579" s="29"/>
      <c r="E579" s="29"/>
      <c r="F579" s="35" t="s">
        <v>15</v>
      </c>
      <c r="G579" s="136">
        <f t="shared" ref="G579:H584" si="143">G588+G602</f>
        <v>1842904</v>
      </c>
      <c r="H579" s="136">
        <f t="shared" si="143"/>
        <v>716228</v>
      </c>
      <c r="I579" s="37">
        <f t="shared" ref="I579:I584" si="144">IF(G579&gt;0,H579/G579*100,"-")</f>
        <v>38.864097098926479</v>
      </c>
      <c r="J579" s="136">
        <f t="shared" ref="J579:M584" si="145">J588+J602</f>
        <v>1581406</v>
      </c>
      <c r="K579" s="136">
        <f t="shared" si="145"/>
        <v>-1581406</v>
      </c>
      <c r="L579" s="136">
        <f t="shared" si="145"/>
        <v>0</v>
      </c>
      <c r="M579" s="36">
        <f t="shared" si="145"/>
        <v>0</v>
      </c>
      <c r="N579" s="37" t="str">
        <f t="shared" si="142"/>
        <v>-</v>
      </c>
      <c r="O579" s="220"/>
    </row>
    <row r="580" spans="1:15" ht="11.45" customHeight="1">
      <c r="A580" s="30"/>
      <c r="B580" s="33"/>
      <c r="C580" s="34"/>
      <c r="D580" s="29"/>
      <c r="E580" s="29"/>
      <c r="F580" s="35" t="s">
        <v>7</v>
      </c>
      <c r="G580" s="136">
        <f t="shared" si="143"/>
        <v>20128315</v>
      </c>
      <c r="H580" s="136">
        <f t="shared" si="143"/>
        <v>958813</v>
      </c>
      <c r="I580" s="37">
        <f t="shared" si="144"/>
        <v>4.7635035520857061</v>
      </c>
      <c r="J580" s="136">
        <f t="shared" si="145"/>
        <v>4679680</v>
      </c>
      <c r="K580" s="136">
        <f t="shared" si="145"/>
        <v>-3643916</v>
      </c>
      <c r="L580" s="136">
        <f t="shared" si="145"/>
        <v>1035764</v>
      </c>
      <c r="M580" s="36">
        <f t="shared" si="145"/>
        <v>958812.66</v>
      </c>
      <c r="N580" s="37">
        <f t="shared" si="142"/>
        <v>92.570572060816943</v>
      </c>
      <c r="O580" s="220"/>
    </row>
    <row r="581" spans="1:15" ht="11.45" customHeight="1">
      <c r="A581" s="30"/>
      <c r="B581" s="33"/>
      <c r="C581" s="34"/>
      <c r="D581" s="29"/>
      <c r="E581" s="29"/>
      <c r="F581" s="35" t="s">
        <v>8</v>
      </c>
      <c r="G581" s="136">
        <f t="shared" si="143"/>
        <v>6430730</v>
      </c>
      <c r="H581" s="136">
        <f t="shared" si="143"/>
        <v>841625</v>
      </c>
      <c r="I581" s="37">
        <f t="shared" si="144"/>
        <v>13.087549936010376</v>
      </c>
      <c r="J581" s="136">
        <f t="shared" si="145"/>
        <v>0</v>
      </c>
      <c r="K581" s="136">
        <f t="shared" si="145"/>
        <v>369043</v>
      </c>
      <c r="L581" s="136">
        <f t="shared" si="145"/>
        <v>369043</v>
      </c>
      <c r="M581" s="36">
        <f t="shared" si="145"/>
        <v>341624.98</v>
      </c>
      <c r="N581" s="37">
        <f t="shared" si="142"/>
        <v>92.570508043778091</v>
      </c>
      <c r="O581" s="220"/>
    </row>
    <row r="582" spans="1:15" ht="11.45" customHeight="1">
      <c r="A582" s="30"/>
      <c r="B582" s="33"/>
      <c r="C582" s="34"/>
      <c r="D582" s="29"/>
      <c r="E582" s="29"/>
      <c r="F582" s="35" t="s">
        <v>22</v>
      </c>
      <c r="G582" s="136">
        <f t="shared" si="143"/>
        <v>0</v>
      </c>
      <c r="H582" s="136">
        <f t="shared" si="143"/>
        <v>0</v>
      </c>
      <c r="I582" s="37" t="str">
        <f t="shared" si="144"/>
        <v>-</v>
      </c>
      <c r="J582" s="136">
        <f t="shared" si="145"/>
        <v>0</v>
      </c>
      <c r="K582" s="136">
        <f t="shared" si="145"/>
        <v>0</v>
      </c>
      <c r="L582" s="136">
        <f t="shared" si="145"/>
        <v>0</v>
      </c>
      <c r="M582" s="36">
        <f t="shared" si="145"/>
        <v>0</v>
      </c>
      <c r="N582" s="37" t="str">
        <f t="shared" si="142"/>
        <v>-</v>
      </c>
      <c r="O582" s="220"/>
    </row>
    <row r="583" spans="1:15" ht="11.45" customHeight="1">
      <c r="A583" s="30"/>
      <c r="B583" s="33"/>
      <c r="C583" s="34"/>
      <c r="D583" s="29"/>
      <c r="E583" s="29"/>
      <c r="F583" s="35" t="s">
        <v>45</v>
      </c>
      <c r="G583" s="136">
        <f t="shared" si="143"/>
        <v>0</v>
      </c>
      <c r="H583" s="136">
        <f t="shared" si="143"/>
        <v>0</v>
      </c>
      <c r="I583" s="37" t="str">
        <f t="shared" si="144"/>
        <v>-</v>
      </c>
      <c r="J583" s="136">
        <f t="shared" si="145"/>
        <v>0</v>
      </c>
      <c r="K583" s="136">
        <f t="shared" si="145"/>
        <v>0</v>
      </c>
      <c r="L583" s="136">
        <f t="shared" si="145"/>
        <v>0</v>
      </c>
      <c r="M583" s="36">
        <f t="shared" si="145"/>
        <v>0</v>
      </c>
      <c r="N583" s="37" t="str">
        <f t="shared" si="142"/>
        <v>-</v>
      </c>
      <c r="O583" s="220"/>
    </row>
    <row r="584" spans="1:15" ht="11.45" customHeight="1">
      <c r="A584" s="30"/>
      <c r="B584" s="33"/>
      <c r="C584" s="34"/>
      <c r="D584" s="29"/>
      <c r="E584" s="29"/>
      <c r="F584" s="35" t="s">
        <v>46</v>
      </c>
      <c r="G584" s="136">
        <f t="shared" si="143"/>
        <v>54244</v>
      </c>
      <c r="H584" s="136">
        <f t="shared" si="143"/>
        <v>17707</v>
      </c>
      <c r="I584" s="37">
        <f t="shared" si="144"/>
        <v>32.643241648845958</v>
      </c>
      <c r="J584" s="136">
        <f t="shared" si="145"/>
        <v>0</v>
      </c>
      <c r="K584" s="136">
        <f t="shared" si="145"/>
        <v>44244</v>
      </c>
      <c r="L584" s="136">
        <f t="shared" si="145"/>
        <v>44244</v>
      </c>
      <c r="M584" s="36">
        <f t="shared" si="145"/>
        <v>17706.28</v>
      </c>
      <c r="N584" s="37">
        <f t="shared" si="142"/>
        <v>40.01961847934183</v>
      </c>
      <c r="O584" s="220"/>
    </row>
    <row r="585" spans="1:15" ht="3.95" customHeight="1">
      <c r="A585" s="65"/>
      <c r="B585" s="66"/>
      <c r="C585" s="67"/>
      <c r="D585" s="68"/>
      <c r="E585" s="68"/>
      <c r="F585" s="65"/>
      <c r="G585" s="137"/>
      <c r="H585" s="137"/>
      <c r="I585" s="70"/>
      <c r="J585" s="137"/>
      <c r="K585" s="137"/>
      <c r="L585" s="137"/>
      <c r="M585" s="69"/>
      <c r="N585" s="70"/>
      <c r="O585" s="221"/>
    </row>
    <row r="586" spans="1:15" ht="3.95" customHeight="1" outlineLevel="1">
      <c r="A586" s="157"/>
      <c r="B586" s="72"/>
      <c r="C586" s="73"/>
      <c r="D586" s="71"/>
      <c r="E586" s="71"/>
      <c r="F586" s="72"/>
      <c r="G586" s="138"/>
      <c r="H586" s="138"/>
      <c r="I586" s="75"/>
      <c r="J586" s="138"/>
      <c r="K586" s="138"/>
      <c r="L586" s="139"/>
      <c r="M586" s="74"/>
      <c r="N586" s="75"/>
      <c r="O586" s="208"/>
    </row>
    <row r="587" spans="1:15" ht="11.1" customHeight="1" outlineLevel="1">
      <c r="A587" s="370" t="s">
        <v>1</v>
      </c>
      <c r="B587" s="76" t="s">
        <v>9</v>
      </c>
      <c r="C587" s="151" t="s">
        <v>113</v>
      </c>
      <c r="D587" s="369" t="s">
        <v>158</v>
      </c>
      <c r="E587" s="369" t="s">
        <v>159</v>
      </c>
      <c r="F587" s="78" t="s">
        <v>28</v>
      </c>
      <c r="G587" s="140">
        <f>SUM(G588:G593)</f>
        <v>27200151</v>
      </c>
      <c r="H587" s="140">
        <f>SUM(H588:H593)</f>
        <v>2534373</v>
      </c>
      <c r="I587" s="39">
        <f t="shared" ref="I587:I593" si="146">IF(G587&gt;0,H587/G587*100,"-")</f>
        <v>9.3174960683122681</v>
      </c>
      <c r="J587" s="140">
        <f>SUM(J588:J593)</f>
        <v>5190506</v>
      </c>
      <c r="K587" s="140">
        <f>SUM(K588:K593)</f>
        <v>-3741455</v>
      </c>
      <c r="L587" s="140">
        <f>SUM(L588:L593)</f>
        <v>1449051</v>
      </c>
      <c r="M587" s="38">
        <f>SUM(M588:M593)</f>
        <v>1318143.9200000002</v>
      </c>
      <c r="N587" s="39">
        <f t="shared" ref="N587:N593" si="147">IF(L587&gt;0,M587/L587*100,"-")</f>
        <v>90.966012928461467</v>
      </c>
      <c r="O587" s="366" t="s">
        <v>511</v>
      </c>
    </row>
    <row r="588" spans="1:15" ht="11.1" customHeight="1" outlineLevel="1">
      <c r="A588" s="370"/>
      <c r="B588" s="76" t="s">
        <v>10</v>
      </c>
      <c r="C588" s="151" t="s">
        <v>114</v>
      </c>
      <c r="D588" s="369"/>
      <c r="E588" s="369"/>
      <c r="F588" s="79" t="s">
        <v>15</v>
      </c>
      <c r="G588" s="141">
        <v>1597225</v>
      </c>
      <c r="H588" s="141">
        <v>716228</v>
      </c>
      <c r="I588" s="81">
        <f t="shared" si="146"/>
        <v>44.842022883438467</v>
      </c>
      <c r="J588" s="141">
        <v>1363546</v>
      </c>
      <c r="K588" s="141">
        <f t="shared" ref="K588:K593" si="148">L588-J588</f>
        <v>-1363546</v>
      </c>
      <c r="L588" s="141">
        <v>0</v>
      </c>
      <c r="M588" s="83">
        <v>0</v>
      </c>
      <c r="N588" s="81" t="str">
        <f t="shared" si="147"/>
        <v>-</v>
      </c>
      <c r="O588" s="366"/>
    </row>
    <row r="589" spans="1:15" ht="11.1" customHeight="1" outlineLevel="1">
      <c r="A589" s="370"/>
      <c r="B589" s="76"/>
      <c r="C589" s="82" t="s">
        <v>115</v>
      </c>
      <c r="D589" s="369"/>
      <c r="E589" s="369"/>
      <c r="F589" s="79" t="s">
        <v>7</v>
      </c>
      <c r="G589" s="141">
        <v>19117952</v>
      </c>
      <c r="H589" s="141">
        <v>958813</v>
      </c>
      <c r="I589" s="81">
        <f t="shared" si="146"/>
        <v>5.0152495413734695</v>
      </c>
      <c r="J589" s="141">
        <v>3826960</v>
      </c>
      <c r="K589" s="141">
        <f t="shared" si="148"/>
        <v>-2791196</v>
      </c>
      <c r="L589" s="141">
        <v>1035764</v>
      </c>
      <c r="M589" s="83">
        <v>958812.66</v>
      </c>
      <c r="N589" s="81">
        <f t="shared" si="147"/>
        <v>92.570572060816943</v>
      </c>
      <c r="O589" s="366"/>
    </row>
    <row r="590" spans="1:15" ht="11.1" customHeight="1" outlineLevel="1">
      <c r="A590" s="120"/>
      <c r="B590" s="76" t="s">
        <v>11</v>
      </c>
      <c r="C590" s="82" t="s">
        <v>152</v>
      </c>
      <c r="D590" s="111"/>
      <c r="E590" s="111"/>
      <c r="F590" s="79" t="s">
        <v>8</v>
      </c>
      <c r="G590" s="141">
        <v>6430730</v>
      </c>
      <c r="H590" s="141">
        <v>841625</v>
      </c>
      <c r="I590" s="81">
        <f t="shared" si="146"/>
        <v>13.087549936010376</v>
      </c>
      <c r="J590" s="141">
        <v>0</v>
      </c>
      <c r="K590" s="141">
        <f t="shared" si="148"/>
        <v>369043</v>
      </c>
      <c r="L590" s="141">
        <v>369043</v>
      </c>
      <c r="M590" s="80">
        <v>341624.98</v>
      </c>
      <c r="N590" s="81">
        <f t="shared" si="147"/>
        <v>92.570508043778091</v>
      </c>
      <c r="O590" s="366"/>
    </row>
    <row r="591" spans="1:15" ht="11.1" customHeight="1" outlineLevel="1">
      <c r="A591" s="120"/>
      <c r="B591" s="76" t="s">
        <v>12</v>
      </c>
      <c r="C591" s="82" t="s">
        <v>429</v>
      </c>
      <c r="D591" s="111"/>
      <c r="E591" s="111"/>
      <c r="F591" s="79" t="s">
        <v>22</v>
      </c>
      <c r="G591" s="141">
        <v>0</v>
      </c>
      <c r="H591" s="141">
        <v>0</v>
      </c>
      <c r="I591" s="81" t="str">
        <f t="shared" si="146"/>
        <v>-</v>
      </c>
      <c r="J591" s="141">
        <v>0</v>
      </c>
      <c r="K591" s="141">
        <f t="shared" si="148"/>
        <v>0</v>
      </c>
      <c r="L591" s="141">
        <v>0</v>
      </c>
      <c r="M591" s="89">
        <v>0</v>
      </c>
      <c r="N591" s="81" t="str">
        <f t="shared" si="147"/>
        <v>-</v>
      </c>
      <c r="O591" s="366"/>
    </row>
    <row r="592" spans="1:15" ht="11.1" customHeight="1" outlineLevel="1">
      <c r="A592" s="120"/>
      <c r="B592" s="76"/>
      <c r="C592" s="82" t="s">
        <v>430</v>
      </c>
      <c r="D592" s="111"/>
      <c r="E592" s="111"/>
      <c r="F592" s="107" t="s">
        <v>45</v>
      </c>
      <c r="G592" s="141">
        <v>0</v>
      </c>
      <c r="H592" s="141">
        <v>0</v>
      </c>
      <c r="I592" s="81" t="str">
        <f>IF(G592&gt;0,H592/G592*100,"-")</f>
        <v>-</v>
      </c>
      <c r="J592" s="141">
        <v>0</v>
      </c>
      <c r="K592" s="141">
        <f t="shared" si="148"/>
        <v>0</v>
      </c>
      <c r="L592" s="141">
        <v>0</v>
      </c>
      <c r="M592" s="89">
        <v>0</v>
      </c>
      <c r="N592" s="81" t="str">
        <f t="shared" si="147"/>
        <v>-</v>
      </c>
      <c r="O592" s="366"/>
    </row>
    <row r="593" spans="1:15" ht="11.1" customHeight="1" outlineLevel="1">
      <c r="A593" s="120"/>
      <c r="B593" s="76" t="s">
        <v>23</v>
      </c>
      <c r="C593" s="82" t="s">
        <v>153</v>
      </c>
      <c r="D593" s="111"/>
      <c r="E593" s="111"/>
      <c r="F593" s="107" t="s">
        <v>46</v>
      </c>
      <c r="G593" s="142">
        <v>54244</v>
      </c>
      <c r="H593" s="142">
        <v>17707</v>
      </c>
      <c r="I593" s="81">
        <f t="shared" si="146"/>
        <v>32.643241648845958</v>
      </c>
      <c r="J593" s="142">
        <v>0</v>
      </c>
      <c r="K593" s="141">
        <f t="shared" si="148"/>
        <v>44244</v>
      </c>
      <c r="L593" s="141">
        <v>44244</v>
      </c>
      <c r="M593" s="89">
        <v>17706.28</v>
      </c>
      <c r="N593" s="81">
        <f t="shared" si="147"/>
        <v>40.01961847934183</v>
      </c>
      <c r="O593" s="366"/>
    </row>
    <row r="594" spans="1:15" ht="11.1" customHeight="1" outlineLevel="1">
      <c r="A594" s="120"/>
      <c r="B594" s="76"/>
      <c r="C594" s="82" t="s">
        <v>154</v>
      </c>
      <c r="D594" s="111"/>
      <c r="E594" s="111"/>
      <c r="F594" s="107"/>
      <c r="G594" s="142"/>
      <c r="H594" s="142"/>
      <c r="I594" s="152"/>
      <c r="J594" s="142"/>
      <c r="K594" s="142"/>
      <c r="L594" s="141"/>
      <c r="M594" s="89"/>
      <c r="N594" s="81"/>
      <c r="O594" s="366"/>
    </row>
    <row r="595" spans="1:15" ht="11.1" customHeight="1" outlineLevel="1">
      <c r="A595" s="120"/>
      <c r="B595" s="76"/>
      <c r="C595" s="82" t="s">
        <v>155</v>
      </c>
      <c r="D595" s="111"/>
      <c r="E595" s="111"/>
      <c r="F595" s="107"/>
      <c r="G595" s="142"/>
      <c r="H595" s="142"/>
      <c r="I595" s="152"/>
      <c r="J595" s="142"/>
      <c r="K595" s="142"/>
      <c r="L595" s="141"/>
      <c r="M595" s="89"/>
      <c r="N595" s="81"/>
      <c r="O595" s="366"/>
    </row>
    <row r="596" spans="1:15" ht="11.1" customHeight="1" outlineLevel="1">
      <c r="A596" s="120"/>
      <c r="B596" s="76"/>
      <c r="C596" s="82" t="s">
        <v>156</v>
      </c>
      <c r="D596" s="111"/>
      <c r="E596" s="111"/>
      <c r="F596" s="107"/>
      <c r="G596" s="142"/>
      <c r="H596" s="142"/>
      <c r="I596" s="152"/>
      <c r="J596" s="142"/>
      <c r="K596" s="142"/>
      <c r="L596" s="141"/>
      <c r="M596" s="89"/>
      <c r="N596" s="81"/>
      <c r="O596" s="366"/>
    </row>
    <row r="597" spans="1:15" ht="11.1" customHeight="1" outlineLevel="1">
      <c r="A597" s="120"/>
      <c r="B597" s="76"/>
      <c r="C597" s="82" t="s">
        <v>157</v>
      </c>
      <c r="D597" s="90"/>
      <c r="E597" s="90"/>
      <c r="F597" s="107"/>
      <c r="G597" s="142"/>
      <c r="H597" s="142"/>
      <c r="I597" s="152"/>
      <c r="J597" s="142"/>
      <c r="K597" s="142"/>
      <c r="L597" s="141"/>
      <c r="M597" s="89"/>
      <c r="N597" s="81"/>
      <c r="O597" s="366"/>
    </row>
    <row r="598" spans="1:15" ht="27" customHeight="1" outlineLevel="1">
      <c r="A598" s="120"/>
      <c r="B598" s="76"/>
      <c r="C598" s="82"/>
      <c r="D598" s="90"/>
      <c r="E598" s="90"/>
      <c r="F598" s="107"/>
      <c r="G598" s="142"/>
      <c r="H598" s="142"/>
      <c r="I598" s="152"/>
      <c r="J598" s="142"/>
      <c r="K598" s="142"/>
      <c r="L598" s="141"/>
      <c r="M598" s="89"/>
      <c r="N598" s="81"/>
      <c r="O598" s="366"/>
    </row>
    <row r="599" spans="1:15" ht="3.75" customHeight="1" outlineLevel="1">
      <c r="A599" s="121"/>
      <c r="B599" s="85"/>
      <c r="C599" s="86"/>
      <c r="D599" s="84"/>
      <c r="E599" s="84"/>
      <c r="F599" s="85"/>
      <c r="G599" s="143"/>
      <c r="H599" s="143"/>
      <c r="I599" s="85"/>
      <c r="J599" s="143"/>
      <c r="K599" s="143"/>
      <c r="L599" s="144"/>
      <c r="M599" s="87"/>
      <c r="N599" s="88"/>
      <c r="O599" s="222"/>
    </row>
    <row r="600" spans="1:15" ht="3.95" customHeight="1" outlineLevel="1">
      <c r="A600" s="157"/>
      <c r="B600" s="72"/>
      <c r="C600" s="73"/>
      <c r="D600" s="71"/>
      <c r="E600" s="71"/>
      <c r="F600" s="72"/>
      <c r="G600" s="138"/>
      <c r="H600" s="138"/>
      <c r="I600" s="75"/>
      <c r="J600" s="138"/>
      <c r="K600" s="138"/>
      <c r="L600" s="139"/>
      <c r="M600" s="74"/>
      <c r="N600" s="75"/>
      <c r="O600" s="208"/>
    </row>
    <row r="601" spans="1:15" ht="11.1" customHeight="1" outlineLevel="1">
      <c r="A601" s="370" t="s">
        <v>51</v>
      </c>
      <c r="B601" s="76" t="s">
        <v>9</v>
      </c>
      <c r="C601" s="151" t="s">
        <v>113</v>
      </c>
      <c r="D601" s="369" t="s">
        <v>64</v>
      </c>
      <c r="E601" s="369" t="s">
        <v>164</v>
      </c>
      <c r="F601" s="78" t="s">
        <v>28</v>
      </c>
      <c r="G601" s="140">
        <f>SUM(G602:G607)</f>
        <v>1256042</v>
      </c>
      <c r="H601" s="140">
        <f>SUM(H602:H607)</f>
        <v>0</v>
      </c>
      <c r="I601" s="39">
        <f t="shared" ref="I601:I607" si="149">IF(G601&gt;0,H601/G601*100,"-")</f>
        <v>0</v>
      </c>
      <c r="J601" s="140">
        <f>SUM(J602:J607)</f>
        <v>1070580</v>
      </c>
      <c r="K601" s="140">
        <f>SUM(K602:K607)</f>
        <v>-1070580</v>
      </c>
      <c r="L601" s="140">
        <f>SUM(L602:L607)</f>
        <v>0</v>
      </c>
      <c r="M601" s="38">
        <f>SUM(M602:M607)</f>
        <v>0</v>
      </c>
      <c r="N601" s="39" t="str">
        <f t="shared" ref="N601:N607" si="150">IF(L601&gt;0,M601/L601*100,"-")</f>
        <v>-</v>
      </c>
      <c r="O601" s="366" t="s">
        <v>248</v>
      </c>
    </row>
    <row r="602" spans="1:15" ht="11.1" customHeight="1" outlineLevel="1">
      <c r="A602" s="370"/>
      <c r="B602" s="76" t="s">
        <v>10</v>
      </c>
      <c r="C602" s="151" t="s">
        <v>114</v>
      </c>
      <c r="D602" s="369"/>
      <c r="E602" s="369"/>
      <c r="F602" s="79" t="s">
        <v>15</v>
      </c>
      <c r="G602" s="141">
        <v>245679</v>
      </c>
      <c r="H602" s="141">
        <v>0</v>
      </c>
      <c r="I602" s="81">
        <f t="shared" si="149"/>
        <v>0</v>
      </c>
      <c r="J602" s="141">
        <v>217860</v>
      </c>
      <c r="K602" s="141">
        <f t="shared" ref="K602:K607" si="151">L602-J602</f>
        <v>-217860</v>
      </c>
      <c r="L602" s="141">
        <v>0</v>
      </c>
      <c r="M602" s="83">
        <v>0</v>
      </c>
      <c r="N602" s="81" t="str">
        <f t="shared" si="150"/>
        <v>-</v>
      </c>
      <c r="O602" s="366"/>
    </row>
    <row r="603" spans="1:15" ht="11.1" customHeight="1" outlineLevel="1">
      <c r="A603" s="370"/>
      <c r="B603" s="76"/>
      <c r="C603" s="82" t="s">
        <v>115</v>
      </c>
      <c r="D603" s="369"/>
      <c r="E603" s="369"/>
      <c r="F603" s="79" t="s">
        <v>7</v>
      </c>
      <c r="G603" s="141">
        <v>1010363</v>
      </c>
      <c r="H603" s="141">
        <v>0</v>
      </c>
      <c r="I603" s="81">
        <f t="shared" si="149"/>
        <v>0</v>
      </c>
      <c r="J603" s="141">
        <v>852720</v>
      </c>
      <c r="K603" s="141">
        <f t="shared" si="151"/>
        <v>-852720</v>
      </c>
      <c r="L603" s="141">
        <v>0</v>
      </c>
      <c r="M603" s="83">
        <v>0</v>
      </c>
      <c r="N603" s="81" t="str">
        <f t="shared" si="150"/>
        <v>-</v>
      </c>
      <c r="O603" s="366"/>
    </row>
    <row r="604" spans="1:15" ht="11.1" customHeight="1" outlineLevel="1">
      <c r="A604" s="120"/>
      <c r="B604" s="76" t="s">
        <v>11</v>
      </c>
      <c r="C604" s="82" t="s">
        <v>152</v>
      </c>
      <c r="D604" s="111"/>
      <c r="E604" s="111"/>
      <c r="F604" s="79" t="s">
        <v>8</v>
      </c>
      <c r="G604" s="141">
        <v>0</v>
      </c>
      <c r="H604" s="141">
        <v>0</v>
      </c>
      <c r="I604" s="81" t="str">
        <f t="shared" si="149"/>
        <v>-</v>
      </c>
      <c r="J604" s="141">
        <v>0</v>
      </c>
      <c r="K604" s="141">
        <f t="shared" si="151"/>
        <v>0</v>
      </c>
      <c r="L604" s="141">
        <v>0</v>
      </c>
      <c r="M604" s="89">
        <v>0</v>
      </c>
      <c r="N604" s="81" t="str">
        <f t="shared" si="150"/>
        <v>-</v>
      </c>
      <c r="O604" s="366"/>
    </row>
    <row r="605" spans="1:15" ht="11.1" customHeight="1" outlineLevel="1">
      <c r="A605" s="120"/>
      <c r="B605" s="76" t="s">
        <v>12</v>
      </c>
      <c r="C605" s="82" t="s">
        <v>431</v>
      </c>
      <c r="D605" s="111"/>
      <c r="E605" s="111"/>
      <c r="F605" s="79" t="s">
        <v>22</v>
      </c>
      <c r="G605" s="141">
        <v>0</v>
      </c>
      <c r="H605" s="141">
        <v>0</v>
      </c>
      <c r="I605" s="81" t="str">
        <f t="shared" si="149"/>
        <v>-</v>
      </c>
      <c r="J605" s="141">
        <v>0</v>
      </c>
      <c r="K605" s="141">
        <f t="shared" si="151"/>
        <v>0</v>
      </c>
      <c r="L605" s="141">
        <v>0</v>
      </c>
      <c r="M605" s="89">
        <v>0</v>
      </c>
      <c r="N605" s="81" t="str">
        <f t="shared" si="150"/>
        <v>-</v>
      </c>
      <c r="O605" s="366"/>
    </row>
    <row r="606" spans="1:15" ht="11.1" customHeight="1" outlineLevel="1">
      <c r="A606" s="120"/>
      <c r="B606" s="76"/>
      <c r="C606" s="82" t="s">
        <v>432</v>
      </c>
      <c r="D606" s="111"/>
      <c r="E606" s="111"/>
      <c r="F606" s="107" t="s">
        <v>45</v>
      </c>
      <c r="G606" s="141">
        <v>0</v>
      </c>
      <c r="H606" s="141">
        <v>0</v>
      </c>
      <c r="I606" s="81" t="str">
        <f t="shared" si="149"/>
        <v>-</v>
      </c>
      <c r="J606" s="141">
        <v>0</v>
      </c>
      <c r="K606" s="141">
        <f t="shared" si="151"/>
        <v>0</v>
      </c>
      <c r="L606" s="141">
        <v>0</v>
      </c>
      <c r="M606" s="89">
        <v>0</v>
      </c>
      <c r="N606" s="81" t="str">
        <f t="shared" si="150"/>
        <v>-</v>
      </c>
      <c r="O606" s="366"/>
    </row>
    <row r="607" spans="1:15" ht="11.1" customHeight="1" outlineLevel="1">
      <c r="A607" s="120"/>
      <c r="B607" s="76" t="s">
        <v>23</v>
      </c>
      <c r="C607" s="82" t="s">
        <v>160</v>
      </c>
      <c r="D607" s="111"/>
      <c r="E607" s="111"/>
      <c r="F607" s="107" t="s">
        <v>46</v>
      </c>
      <c r="G607" s="141">
        <v>0</v>
      </c>
      <c r="H607" s="141">
        <v>0</v>
      </c>
      <c r="I607" s="81" t="str">
        <f t="shared" si="149"/>
        <v>-</v>
      </c>
      <c r="J607" s="141">
        <v>0</v>
      </c>
      <c r="K607" s="141">
        <f t="shared" si="151"/>
        <v>0</v>
      </c>
      <c r="L607" s="141">
        <v>0</v>
      </c>
      <c r="M607" s="89">
        <v>0</v>
      </c>
      <c r="N607" s="81" t="str">
        <f t="shared" si="150"/>
        <v>-</v>
      </c>
      <c r="O607" s="366"/>
    </row>
    <row r="608" spans="1:15" ht="11.1" customHeight="1" outlineLevel="1">
      <c r="A608" s="120"/>
      <c r="B608" s="76"/>
      <c r="C608" s="82" t="s">
        <v>161</v>
      </c>
      <c r="D608" s="111"/>
      <c r="E608" s="111"/>
      <c r="F608" s="107"/>
      <c r="G608" s="142"/>
      <c r="H608" s="142"/>
      <c r="I608" s="152"/>
      <c r="J608" s="142"/>
      <c r="K608" s="142"/>
      <c r="L608" s="141"/>
      <c r="M608" s="89"/>
      <c r="N608" s="81"/>
      <c r="O608" s="366"/>
    </row>
    <row r="609" spans="1:15" ht="11.1" customHeight="1" outlineLevel="1">
      <c r="A609" s="120"/>
      <c r="B609" s="76"/>
      <c r="C609" s="82" t="s">
        <v>162</v>
      </c>
      <c r="D609" s="111"/>
      <c r="E609" s="111"/>
      <c r="F609" s="107"/>
      <c r="G609" s="142"/>
      <c r="H609" s="142"/>
      <c r="I609" s="152"/>
      <c r="J609" s="142"/>
      <c r="K609" s="142"/>
      <c r="L609" s="141"/>
      <c r="M609" s="89"/>
      <c r="N609" s="81"/>
      <c r="O609" s="366"/>
    </row>
    <row r="610" spans="1:15" ht="11.1" customHeight="1" outlineLevel="1">
      <c r="A610" s="120"/>
      <c r="B610" s="76"/>
      <c r="C610" s="82" t="s">
        <v>163</v>
      </c>
      <c r="D610" s="111"/>
      <c r="E610" s="111"/>
      <c r="F610" s="107"/>
      <c r="G610" s="142"/>
      <c r="H610" s="142"/>
      <c r="I610" s="152"/>
      <c r="J610" s="142"/>
      <c r="K610" s="142"/>
      <c r="L610" s="141"/>
      <c r="M610" s="89"/>
      <c r="N610" s="81"/>
      <c r="O610" s="366"/>
    </row>
    <row r="611" spans="1:15" ht="3.95" customHeight="1" outlineLevel="1">
      <c r="A611" s="121"/>
      <c r="B611" s="85"/>
      <c r="C611" s="86"/>
      <c r="D611" s="84"/>
      <c r="E611" s="84"/>
      <c r="F611" s="85"/>
      <c r="G611" s="143"/>
      <c r="H611" s="143"/>
      <c r="I611" s="85"/>
      <c r="J611" s="143"/>
      <c r="K611" s="143"/>
      <c r="L611" s="144"/>
      <c r="M611" s="87"/>
      <c r="N611" s="88"/>
      <c r="O611" s="222"/>
    </row>
    <row r="612" spans="1:15" ht="3.95" customHeight="1">
      <c r="A612" s="59"/>
      <c r="B612" s="60"/>
      <c r="C612" s="61"/>
      <c r="D612" s="62"/>
      <c r="E612" s="62"/>
      <c r="F612" s="59"/>
      <c r="G612" s="134"/>
      <c r="H612" s="134"/>
      <c r="I612" s="59"/>
      <c r="J612" s="134"/>
      <c r="K612" s="134"/>
      <c r="L612" s="134"/>
      <c r="M612" s="63"/>
      <c r="N612" s="64"/>
      <c r="O612" s="219"/>
    </row>
    <row r="613" spans="1:15" ht="11.45" customHeight="1">
      <c r="A613" s="28" t="s">
        <v>51</v>
      </c>
      <c r="B613" s="387" t="s">
        <v>165</v>
      </c>
      <c r="C613" s="372"/>
      <c r="D613" s="29"/>
      <c r="E613" s="29"/>
      <c r="F613" s="30"/>
      <c r="G613" s="135">
        <f>SUM(G614:G619)</f>
        <v>46580732</v>
      </c>
      <c r="H613" s="135">
        <f>SUM(H614:H619)</f>
        <v>42083829</v>
      </c>
      <c r="I613" s="32">
        <f>IF(G613&gt;0,H613/G613*100,"-")</f>
        <v>90.346001861885725</v>
      </c>
      <c r="J613" s="135">
        <f>SUM(J614:J619)</f>
        <v>21784300</v>
      </c>
      <c r="K613" s="135">
        <f>SUM(K614:K619)</f>
        <v>-1069221</v>
      </c>
      <c r="L613" s="135">
        <f>SUM(L614:L619)</f>
        <v>20715079</v>
      </c>
      <c r="M613" s="31">
        <f>SUM(M614:M619)</f>
        <v>19784433.630000003</v>
      </c>
      <c r="N613" s="32">
        <f t="shared" ref="N613:N619" si="152">IF(L613&gt;0,M613/L613*100,"-")</f>
        <v>95.507401299314381</v>
      </c>
      <c r="O613" s="220"/>
    </row>
    <row r="614" spans="1:15" ht="11.45" customHeight="1">
      <c r="A614" s="30"/>
      <c r="B614" s="33"/>
      <c r="C614" s="34"/>
      <c r="D614" s="29"/>
      <c r="E614" s="29"/>
      <c r="F614" s="35" t="s">
        <v>15</v>
      </c>
      <c r="G614" s="136">
        <f t="shared" ref="G614:H619" si="153">G623+G647</f>
        <v>1849822</v>
      </c>
      <c r="H614" s="136">
        <f t="shared" si="153"/>
        <v>1849822</v>
      </c>
      <c r="I614" s="37">
        <f t="shared" ref="I614:I619" si="154">IF(G614&gt;0,H614/G614*100,"-")</f>
        <v>100</v>
      </c>
      <c r="J614" s="136">
        <f t="shared" ref="J614:M619" si="155">J623+J647</f>
        <v>0</v>
      </c>
      <c r="K614" s="136">
        <f t="shared" si="155"/>
        <v>0</v>
      </c>
      <c r="L614" s="136">
        <f t="shared" si="155"/>
        <v>0</v>
      </c>
      <c r="M614" s="36">
        <f t="shared" si="155"/>
        <v>0</v>
      </c>
      <c r="N614" s="37" t="str">
        <f t="shared" si="152"/>
        <v>-</v>
      </c>
      <c r="O614" s="220"/>
    </row>
    <row r="615" spans="1:15" ht="11.45" customHeight="1">
      <c r="A615" s="30"/>
      <c r="B615" s="33"/>
      <c r="C615" s="34"/>
      <c r="D615" s="29"/>
      <c r="E615" s="29"/>
      <c r="F615" s="35" t="s">
        <v>7</v>
      </c>
      <c r="G615" s="136">
        <f t="shared" si="153"/>
        <v>27051091</v>
      </c>
      <c r="H615" s="136">
        <f t="shared" si="153"/>
        <v>25634177</v>
      </c>
      <c r="I615" s="37">
        <f t="shared" si="154"/>
        <v>94.762081869452146</v>
      </c>
      <c r="J615" s="136">
        <f t="shared" si="155"/>
        <v>13886018</v>
      </c>
      <c r="K615" s="136">
        <f t="shared" si="155"/>
        <v>-755397</v>
      </c>
      <c r="L615" s="136">
        <f t="shared" si="155"/>
        <v>13130621</v>
      </c>
      <c r="M615" s="36">
        <f t="shared" si="155"/>
        <v>12469104.4</v>
      </c>
      <c r="N615" s="37">
        <f t="shared" si="152"/>
        <v>94.962031117949408</v>
      </c>
      <c r="O615" s="220"/>
    </row>
    <row r="616" spans="1:15" ht="11.45" customHeight="1">
      <c r="A616" s="30"/>
      <c r="B616" s="33"/>
      <c r="C616" s="34"/>
      <c r="D616" s="29"/>
      <c r="E616" s="29"/>
      <c r="F616" s="35" t="s">
        <v>8</v>
      </c>
      <c r="G616" s="136">
        <f t="shared" si="153"/>
        <v>12506023</v>
      </c>
      <c r="H616" s="136">
        <f t="shared" si="153"/>
        <v>9796957</v>
      </c>
      <c r="I616" s="37">
        <f t="shared" si="154"/>
        <v>78.337909661608649</v>
      </c>
      <c r="J616" s="136">
        <f t="shared" si="155"/>
        <v>5447808</v>
      </c>
      <c r="K616" s="136">
        <f t="shared" si="155"/>
        <v>-2707293</v>
      </c>
      <c r="L616" s="136">
        <f t="shared" si="155"/>
        <v>2740515</v>
      </c>
      <c r="M616" s="36">
        <f t="shared" si="155"/>
        <v>2588741.4</v>
      </c>
      <c r="N616" s="37">
        <f t="shared" si="152"/>
        <v>94.461858446313911</v>
      </c>
      <c r="O616" s="220"/>
    </row>
    <row r="617" spans="1:15" ht="11.45" customHeight="1">
      <c r="A617" s="30"/>
      <c r="B617" s="33"/>
      <c r="C617" s="34"/>
      <c r="D617" s="29"/>
      <c r="E617" s="29"/>
      <c r="F617" s="35" t="s">
        <v>22</v>
      </c>
      <c r="G617" s="136">
        <f t="shared" si="153"/>
        <v>2526757</v>
      </c>
      <c r="H617" s="136">
        <f t="shared" si="153"/>
        <v>2276714</v>
      </c>
      <c r="I617" s="37">
        <f t="shared" si="154"/>
        <v>90.104192844820446</v>
      </c>
      <c r="J617" s="136">
        <f t="shared" si="155"/>
        <v>2450474</v>
      </c>
      <c r="K617" s="136">
        <f t="shared" si="155"/>
        <v>-133305</v>
      </c>
      <c r="L617" s="136">
        <f t="shared" si="155"/>
        <v>2317169</v>
      </c>
      <c r="M617" s="36">
        <f t="shared" si="155"/>
        <v>2200430.21</v>
      </c>
      <c r="N617" s="37">
        <f t="shared" si="152"/>
        <v>94.962007950218563</v>
      </c>
      <c r="O617" s="220"/>
    </row>
    <row r="618" spans="1:15" ht="11.45" customHeight="1">
      <c r="A618" s="30"/>
      <c r="B618" s="33"/>
      <c r="C618" s="34"/>
      <c r="D618" s="29"/>
      <c r="E618" s="29"/>
      <c r="F618" s="35" t="s">
        <v>45</v>
      </c>
      <c r="G618" s="136">
        <f t="shared" si="153"/>
        <v>150000</v>
      </c>
      <c r="H618" s="136">
        <f t="shared" si="153"/>
        <v>29120</v>
      </c>
      <c r="I618" s="37">
        <f t="shared" si="154"/>
        <v>19.413333333333334</v>
      </c>
      <c r="J618" s="136">
        <f t="shared" si="155"/>
        <v>0</v>
      </c>
      <c r="K618" s="136">
        <f t="shared" si="155"/>
        <v>29735</v>
      </c>
      <c r="L618" s="136">
        <f t="shared" si="155"/>
        <v>29735</v>
      </c>
      <c r="M618" s="36">
        <f t="shared" si="155"/>
        <v>29119.02</v>
      </c>
      <c r="N618" s="37">
        <f t="shared" si="152"/>
        <v>97.928434504792335</v>
      </c>
      <c r="O618" s="220"/>
    </row>
    <row r="619" spans="1:15" ht="11.45" customHeight="1">
      <c r="A619" s="30"/>
      <c r="B619" s="33"/>
      <c r="C619" s="34"/>
      <c r="D619" s="29"/>
      <c r="E619" s="29"/>
      <c r="F619" s="35" t="s">
        <v>46</v>
      </c>
      <c r="G619" s="136">
        <f t="shared" si="153"/>
        <v>2497039</v>
      </c>
      <c r="H619" s="136">
        <f t="shared" si="153"/>
        <v>2497039</v>
      </c>
      <c r="I619" s="37">
        <f t="shared" si="154"/>
        <v>100</v>
      </c>
      <c r="J619" s="136">
        <f t="shared" si="155"/>
        <v>0</v>
      </c>
      <c r="K619" s="136">
        <f t="shared" si="155"/>
        <v>2497039</v>
      </c>
      <c r="L619" s="136">
        <f t="shared" si="155"/>
        <v>2497039</v>
      </c>
      <c r="M619" s="36">
        <f t="shared" si="155"/>
        <v>2497038.6</v>
      </c>
      <c r="N619" s="37">
        <f t="shared" si="152"/>
        <v>99.999983981027128</v>
      </c>
      <c r="O619" s="220"/>
    </row>
    <row r="620" spans="1:15" ht="3.95" customHeight="1">
      <c r="A620" s="65"/>
      <c r="B620" s="66"/>
      <c r="C620" s="67"/>
      <c r="D620" s="68"/>
      <c r="E620" s="68"/>
      <c r="F620" s="65"/>
      <c r="G620" s="137"/>
      <c r="H620" s="137"/>
      <c r="I620" s="70"/>
      <c r="J620" s="137"/>
      <c r="K620" s="137"/>
      <c r="L620" s="137"/>
      <c r="M620" s="69"/>
      <c r="N620" s="70"/>
      <c r="O620" s="221"/>
    </row>
    <row r="621" spans="1:15" s="95" customFormat="1" ht="3.95" customHeight="1" outlineLevel="1">
      <c r="A621" s="157"/>
      <c r="B621" s="72"/>
      <c r="C621" s="73"/>
      <c r="D621" s="71"/>
      <c r="E621" s="71"/>
      <c r="F621" s="72"/>
      <c r="G621" s="138"/>
      <c r="H621" s="138"/>
      <c r="I621" s="75"/>
      <c r="J621" s="138"/>
      <c r="K621" s="138"/>
      <c r="L621" s="139"/>
      <c r="M621" s="74"/>
      <c r="N621" s="75"/>
      <c r="O621" s="208"/>
    </row>
    <row r="622" spans="1:15" s="95" customFormat="1" ht="11.1" customHeight="1" outlineLevel="1">
      <c r="A622" s="370" t="s">
        <v>1</v>
      </c>
      <c r="B622" s="76" t="s">
        <v>9</v>
      </c>
      <c r="C622" s="77" t="s">
        <v>50</v>
      </c>
      <c r="D622" s="369" t="s">
        <v>61</v>
      </c>
      <c r="E622" s="369"/>
      <c r="F622" s="78" t="s">
        <v>28</v>
      </c>
      <c r="G622" s="140">
        <f>SUM(G623:G628)</f>
        <v>23569639</v>
      </c>
      <c r="H622" s="140">
        <f>SUM(H623:H628)</f>
        <v>19072736</v>
      </c>
      <c r="I622" s="39">
        <f t="shared" ref="I622:I628" si="156">IF(G622&gt;0,H622/G622*100,"-")</f>
        <v>80.920781179550531</v>
      </c>
      <c r="J622" s="140">
        <f>SUM(J623:J628)</f>
        <v>21784300</v>
      </c>
      <c r="K622" s="140">
        <f>SUM(K623:K628)</f>
        <v>-3529221</v>
      </c>
      <c r="L622" s="140">
        <f>SUM(L623:L628)</f>
        <v>18255079</v>
      </c>
      <c r="M622" s="38">
        <f>SUM(M623:M628)</f>
        <v>17324433.630000003</v>
      </c>
      <c r="N622" s="39">
        <f t="shared" ref="N622:N628" si="157">IF(L622&gt;0,M622/L622*100,"-")</f>
        <v>94.901992097651302</v>
      </c>
      <c r="O622" s="366" t="s">
        <v>249</v>
      </c>
    </row>
    <row r="623" spans="1:15" s="95" customFormat="1" ht="11.1" customHeight="1" outlineLevel="1">
      <c r="A623" s="370"/>
      <c r="B623" s="76" t="s">
        <v>10</v>
      </c>
      <c r="C623" s="77" t="s">
        <v>166</v>
      </c>
      <c r="D623" s="369"/>
      <c r="E623" s="369"/>
      <c r="F623" s="79" t="s">
        <v>15</v>
      </c>
      <c r="G623" s="141">
        <f t="shared" ref="G623:H628" si="158">G630+G638</f>
        <v>739745</v>
      </c>
      <c r="H623" s="141">
        <f t="shared" si="158"/>
        <v>739745</v>
      </c>
      <c r="I623" s="81">
        <f t="shared" si="156"/>
        <v>100</v>
      </c>
      <c r="J623" s="141">
        <f t="shared" ref="J623:M628" si="159">J630+J638</f>
        <v>0</v>
      </c>
      <c r="K623" s="141">
        <f t="shared" si="159"/>
        <v>0</v>
      </c>
      <c r="L623" s="141">
        <f t="shared" si="159"/>
        <v>0</v>
      </c>
      <c r="M623" s="80">
        <f t="shared" si="159"/>
        <v>0</v>
      </c>
      <c r="N623" s="81" t="str">
        <f t="shared" si="157"/>
        <v>-</v>
      </c>
      <c r="O623" s="366"/>
    </row>
    <row r="624" spans="1:15" s="95" customFormat="1" ht="11.1" customHeight="1" outlineLevel="1">
      <c r="A624" s="370"/>
      <c r="B624" s="76" t="s">
        <v>11</v>
      </c>
      <c r="C624" s="82" t="s">
        <v>167</v>
      </c>
      <c r="D624" s="369"/>
      <c r="E624" s="369"/>
      <c r="F624" s="79" t="s">
        <v>7</v>
      </c>
      <c r="G624" s="141">
        <f t="shared" si="158"/>
        <v>14318290</v>
      </c>
      <c r="H624" s="141">
        <f t="shared" si="158"/>
        <v>12901376</v>
      </c>
      <c r="I624" s="81">
        <f t="shared" si="156"/>
        <v>90.104167466925162</v>
      </c>
      <c r="J624" s="141">
        <f t="shared" si="159"/>
        <v>13886018</v>
      </c>
      <c r="K624" s="141">
        <f t="shared" si="159"/>
        <v>-755397</v>
      </c>
      <c r="L624" s="141">
        <f t="shared" si="159"/>
        <v>13130621</v>
      </c>
      <c r="M624" s="80">
        <f t="shared" si="159"/>
        <v>12469104.4</v>
      </c>
      <c r="N624" s="81">
        <f t="shared" si="157"/>
        <v>94.962031117949408</v>
      </c>
      <c r="O624" s="366"/>
    </row>
    <row r="625" spans="1:15" s="95" customFormat="1" ht="11.1" customHeight="1" outlineLevel="1">
      <c r="A625" s="120"/>
      <c r="B625" s="76"/>
      <c r="C625" s="82" t="s">
        <v>168</v>
      </c>
      <c r="D625" s="111"/>
      <c r="E625" s="369"/>
      <c r="F625" s="79" t="s">
        <v>8</v>
      </c>
      <c r="G625" s="141">
        <f t="shared" si="158"/>
        <v>5797808</v>
      </c>
      <c r="H625" s="141">
        <f t="shared" si="158"/>
        <v>3088742</v>
      </c>
      <c r="I625" s="81">
        <f t="shared" si="156"/>
        <v>53.274306427532615</v>
      </c>
      <c r="J625" s="141">
        <f t="shared" si="159"/>
        <v>5447808</v>
      </c>
      <c r="K625" s="141">
        <f t="shared" si="159"/>
        <v>-2707293</v>
      </c>
      <c r="L625" s="141">
        <f t="shared" si="159"/>
        <v>2740515</v>
      </c>
      <c r="M625" s="80">
        <f t="shared" si="159"/>
        <v>2588741.4</v>
      </c>
      <c r="N625" s="81">
        <f t="shared" si="157"/>
        <v>94.461858446313911</v>
      </c>
      <c r="O625" s="366"/>
    </row>
    <row r="626" spans="1:15" s="95" customFormat="1" ht="11.1" customHeight="1" outlineLevel="1">
      <c r="A626" s="120"/>
      <c r="B626" s="76" t="s">
        <v>12</v>
      </c>
      <c r="C626" s="82" t="s">
        <v>433</v>
      </c>
      <c r="D626" s="111"/>
      <c r="E626" s="369"/>
      <c r="F626" s="79" t="s">
        <v>22</v>
      </c>
      <c r="G626" s="141">
        <f t="shared" si="158"/>
        <v>2526757</v>
      </c>
      <c r="H626" s="141">
        <f t="shared" si="158"/>
        <v>2276714</v>
      </c>
      <c r="I626" s="81">
        <f t="shared" si="156"/>
        <v>90.104192844820446</v>
      </c>
      <c r="J626" s="141">
        <f t="shared" si="159"/>
        <v>2450474</v>
      </c>
      <c r="K626" s="141">
        <f t="shared" si="159"/>
        <v>-133305</v>
      </c>
      <c r="L626" s="141">
        <f t="shared" si="159"/>
        <v>2317169</v>
      </c>
      <c r="M626" s="80">
        <f t="shared" si="159"/>
        <v>2200430.21</v>
      </c>
      <c r="N626" s="81">
        <f t="shared" si="157"/>
        <v>94.962007950218563</v>
      </c>
      <c r="O626" s="366"/>
    </row>
    <row r="627" spans="1:15" s="95" customFormat="1" ht="11.1" customHeight="1" outlineLevel="1">
      <c r="A627" s="120"/>
      <c r="B627" s="76" t="s">
        <v>23</v>
      </c>
      <c r="C627" s="82" t="s">
        <v>169</v>
      </c>
      <c r="D627" s="111"/>
      <c r="E627" s="90"/>
      <c r="F627" s="107" t="s">
        <v>45</v>
      </c>
      <c r="G627" s="141">
        <f t="shared" si="158"/>
        <v>150000</v>
      </c>
      <c r="H627" s="141">
        <f t="shared" si="158"/>
        <v>29120</v>
      </c>
      <c r="I627" s="81">
        <f t="shared" si="156"/>
        <v>19.413333333333334</v>
      </c>
      <c r="J627" s="141">
        <f t="shared" si="159"/>
        <v>0</v>
      </c>
      <c r="K627" s="141">
        <f t="shared" si="159"/>
        <v>29735</v>
      </c>
      <c r="L627" s="141">
        <f t="shared" si="159"/>
        <v>29735</v>
      </c>
      <c r="M627" s="80">
        <f t="shared" si="159"/>
        <v>29119.02</v>
      </c>
      <c r="N627" s="81">
        <f t="shared" si="157"/>
        <v>97.928434504792335</v>
      </c>
      <c r="O627" s="366"/>
    </row>
    <row r="628" spans="1:15" s="95" customFormat="1" ht="11.1" customHeight="1" outlineLevel="1">
      <c r="A628" s="120"/>
      <c r="B628" s="76"/>
      <c r="C628" s="82"/>
      <c r="D628" s="111"/>
      <c r="E628" s="90"/>
      <c r="F628" s="107" t="s">
        <v>46</v>
      </c>
      <c r="G628" s="141">
        <f t="shared" si="158"/>
        <v>37039</v>
      </c>
      <c r="H628" s="141">
        <f t="shared" si="158"/>
        <v>37039</v>
      </c>
      <c r="I628" s="81">
        <f t="shared" si="156"/>
        <v>100</v>
      </c>
      <c r="J628" s="141">
        <f t="shared" si="159"/>
        <v>0</v>
      </c>
      <c r="K628" s="141">
        <f t="shared" si="159"/>
        <v>37039</v>
      </c>
      <c r="L628" s="141">
        <f t="shared" si="159"/>
        <v>37039</v>
      </c>
      <c r="M628" s="80">
        <f t="shared" si="159"/>
        <v>37038.6</v>
      </c>
      <c r="N628" s="81">
        <f t="shared" si="157"/>
        <v>99.998920057236958</v>
      </c>
      <c r="O628" s="366"/>
    </row>
    <row r="629" spans="1:15" s="95" customFormat="1" ht="10.5" customHeight="1" outlineLevel="1">
      <c r="A629" s="120"/>
      <c r="B629" s="76"/>
      <c r="C629" s="82"/>
      <c r="D629" s="111"/>
      <c r="E629" s="90"/>
      <c r="F629" s="107"/>
      <c r="G629" s="142"/>
      <c r="H629" s="142"/>
      <c r="I629" s="81"/>
      <c r="J629" s="142"/>
      <c r="K629" s="142"/>
      <c r="L629" s="141"/>
      <c r="M629" s="89"/>
      <c r="N629" s="81"/>
      <c r="O629" s="356"/>
    </row>
    <row r="630" spans="1:15" s="118" customFormat="1" ht="11.1" customHeight="1" outlineLevel="1">
      <c r="A630" s="120"/>
      <c r="B630" s="112"/>
      <c r="C630" s="113"/>
      <c r="D630" s="114"/>
      <c r="E630" s="388" t="s">
        <v>170</v>
      </c>
      <c r="F630" s="115" t="s">
        <v>15</v>
      </c>
      <c r="G630" s="145">
        <v>0</v>
      </c>
      <c r="H630" s="145">
        <v>0</v>
      </c>
      <c r="I630" s="81" t="str">
        <f t="shared" ref="I630:I635" si="160">IF(G630&gt;0,H630/G630*100,"-")</f>
        <v>-</v>
      </c>
      <c r="J630" s="145">
        <v>0</v>
      </c>
      <c r="K630" s="145">
        <f t="shared" ref="K630:K635" si="161">L630-J630</f>
        <v>0</v>
      </c>
      <c r="L630" s="146">
        <v>0</v>
      </c>
      <c r="M630" s="117">
        <v>0</v>
      </c>
      <c r="N630" s="81" t="str">
        <f t="shared" ref="N630:N635" si="162">IF(L630&gt;0,M630/L630*100,"-")</f>
        <v>-</v>
      </c>
      <c r="O630" s="154"/>
    </row>
    <row r="631" spans="1:15" s="118" customFormat="1" ht="11.1" customHeight="1" outlineLevel="1">
      <c r="A631" s="120"/>
      <c r="B631" s="112"/>
      <c r="C631" s="113"/>
      <c r="D631" s="114"/>
      <c r="E631" s="388"/>
      <c r="F631" s="115" t="s">
        <v>7</v>
      </c>
      <c r="G631" s="308">
        <v>13886018</v>
      </c>
      <c r="H631" s="145">
        <v>12469105</v>
      </c>
      <c r="I631" s="81">
        <f t="shared" si="160"/>
        <v>89.79611721661314</v>
      </c>
      <c r="J631" s="145">
        <v>13886018</v>
      </c>
      <c r="K631" s="145">
        <f t="shared" si="161"/>
        <v>-755397</v>
      </c>
      <c r="L631" s="146">
        <v>13130621</v>
      </c>
      <c r="M631" s="116">
        <v>12469104.4</v>
      </c>
      <c r="N631" s="81">
        <f t="shared" si="162"/>
        <v>94.962031117949408</v>
      </c>
      <c r="O631" s="154"/>
    </row>
    <row r="632" spans="1:15" s="118" customFormat="1" ht="11.1" customHeight="1" outlineLevel="1">
      <c r="A632" s="120"/>
      <c r="B632" s="112"/>
      <c r="C632" s="113"/>
      <c r="D632" s="114"/>
      <c r="E632" s="388"/>
      <c r="F632" s="115" t="s">
        <v>8</v>
      </c>
      <c r="G632" s="308">
        <f>5447808-150000</f>
        <v>5297808</v>
      </c>
      <c r="H632" s="145">
        <v>2588742</v>
      </c>
      <c r="I632" s="81">
        <f t="shared" si="160"/>
        <v>48.864398256788469</v>
      </c>
      <c r="J632" s="145">
        <v>5447808</v>
      </c>
      <c r="K632" s="145">
        <f t="shared" si="161"/>
        <v>-2707293</v>
      </c>
      <c r="L632" s="146">
        <v>2740515</v>
      </c>
      <c r="M632" s="116">
        <v>2588741.4</v>
      </c>
      <c r="N632" s="81">
        <f t="shared" si="162"/>
        <v>94.461858446313911</v>
      </c>
      <c r="O632" s="154"/>
    </row>
    <row r="633" spans="1:15" s="118" customFormat="1" ht="11.1" customHeight="1" outlineLevel="1">
      <c r="A633" s="120"/>
      <c r="B633" s="112"/>
      <c r="C633" s="113"/>
      <c r="D633" s="114"/>
      <c r="E633" s="216"/>
      <c r="F633" s="115" t="s">
        <v>22</v>
      </c>
      <c r="G633" s="308">
        <v>2450474</v>
      </c>
      <c r="H633" s="145">
        <v>2200431</v>
      </c>
      <c r="I633" s="81">
        <f t="shared" si="160"/>
        <v>89.796137400356017</v>
      </c>
      <c r="J633" s="145">
        <v>2450474</v>
      </c>
      <c r="K633" s="145">
        <f t="shared" si="161"/>
        <v>-133305</v>
      </c>
      <c r="L633" s="146">
        <v>2317169</v>
      </c>
      <c r="M633" s="116">
        <v>2200430.21</v>
      </c>
      <c r="N633" s="81">
        <f t="shared" si="162"/>
        <v>94.962007950218563</v>
      </c>
      <c r="O633" s="154"/>
    </row>
    <row r="634" spans="1:15" s="118" customFormat="1" ht="11.1" customHeight="1" outlineLevel="1">
      <c r="A634" s="120"/>
      <c r="B634" s="112"/>
      <c r="C634" s="113"/>
      <c r="D634" s="114"/>
      <c r="E634" s="216"/>
      <c r="F634" s="119" t="s">
        <v>45</v>
      </c>
      <c r="G634" s="308">
        <v>150000</v>
      </c>
      <c r="H634" s="145">
        <v>29120</v>
      </c>
      <c r="I634" s="81">
        <f t="shared" si="160"/>
        <v>19.413333333333334</v>
      </c>
      <c r="J634" s="308">
        <v>0</v>
      </c>
      <c r="K634" s="145">
        <f t="shared" si="161"/>
        <v>29735</v>
      </c>
      <c r="L634" s="146">
        <v>29735</v>
      </c>
      <c r="M634" s="117">
        <v>29119.02</v>
      </c>
      <c r="N634" s="81">
        <f t="shared" si="162"/>
        <v>97.928434504792335</v>
      </c>
      <c r="O634" s="154"/>
    </row>
    <row r="635" spans="1:15" s="118" customFormat="1" ht="11.1" customHeight="1" outlineLevel="1">
      <c r="A635" s="120"/>
      <c r="B635" s="112"/>
      <c r="C635" s="113"/>
      <c r="D635" s="114"/>
      <c r="E635" s="216"/>
      <c r="F635" s="119" t="s">
        <v>46</v>
      </c>
      <c r="G635" s="145">
        <v>37039</v>
      </c>
      <c r="H635" s="145">
        <v>37039</v>
      </c>
      <c r="I635" s="81">
        <f t="shared" si="160"/>
        <v>100</v>
      </c>
      <c r="J635" s="145">
        <v>0</v>
      </c>
      <c r="K635" s="145">
        <f t="shared" si="161"/>
        <v>37039</v>
      </c>
      <c r="L635" s="146">
        <v>37039</v>
      </c>
      <c r="M635" s="117">
        <v>37038.6</v>
      </c>
      <c r="N635" s="81">
        <f t="shared" si="162"/>
        <v>99.998920057236958</v>
      </c>
      <c r="O635" s="154"/>
    </row>
    <row r="636" spans="1:15" s="118" customFormat="1" ht="3.95" customHeight="1" outlineLevel="1">
      <c r="A636" s="121"/>
      <c r="B636" s="122"/>
      <c r="C636" s="123"/>
      <c r="D636" s="124"/>
      <c r="E636" s="306"/>
      <c r="F636" s="125"/>
      <c r="G636" s="147"/>
      <c r="H636" s="147"/>
      <c r="I636" s="88"/>
      <c r="J636" s="147"/>
      <c r="K636" s="147"/>
      <c r="L636" s="148"/>
      <c r="M636" s="126"/>
      <c r="N636" s="88"/>
      <c r="O636" s="365"/>
    </row>
    <row r="637" spans="1:15" s="118" customFormat="1" ht="3.95" customHeight="1" outlineLevel="1">
      <c r="A637" s="120"/>
      <c r="B637" s="112"/>
      <c r="C637" s="113"/>
      <c r="D637" s="114"/>
      <c r="E637" s="114"/>
      <c r="F637" s="119"/>
      <c r="G637" s="145"/>
      <c r="H637" s="145"/>
      <c r="I637" s="81"/>
      <c r="J637" s="145"/>
      <c r="K637" s="145"/>
      <c r="L637" s="146"/>
      <c r="M637" s="117"/>
      <c r="N637" s="81"/>
      <c r="O637" s="154"/>
    </row>
    <row r="638" spans="1:15" s="118" customFormat="1" ht="11.1" customHeight="1" outlineLevel="1">
      <c r="A638" s="120"/>
      <c r="B638" s="112"/>
      <c r="C638" s="113"/>
      <c r="D638" s="114"/>
      <c r="E638" s="388" t="s">
        <v>53</v>
      </c>
      <c r="F638" s="115" t="s">
        <v>15</v>
      </c>
      <c r="G638" s="145">
        <v>739745</v>
      </c>
      <c r="H638" s="145">
        <v>739745</v>
      </c>
      <c r="I638" s="81">
        <f t="shared" ref="I638:I643" si="163">IF(G638&gt;0,H638/G638*100,"-")</f>
        <v>100</v>
      </c>
      <c r="J638" s="145">
        <v>0</v>
      </c>
      <c r="K638" s="145">
        <f t="shared" ref="K638:K643" si="164">L638-J638</f>
        <v>0</v>
      </c>
      <c r="L638" s="146">
        <v>0</v>
      </c>
      <c r="M638" s="117">
        <v>0</v>
      </c>
      <c r="N638" s="81" t="str">
        <f t="shared" ref="N638:N643" si="165">IF(L638&gt;0,M638/L638*100,"-")</f>
        <v>-</v>
      </c>
      <c r="O638" s="154"/>
    </row>
    <row r="639" spans="1:15" s="118" customFormat="1" ht="11.1" customHeight="1" outlineLevel="1">
      <c r="A639" s="120"/>
      <c r="B639" s="112"/>
      <c r="C639" s="113"/>
      <c r="D639" s="114"/>
      <c r="E639" s="388"/>
      <c r="F639" s="115" t="s">
        <v>7</v>
      </c>
      <c r="G639" s="145">
        <v>432272</v>
      </c>
      <c r="H639" s="145">
        <v>432271</v>
      </c>
      <c r="I639" s="81">
        <f t="shared" si="163"/>
        <v>99.999768664174411</v>
      </c>
      <c r="J639" s="145">
        <v>0</v>
      </c>
      <c r="K639" s="145">
        <f t="shared" si="164"/>
        <v>0</v>
      </c>
      <c r="L639" s="146">
        <v>0</v>
      </c>
      <c r="M639" s="117">
        <v>0</v>
      </c>
      <c r="N639" s="81" t="str">
        <f t="shared" si="165"/>
        <v>-</v>
      </c>
      <c r="O639" s="154"/>
    </row>
    <row r="640" spans="1:15" s="118" customFormat="1" ht="11.1" customHeight="1" outlineLevel="1">
      <c r="A640" s="120"/>
      <c r="B640" s="112"/>
      <c r="C640" s="113"/>
      <c r="D640" s="114"/>
      <c r="E640" s="388"/>
      <c r="F640" s="115" t="s">
        <v>8</v>
      </c>
      <c r="G640" s="145">
        <v>500000</v>
      </c>
      <c r="H640" s="145">
        <v>500000</v>
      </c>
      <c r="I640" s="81">
        <f t="shared" si="163"/>
        <v>100</v>
      </c>
      <c r="J640" s="145">
        <v>0</v>
      </c>
      <c r="K640" s="145">
        <f t="shared" si="164"/>
        <v>0</v>
      </c>
      <c r="L640" s="146">
        <v>0</v>
      </c>
      <c r="M640" s="117">
        <v>0</v>
      </c>
      <c r="N640" s="81" t="str">
        <f t="shared" si="165"/>
        <v>-</v>
      </c>
      <c r="O640" s="154"/>
    </row>
    <row r="641" spans="1:15" s="118" customFormat="1" ht="11.1" customHeight="1" outlineLevel="1">
      <c r="A641" s="120"/>
      <c r="B641" s="112"/>
      <c r="C641" s="113"/>
      <c r="D641" s="114"/>
      <c r="E641" s="216"/>
      <c r="F641" s="115" t="s">
        <v>22</v>
      </c>
      <c r="G641" s="145">
        <v>76283</v>
      </c>
      <c r="H641" s="145">
        <v>76283</v>
      </c>
      <c r="I641" s="81">
        <f t="shared" si="163"/>
        <v>100</v>
      </c>
      <c r="J641" s="145">
        <v>0</v>
      </c>
      <c r="K641" s="145">
        <f t="shared" si="164"/>
        <v>0</v>
      </c>
      <c r="L641" s="146">
        <v>0</v>
      </c>
      <c r="M641" s="117">
        <v>0</v>
      </c>
      <c r="N641" s="81" t="str">
        <f t="shared" si="165"/>
        <v>-</v>
      </c>
      <c r="O641" s="154"/>
    </row>
    <row r="642" spans="1:15" s="118" customFormat="1" ht="11.1" customHeight="1" outlineLevel="1">
      <c r="A642" s="120"/>
      <c r="B642" s="112"/>
      <c r="C642" s="113"/>
      <c r="D642" s="114"/>
      <c r="E642" s="216"/>
      <c r="F642" s="119" t="s">
        <v>45</v>
      </c>
      <c r="G642" s="145">
        <v>0</v>
      </c>
      <c r="H642" s="145">
        <v>0</v>
      </c>
      <c r="I642" s="81" t="str">
        <f t="shared" si="163"/>
        <v>-</v>
      </c>
      <c r="J642" s="145">
        <v>0</v>
      </c>
      <c r="K642" s="145">
        <f t="shared" si="164"/>
        <v>0</v>
      </c>
      <c r="L642" s="146">
        <v>0</v>
      </c>
      <c r="M642" s="117">
        <v>0</v>
      </c>
      <c r="N642" s="81" t="str">
        <f t="shared" si="165"/>
        <v>-</v>
      </c>
      <c r="O642" s="154"/>
    </row>
    <row r="643" spans="1:15" s="118" customFormat="1" ht="11.1" customHeight="1" outlineLevel="1">
      <c r="A643" s="120"/>
      <c r="B643" s="112"/>
      <c r="C643" s="113"/>
      <c r="D643" s="114"/>
      <c r="E643" s="216"/>
      <c r="F643" s="119" t="s">
        <v>46</v>
      </c>
      <c r="G643" s="145">
        <v>0</v>
      </c>
      <c r="H643" s="145">
        <v>0</v>
      </c>
      <c r="I643" s="81" t="str">
        <f t="shared" si="163"/>
        <v>-</v>
      </c>
      <c r="J643" s="145">
        <v>0</v>
      </c>
      <c r="K643" s="145">
        <f t="shared" si="164"/>
        <v>0</v>
      </c>
      <c r="L643" s="146">
        <v>0</v>
      </c>
      <c r="M643" s="117">
        <v>0</v>
      </c>
      <c r="N643" s="81" t="str">
        <f t="shared" si="165"/>
        <v>-</v>
      </c>
      <c r="O643" s="154"/>
    </row>
    <row r="644" spans="1:15" s="95" customFormat="1" ht="3.95" customHeight="1" outlineLevel="1">
      <c r="A644" s="121"/>
      <c r="B644" s="85"/>
      <c r="C644" s="86"/>
      <c r="D644" s="84"/>
      <c r="E644" s="84"/>
      <c r="F644" s="85"/>
      <c r="G644" s="143"/>
      <c r="H644" s="143"/>
      <c r="I644" s="88"/>
      <c r="J644" s="143"/>
      <c r="K644" s="143"/>
      <c r="L644" s="144"/>
      <c r="M644" s="87"/>
      <c r="N644" s="88"/>
      <c r="O644" s="222"/>
    </row>
    <row r="645" spans="1:15" s="95" customFormat="1" ht="3.95" customHeight="1" outlineLevel="1">
      <c r="A645" s="157"/>
      <c r="B645" s="72"/>
      <c r="C645" s="73"/>
      <c r="D645" s="71"/>
      <c r="E645" s="71"/>
      <c r="F645" s="72"/>
      <c r="G645" s="138"/>
      <c r="H645" s="138"/>
      <c r="I645" s="75"/>
      <c r="J645" s="138"/>
      <c r="K645" s="138"/>
      <c r="L645" s="139"/>
      <c r="M645" s="74"/>
      <c r="N645" s="75"/>
      <c r="O645" s="208"/>
    </row>
    <row r="646" spans="1:15" s="95" customFormat="1" ht="11.1" customHeight="1" outlineLevel="1">
      <c r="A646" s="370" t="s">
        <v>51</v>
      </c>
      <c r="B646" s="76" t="s">
        <v>9</v>
      </c>
      <c r="C646" s="151" t="s">
        <v>113</v>
      </c>
      <c r="D646" s="369" t="s">
        <v>173</v>
      </c>
      <c r="E646" s="369" t="s">
        <v>53</v>
      </c>
      <c r="F646" s="78" t="s">
        <v>28</v>
      </c>
      <c r="G646" s="140">
        <f>SUM(G647:G652)</f>
        <v>23011093</v>
      </c>
      <c r="H646" s="140">
        <f>SUM(H647:H652)</f>
        <v>23011093</v>
      </c>
      <c r="I646" s="39">
        <f t="shared" ref="I646:I652" si="166">IF(G646&gt;0,H646/G646*100,"-")</f>
        <v>100</v>
      </c>
      <c r="J646" s="140">
        <f>SUM(J647:J652)</f>
        <v>0</v>
      </c>
      <c r="K646" s="140">
        <f>SUM(K647:K652)</f>
        <v>2460000</v>
      </c>
      <c r="L646" s="140">
        <f>SUM(L647:L652)</f>
        <v>2460000</v>
      </c>
      <c r="M646" s="38">
        <f>SUM(M647:M652)</f>
        <v>2460000</v>
      </c>
      <c r="N646" s="39">
        <f t="shared" ref="N646:N652" si="167">IF(L646&gt;0,M646/L646*100,"-")</f>
        <v>100</v>
      </c>
      <c r="O646" s="366" t="s">
        <v>250</v>
      </c>
    </row>
    <row r="647" spans="1:15" s="95" customFormat="1" ht="11.1" customHeight="1" outlineLevel="1">
      <c r="A647" s="370"/>
      <c r="B647" s="76" t="s">
        <v>10</v>
      </c>
      <c r="C647" s="151" t="s">
        <v>114</v>
      </c>
      <c r="D647" s="369"/>
      <c r="E647" s="369"/>
      <c r="F647" s="79" t="s">
        <v>15</v>
      </c>
      <c r="G647" s="141">
        <v>1110077</v>
      </c>
      <c r="H647" s="141">
        <v>1110077</v>
      </c>
      <c r="I647" s="81">
        <f t="shared" si="166"/>
        <v>100</v>
      </c>
      <c r="J647" s="141">
        <v>0</v>
      </c>
      <c r="K647" s="141">
        <f t="shared" ref="K647:K652" si="168">L647-J647</f>
        <v>0</v>
      </c>
      <c r="L647" s="141">
        <v>0</v>
      </c>
      <c r="M647" s="80">
        <v>0</v>
      </c>
      <c r="N647" s="81" t="str">
        <f t="shared" si="167"/>
        <v>-</v>
      </c>
      <c r="O647" s="366"/>
    </row>
    <row r="648" spans="1:15" s="95" customFormat="1" ht="11.1" customHeight="1" outlineLevel="1">
      <c r="A648" s="370"/>
      <c r="B648" s="76"/>
      <c r="C648" s="82" t="s">
        <v>115</v>
      </c>
      <c r="D648" s="369"/>
      <c r="E648" s="369"/>
      <c r="F648" s="79" t="s">
        <v>7</v>
      </c>
      <c r="G648" s="141">
        <v>12732801</v>
      </c>
      <c r="H648" s="141">
        <v>12732801</v>
      </c>
      <c r="I648" s="81">
        <f t="shared" si="166"/>
        <v>100</v>
      </c>
      <c r="J648" s="141">
        <v>0</v>
      </c>
      <c r="K648" s="141">
        <f t="shared" si="168"/>
        <v>0</v>
      </c>
      <c r="L648" s="141">
        <v>0</v>
      </c>
      <c r="M648" s="83">
        <v>0</v>
      </c>
      <c r="N648" s="81" t="str">
        <f t="shared" si="167"/>
        <v>-</v>
      </c>
      <c r="O648" s="366"/>
    </row>
    <row r="649" spans="1:15" s="95" customFormat="1" ht="11.1" customHeight="1" outlineLevel="1">
      <c r="A649" s="120"/>
      <c r="B649" s="76" t="s">
        <v>11</v>
      </c>
      <c r="C649" s="82" t="s">
        <v>116</v>
      </c>
      <c r="D649" s="111"/>
      <c r="E649" s="111"/>
      <c r="F649" s="79" t="s">
        <v>8</v>
      </c>
      <c r="G649" s="141">
        <v>6708215</v>
      </c>
      <c r="H649" s="141">
        <v>6708215</v>
      </c>
      <c r="I649" s="81">
        <f t="shared" si="166"/>
        <v>100</v>
      </c>
      <c r="J649" s="141">
        <v>0</v>
      </c>
      <c r="K649" s="141">
        <f t="shared" si="168"/>
        <v>0</v>
      </c>
      <c r="L649" s="141">
        <v>0</v>
      </c>
      <c r="M649" s="80">
        <v>0</v>
      </c>
      <c r="N649" s="81" t="str">
        <f t="shared" si="167"/>
        <v>-</v>
      </c>
      <c r="O649" s="366"/>
    </row>
    <row r="650" spans="1:15" s="95" customFormat="1" ht="11.1" customHeight="1" outlineLevel="1">
      <c r="A650" s="120"/>
      <c r="B650" s="76" t="s">
        <v>12</v>
      </c>
      <c r="C650" s="82" t="s">
        <v>434</v>
      </c>
      <c r="D650" s="111"/>
      <c r="E650" s="111"/>
      <c r="F650" s="79" t="s">
        <v>22</v>
      </c>
      <c r="G650" s="141">
        <v>0</v>
      </c>
      <c r="H650" s="141">
        <v>0</v>
      </c>
      <c r="I650" s="81" t="str">
        <f t="shared" si="166"/>
        <v>-</v>
      </c>
      <c r="J650" s="141">
        <v>0</v>
      </c>
      <c r="K650" s="141">
        <f t="shared" si="168"/>
        <v>0</v>
      </c>
      <c r="L650" s="141">
        <v>0</v>
      </c>
      <c r="M650" s="83">
        <v>0</v>
      </c>
      <c r="N650" s="81" t="str">
        <f t="shared" si="167"/>
        <v>-</v>
      </c>
      <c r="O650" s="366"/>
    </row>
    <row r="651" spans="1:15" s="95" customFormat="1" ht="11.1" customHeight="1" outlineLevel="1">
      <c r="A651" s="120"/>
      <c r="B651" s="76" t="s">
        <v>23</v>
      </c>
      <c r="C651" s="82" t="s">
        <v>171</v>
      </c>
      <c r="D651" s="111"/>
      <c r="E651" s="111"/>
      <c r="F651" s="107" t="s">
        <v>45</v>
      </c>
      <c r="G651" s="142">
        <v>0</v>
      </c>
      <c r="H651" s="142">
        <v>0</v>
      </c>
      <c r="I651" s="81" t="str">
        <f t="shared" si="166"/>
        <v>-</v>
      </c>
      <c r="J651" s="142">
        <v>0</v>
      </c>
      <c r="K651" s="141">
        <f t="shared" si="168"/>
        <v>0</v>
      </c>
      <c r="L651" s="141">
        <v>0</v>
      </c>
      <c r="M651" s="89">
        <v>0</v>
      </c>
      <c r="N651" s="81" t="str">
        <f t="shared" si="167"/>
        <v>-</v>
      </c>
      <c r="O651" s="366"/>
    </row>
    <row r="652" spans="1:15" s="95" customFormat="1" ht="11.1" customHeight="1" outlineLevel="1">
      <c r="A652" s="120"/>
      <c r="B652" s="76"/>
      <c r="C652" s="82" t="s">
        <v>172</v>
      </c>
      <c r="D652" s="111"/>
      <c r="E652" s="111"/>
      <c r="F652" s="107" t="s">
        <v>46</v>
      </c>
      <c r="G652" s="142">
        <v>2460000</v>
      </c>
      <c r="H652" s="142">
        <v>2460000</v>
      </c>
      <c r="I652" s="81">
        <f t="shared" si="166"/>
        <v>100</v>
      </c>
      <c r="J652" s="142">
        <v>0</v>
      </c>
      <c r="K652" s="141">
        <f t="shared" si="168"/>
        <v>2460000</v>
      </c>
      <c r="L652" s="141">
        <v>2460000</v>
      </c>
      <c r="M652" s="89">
        <v>2460000</v>
      </c>
      <c r="N652" s="81">
        <f t="shared" si="167"/>
        <v>100</v>
      </c>
      <c r="O652" s="366"/>
    </row>
    <row r="653" spans="1:15" s="95" customFormat="1" ht="3.95" customHeight="1" outlineLevel="1">
      <c r="A653" s="121"/>
      <c r="B653" s="85"/>
      <c r="C653" s="86"/>
      <c r="D653" s="84"/>
      <c r="E653" s="84"/>
      <c r="F653" s="85"/>
      <c r="G653" s="143"/>
      <c r="H653" s="143"/>
      <c r="I653" s="88"/>
      <c r="J653" s="143"/>
      <c r="K653" s="143"/>
      <c r="L653" s="144"/>
      <c r="M653" s="87"/>
      <c r="N653" s="88"/>
      <c r="O653" s="222"/>
    </row>
    <row r="654" spans="1:15" ht="3.95" customHeight="1">
      <c r="A654" s="59"/>
      <c r="B654" s="60"/>
      <c r="C654" s="61"/>
      <c r="D654" s="62"/>
      <c r="E654" s="62"/>
      <c r="F654" s="59"/>
      <c r="G654" s="134"/>
      <c r="H654" s="134"/>
      <c r="I654" s="59"/>
      <c r="J654" s="134"/>
      <c r="K654" s="134"/>
      <c r="L654" s="134"/>
      <c r="M654" s="63"/>
      <c r="N654" s="64"/>
      <c r="O654" s="219"/>
    </row>
    <row r="655" spans="1:15" ht="11.45" customHeight="1">
      <c r="A655" s="28" t="s">
        <v>62</v>
      </c>
      <c r="B655" s="387" t="s">
        <v>49</v>
      </c>
      <c r="C655" s="372"/>
      <c r="D655" s="29"/>
      <c r="E655" s="29"/>
      <c r="F655" s="30"/>
      <c r="G655" s="135">
        <f>SUM(G656:G661)</f>
        <v>74846200</v>
      </c>
      <c r="H655" s="135">
        <f>SUM(H656:H661)</f>
        <v>60725908</v>
      </c>
      <c r="I655" s="32">
        <f>IF(G655&gt;0,H655/G655*100,"-")</f>
        <v>81.134256648968147</v>
      </c>
      <c r="J655" s="135">
        <f>SUM(J656:J661)</f>
        <v>48624902</v>
      </c>
      <c r="K655" s="135">
        <f>SUM(K656:K661)</f>
        <v>381024</v>
      </c>
      <c r="L655" s="135">
        <f>SUM(L656:L661)</f>
        <v>49005926</v>
      </c>
      <c r="M655" s="31">
        <f>SUM(M656:M661)</f>
        <v>42908378.949999996</v>
      </c>
      <c r="N655" s="32">
        <f t="shared" ref="N655:N661" si="169">IF(L655&gt;0,M655/L655*100,"-")</f>
        <v>87.557531205511751</v>
      </c>
      <c r="O655" s="220"/>
    </row>
    <row r="656" spans="1:15" ht="11.45" customHeight="1">
      <c r="A656" s="30"/>
      <c r="B656" s="33"/>
      <c r="C656" s="34"/>
      <c r="D656" s="29"/>
      <c r="E656" s="29"/>
      <c r="F656" s="35" t="s">
        <v>15</v>
      </c>
      <c r="G656" s="136">
        <f t="shared" ref="G656:H661" si="170">G665</f>
        <v>3933174</v>
      </c>
      <c r="H656" s="136">
        <f t="shared" si="170"/>
        <v>2930064</v>
      </c>
      <c r="I656" s="37">
        <f t="shared" ref="I656:I661" si="171">IF(G656&gt;0,H656/G656*100,"-")</f>
        <v>74.496170268592238</v>
      </c>
      <c r="J656" s="136">
        <f t="shared" ref="J656:M661" si="172">J665</f>
        <v>2939939</v>
      </c>
      <c r="K656" s="136">
        <f t="shared" si="172"/>
        <v>0</v>
      </c>
      <c r="L656" s="136">
        <f t="shared" si="172"/>
        <v>2939939</v>
      </c>
      <c r="M656" s="36">
        <f t="shared" si="172"/>
        <v>2870905.8</v>
      </c>
      <c r="N656" s="37">
        <f t="shared" si="169"/>
        <v>97.651883253360012</v>
      </c>
      <c r="O656" s="220"/>
    </row>
    <row r="657" spans="1:15" ht="11.45" customHeight="1">
      <c r="A657" s="30"/>
      <c r="B657" s="33"/>
      <c r="C657" s="34"/>
      <c r="D657" s="29"/>
      <c r="E657" s="29"/>
      <c r="F657" s="35" t="s">
        <v>7</v>
      </c>
      <c r="G657" s="136">
        <f t="shared" si="170"/>
        <v>57675561</v>
      </c>
      <c r="H657" s="136">
        <f t="shared" si="170"/>
        <v>46715915</v>
      </c>
      <c r="I657" s="37">
        <f t="shared" si="171"/>
        <v>80.997764373718013</v>
      </c>
      <c r="J657" s="136">
        <f t="shared" si="172"/>
        <v>40623216</v>
      </c>
      <c r="K657" s="136">
        <f t="shared" si="172"/>
        <v>0</v>
      </c>
      <c r="L657" s="136">
        <f t="shared" si="172"/>
        <v>40623216</v>
      </c>
      <c r="M657" s="36">
        <f t="shared" si="172"/>
        <v>34594702.149999999</v>
      </c>
      <c r="N657" s="37">
        <f t="shared" si="169"/>
        <v>85.159929607739571</v>
      </c>
      <c r="O657" s="220"/>
    </row>
    <row r="658" spans="1:15" ht="11.45" customHeight="1">
      <c r="A658" s="30"/>
      <c r="B658" s="33"/>
      <c r="C658" s="34"/>
      <c r="D658" s="29"/>
      <c r="E658" s="29"/>
      <c r="F658" s="35" t="s">
        <v>8</v>
      </c>
      <c r="G658" s="136">
        <f t="shared" si="170"/>
        <v>12362169</v>
      </c>
      <c r="H658" s="136">
        <f t="shared" si="170"/>
        <v>10204633</v>
      </c>
      <c r="I658" s="37">
        <f t="shared" si="171"/>
        <v>82.547269819721762</v>
      </c>
      <c r="J658" s="136">
        <f t="shared" si="172"/>
        <v>5061747</v>
      </c>
      <c r="K658" s="136">
        <f t="shared" si="172"/>
        <v>0</v>
      </c>
      <c r="L658" s="136">
        <f t="shared" si="172"/>
        <v>5061747</v>
      </c>
      <c r="M658" s="36">
        <f t="shared" si="172"/>
        <v>5061747</v>
      </c>
      <c r="N658" s="37">
        <f t="shared" si="169"/>
        <v>100</v>
      </c>
      <c r="O658" s="220"/>
    </row>
    <row r="659" spans="1:15" ht="11.45" customHeight="1">
      <c r="A659" s="30"/>
      <c r="B659" s="33"/>
      <c r="C659" s="34"/>
      <c r="D659" s="29"/>
      <c r="E659" s="29"/>
      <c r="F659" s="35" t="s">
        <v>22</v>
      </c>
      <c r="G659" s="136">
        <f t="shared" si="170"/>
        <v>494272</v>
      </c>
      <c r="H659" s="136">
        <f t="shared" si="170"/>
        <v>494272</v>
      </c>
      <c r="I659" s="37">
        <f t="shared" si="171"/>
        <v>100</v>
      </c>
      <c r="J659" s="136">
        <f t="shared" si="172"/>
        <v>0</v>
      </c>
      <c r="K659" s="136">
        <f t="shared" si="172"/>
        <v>0</v>
      </c>
      <c r="L659" s="136">
        <f t="shared" si="172"/>
        <v>0</v>
      </c>
      <c r="M659" s="36">
        <f t="shared" si="172"/>
        <v>0</v>
      </c>
      <c r="N659" s="37" t="str">
        <f t="shared" si="169"/>
        <v>-</v>
      </c>
      <c r="O659" s="220"/>
    </row>
    <row r="660" spans="1:15" ht="11.45" customHeight="1">
      <c r="A660" s="30"/>
      <c r="B660" s="33"/>
      <c r="C660" s="34"/>
      <c r="D660" s="29"/>
      <c r="E660" s="29"/>
      <c r="F660" s="35" t="s">
        <v>45</v>
      </c>
      <c r="G660" s="136">
        <f t="shared" si="170"/>
        <v>0</v>
      </c>
      <c r="H660" s="136">
        <f t="shared" si="170"/>
        <v>0</v>
      </c>
      <c r="I660" s="37" t="str">
        <f t="shared" si="171"/>
        <v>-</v>
      </c>
      <c r="J660" s="136">
        <f t="shared" si="172"/>
        <v>0</v>
      </c>
      <c r="K660" s="136">
        <f t="shared" si="172"/>
        <v>0</v>
      </c>
      <c r="L660" s="136">
        <f t="shared" si="172"/>
        <v>0</v>
      </c>
      <c r="M660" s="36">
        <f t="shared" si="172"/>
        <v>0</v>
      </c>
      <c r="N660" s="37" t="str">
        <f t="shared" si="169"/>
        <v>-</v>
      </c>
      <c r="O660" s="220"/>
    </row>
    <row r="661" spans="1:15" ht="11.45" customHeight="1">
      <c r="A661" s="30"/>
      <c r="B661" s="33"/>
      <c r="C661" s="34"/>
      <c r="D661" s="29"/>
      <c r="E661" s="29"/>
      <c r="F661" s="35" t="s">
        <v>46</v>
      </c>
      <c r="G661" s="136">
        <f t="shared" si="170"/>
        <v>381024</v>
      </c>
      <c r="H661" s="136">
        <f t="shared" si="170"/>
        <v>381024</v>
      </c>
      <c r="I661" s="37">
        <f t="shared" si="171"/>
        <v>100</v>
      </c>
      <c r="J661" s="136">
        <f t="shared" si="172"/>
        <v>0</v>
      </c>
      <c r="K661" s="136">
        <f t="shared" si="172"/>
        <v>381024</v>
      </c>
      <c r="L661" s="136">
        <f t="shared" si="172"/>
        <v>381024</v>
      </c>
      <c r="M661" s="36">
        <f t="shared" si="172"/>
        <v>381024</v>
      </c>
      <c r="N661" s="37">
        <f t="shared" si="169"/>
        <v>100</v>
      </c>
      <c r="O661" s="220"/>
    </row>
    <row r="662" spans="1:15" ht="3.95" customHeight="1">
      <c r="A662" s="65"/>
      <c r="B662" s="66"/>
      <c r="C662" s="67"/>
      <c r="D662" s="68"/>
      <c r="E662" s="68"/>
      <c r="F662" s="65"/>
      <c r="G662" s="137"/>
      <c r="H662" s="137"/>
      <c r="I662" s="70"/>
      <c r="J662" s="137"/>
      <c r="K662" s="137"/>
      <c r="L662" s="137"/>
      <c r="M662" s="69"/>
      <c r="N662" s="70"/>
      <c r="O662" s="221"/>
    </row>
    <row r="663" spans="1:15" s="95" customFormat="1" ht="3.95" customHeight="1">
      <c r="A663" s="157"/>
      <c r="B663" s="72"/>
      <c r="C663" s="73"/>
      <c r="D663" s="71"/>
      <c r="E663" s="71"/>
      <c r="F663" s="72"/>
      <c r="G663" s="138"/>
      <c r="H663" s="138"/>
      <c r="I663" s="75"/>
      <c r="J663" s="138"/>
      <c r="K663" s="138"/>
      <c r="L663" s="139"/>
      <c r="M663" s="74"/>
      <c r="N663" s="75"/>
      <c r="O663" s="208"/>
    </row>
    <row r="664" spans="1:15" s="95" customFormat="1" ht="11.1" customHeight="1">
      <c r="A664" s="370" t="s">
        <v>1</v>
      </c>
      <c r="B664" s="76" t="s">
        <v>9</v>
      </c>
      <c r="C664" s="77" t="s">
        <v>119</v>
      </c>
      <c r="D664" s="369" t="s">
        <v>158</v>
      </c>
      <c r="E664" s="369" t="s">
        <v>53</v>
      </c>
      <c r="F664" s="78" t="s">
        <v>28</v>
      </c>
      <c r="G664" s="140">
        <f>SUM(G665:G670)</f>
        <v>74846200</v>
      </c>
      <c r="H664" s="140">
        <f>SUM(H665:H670)</f>
        <v>60725908</v>
      </c>
      <c r="I664" s="39">
        <f t="shared" ref="I664:I670" si="173">IF(G664&gt;0,H664/G664*100,"-")</f>
        <v>81.134256648968147</v>
      </c>
      <c r="J664" s="140">
        <f>SUM(J665:J670)</f>
        <v>48624902</v>
      </c>
      <c r="K664" s="140">
        <f>SUM(K665:K670)</f>
        <v>381024</v>
      </c>
      <c r="L664" s="140">
        <f>SUM(L665:L670)</f>
        <v>49005926</v>
      </c>
      <c r="M664" s="38">
        <f>SUM(M665:M670)</f>
        <v>42908378.949999996</v>
      </c>
      <c r="N664" s="39">
        <f t="shared" ref="N664:N670" si="174">IF(L664&gt;0,M664/L664*100,"-")</f>
        <v>87.557531205511751</v>
      </c>
      <c r="O664" s="366" t="s">
        <v>273</v>
      </c>
    </row>
    <row r="665" spans="1:15" s="95" customFormat="1" ht="11.1" customHeight="1">
      <c r="A665" s="370"/>
      <c r="B665" s="76" t="s">
        <v>10</v>
      </c>
      <c r="C665" s="77" t="s">
        <v>174</v>
      </c>
      <c r="D665" s="369"/>
      <c r="E665" s="369"/>
      <c r="F665" s="79" t="s">
        <v>15</v>
      </c>
      <c r="G665" s="141">
        <v>3933174</v>
      </c>
      <c r="H665" s="141">
        <v>2930064</v>
      </c>
      <c r="I665" s="81">
        <f t="shared" si="173"/>
        <v>74.496170268592238</v>
      </c>
      <c r="J665" s="141">
        <v>2939939</v>
      </c>
      <c r="K665" s="142">
        <f t="shared" ref="K665:K670" si="175">L665-J665</f>
        <v>0</v>
      </c>
      <c r="L665" s="141">
        <v>2939939</v>
      </c>
      <c r="M665" s="80">
        <v>2870905.8</v>
      </c>
      <c r="N665" s="81">
        <f t="shared" si="174"/>
        <v>97.651883253360012</v>
      </c>
      <c r="O665" s="366"/>
    </row>
    <row r="666" spans="1:15" s="95" customFormat="1" ht="11.1" customHeight="1">
      <c r="A666" s="370"/>
      <c r="B666" s="76" t="s">
        <v>11</v>
      </c>
      <c r="C666" s="82" t="s">
        <v>175</v>
      </c>
      <c r="D666" s="369"/>
      <c r="E666" s="369"/>
      <c r="F666" s="79" t="s">
        <v>7</v>
      </c>
      <c r="G666" s="141">
        <v>57675561</v>
      </c>
      <c r="H666" s="141">
        <v>46715915</v>
      </c>
      <c r="I666" s="81">
        <f t="shared" si="173"/>
        <v>80.997764373718013</v>
      </c>
      <c r="J666" s="141">
        <v>40623216</v>
      </c>
      <c r="K666" s="142">
        <f t="shared" si="175"/>
        <v>0</v>
      </c>
      <c r="L666" s="141">
        <v>40623216</v>
      </c>
      <c r="M666" s="83">
        <v>34594702.149999999</v>
      </c>
      <c r="N666" s="81">
        <f t="shared" si="174"/>
        <v>85.159929607739571</v>
      </c>
      <c r="O666" s="366"/>
    </row>
    <row r="667" spans="1:15" s="95" customFormat="1" ht="11.1" customHeight="1">
      <c r="A667" s="120"/>
      <c r="B667" s="76" t="s">
        <v>12</v>
      </c>
      <c r="C667" s="82" t="s">
        <v>351</v>
      </c>
      <c r="D667" s="111"/>
      <c r="E667" s="111"/>
      <c r="F667" s="79" t="s">
        <v>8</v>
      </c>
      <c r="G667" s="141">
        <v>12362169</v>
      </c>
      <c r="H667" s="141">
        <v>10204633</v>
      </c>
      <c r="I667" s="81">
        <f t="shared" si="173"/>
        <v>82.547269819721762</v>
      </c>
      <c r="J667" s="141">
        <v>5061747</v>
      </c>
      <c r="K667" s="142">
        <f t="shared" si="175"/>
        <v>0</v>
      </c>
      <c r="L667" s="141">
        <v>5061747</v>
      </c>
      <c r="M667" s="80">
        <v>5061747</v>
      </c>
      <c r="N667" s="81">
        <f t="shared" si="174"/>
        <v>100</v>
      </c>
      <c r="O667" s="366"/>
    </row>
    <row r="668" spans="1:15" s="95" customFormat="1" ht="11.1" customHeight="1">
      <c r="A668" s="120"/>
      <c r="B668" s="76" t="s">
        <v>23</v>
      </c>
      <c r="C668" s="82" t="s">
        <v>176</v>
      </c>
      <c r="D668" s="111"/>
      <c r="E668" s="111"/>
      <c r="F668" s="79" t="s">
        <v>22</v>
      </c>
      <c r="G668" s="141">
        <v>494272</v>
      </c>
      <c r="H668" s="141">
        <v>494272</v>
      </c>
      <c r="I668" s="81">
        <f t="shared" si="173"/>
        <v>100</v>
      </c>
      <c r="J668" s="141">
        <v>0</v>
      </c>
      <c r="K668" s="142">
        <f t="shared" si="175"/>
        <v>0</v>
      </c>
      <c r="L668" s="141">
        <v>0</v>
      </c>
      <c r="M668" s="83">
        <v>0</v>
      </c>
      <c r="N668" s="81" t="str">
        <f t="shared" si="174"/>
        <v>-</v>
      </c>
      <c r="O668" s="366"/>
    </row>
    <row r="669" spans="1:15" s="95" customFormat="1" ht="11.1" customHeight="1">
      <c r="A669" s="120"/>
      <c r="B669" s="76"/>
      <c r="C669" s="82" t="s">
        <v>177</v>
      </c>
      <c r="D669" s="111"/>
      <c r="E669" s="111"/>
      <c r="F669" s="107" t="s">
        <v>45</v>
      </c>
      <c r="G669" s="142">
        <v>0</v>
      </c>
      <c r="H669" s="142">
        <v>0</v>
      </c>
      <c r="I669" s="81" t="str">
        <f t="shared" si="173"/>
        <v>-</v>
      </c>
      <c r="J669" s="142">
        <v>0</v>
      </c>
      <c r="K669" s="142">
        <f t="shared" si="175"/>
        <v>0</v>
      </c>
      <c r="L669" s="141">
        <v>0</v>
      </c>
      <c r="M669" s="89">
        <v>0</v>
      </c>
      <c r="N669" s="81" t="str">
        <f t="shared" si="174"/>
        <v>-</v>
      </c>
      <c r="O669" s="366"/>
    </row>
    <row r="670" spans="1:15" s="95" customFormat="1" ht="11.1" customHeight="1">
      <c r="A670" s="120"/>
      <c r="B670" s="76"/>
      <c r="C670" s="82" t="s">
        <v>178</v>
      </c>
      <c r="D670" s="111"/>
      <c r="E670" s="111"/>
      <c r="F670" s="107" t="s">
        <v>46</v>
      </c>
      <c r="G670" s="142">
        <v>381024</v>
      </c>
      <c r="H670" s="142">
        <v>381024</v>
      </c>
      <c r="I670" s="81">
        <f t="shared" si="173"/>
        <v>100</v>
      </c>
      <c r="J670" s="142">
        <v>0</v>
      </c>
      <c r="K670" s="142">
        <f t="shared" si="175"/>
        <v>381024</v>
      </c>
      <c r="L670" s="141">
        <v>381024</v>
      </c>
      <c r="M670" s="89">
        <v>381024</v>
      </c>
      <c r="N670" s="81">
        <f t="shared" si="174"/>
        <v>100</v>
      </c>
      <c r="O670" s="366"/>
    </row>
    <row r="671" spans="1:15" s="95" customFormat="1" ht="11.1" customHeight="1">
      <c r="A671" s="120"/>
      <c r="B671" s="76"/>
      <c r="C671" s="82" t="s">
        <v>179</v>
      </c>
      <c r="D671" s="111"/>
      <c r="E671" s="111"/>
      <c r="F671" s="107"/>
      <c r="G671" s="142"/>
      <c r="H671" s="142"/>
      <c r="I671" s="81"/>
      <c r="J671" s="142"/>
      <c r="K671" s="142"/>
      <c r="L671" s="141"/>
      <c r="M671" s="89"/>
      <c r="N671" s="81"/>
      <c r="O671" s="356"/>
    </row>
    <row r="672" spans="1:15" s="95" customFormat="1" ht="11.1" customHeight="1">
      <c r="A672" s="120"/>
      <c r="B672" s="76"/>
      <c r="C672" s="82" t="s">
        <v>180</v>
      </c>
      <c r="D672" s="111"/>
      <c r="E672" s="111"/>
      <c r="F672" s="107"/>
      <c r="G672" s="142"/>
      <c r="H672" s="142"/>
      <c r="I672" s="81"/>
      <c r="J672" s="142"/>
      <c r="K672" s="142"/>
      <c r="L672" s="141"/>
      <c r="M672" s="89"/>
      <c r="N672" s="81"/>
      <c r="O672" s="356"/>
    </row>
    <row r="673" spans="1:15" s="95" customFormat="1" ht="11.1" customHeight="1">
      <c r="A673" s="120"/>
      <c r="B673" s="76"/>
      <c r="C673" s="82" t="s">
        <v>181</v>
      </c>
      <c r="D673" s="111"/>
      <c r="E673" s="111"/>
      <c r="F673" s="107"/>
      <c r="G673" s="142"/>
      <c r="H673" s="142"/>
      <c r="I673" s="81"/>
      <c r="J673" s="142"/>
      <c r="K673" s="142"/>
      <c r="L673" s="141"/>
      <c r="M673" s="89"/>
      <c r="N673" s="81"/>
      <c r="O673" s="356"/>
    </row>
    <row r="674" spans="1:15" s="95" customFormat="1" ht="11.1" customHeight="1">
      <c r="A674" s="120"/>
      <c r="B674" s="76"/>
      <c r="C674" s="82" t="s">
        <v>182</v>
      </c>
      <c r="D674" s="111"/>
      <c r="E674" s="111"/>
      <c r="F674" s="107"/>
      <c r="G674" s="142"/>
      <c r="H674" s="142"/>
      <c r="I674" s="81"/>
      <c r="J674" s="142"/>
      <c r="K674" s="142"/>
      <c r="L674" s="141"/>
      <c r="M674" s="89"/>
      <c r="N674" s="81"/>
      <c r="O674" s="356"/>
    </row>
    <row r="675" spans="1:15" s="95" customFormat="1" ht="3.95" customHeight="1">
      <c r="A675" s="121"/>
      <c r="B675" s="85"/>
      <c r="C675" s="86"/>
      <c r="D675" s="84"/>
      <c r="E675" s="84"/>
      <c r="F675" s="85"/>
      <c r="G675" s="143"/>
      <c r="H675" s="143"/>
      <c r="I675" s="88"/>
      <c r="J675" s="143"/>
      <c r="K675" s="143"/>
      <c r="L675" s="144"/>
      <c r="M675" s="87"/>
      <c r="N675" s="88"/>
      <c r="O675" s="222"/>
    </row>
    <row r="676" spans="1:15" ht="3.95" hidden="1" customHeight="1" outlineLevel="1">
      <c r="A676" s="59"/>
      <c r="B676" s="60"/>
      <c r="C676" s="61"/>
      <c r="D676" s="62"/>
      <c r="E676" s="62"/>
      <c r="F676" s="59"/>
      <c r="G676" s="134"/>
      <c r="H676" s="134"/>
      <c r="I676" s="59"/>
      <c r="J676" s="134"/>
      <c r="K676" s="134"/>
      <c r="L676" s="134"/>
      <c r="M676" s="63"/>
      <c r="N676" s="64"/>
      <c r="O676" s="219"/>
    </row>
    <row r="677" spans="1:15" ht="10.5" hidden="1" customHeight="1" outlineLevel="1">
      <c r="A677" s="28"/>
      <c r="B677" s="387" t="s">
        <v>219</v>
      </c>
      <c r="C677" s="372"/>
      <c r="D677" s="29"/>
      <c r="E677" s="29"/>
      <c r="F677" s="30"/>
      <c r="G677" s="135">
        <f>SUM(G678:G683)</f>
        <v>0</v>
      </c>
      <c r="H677" s="135">
        <f>SUM(H678:H683)</f>
        <v>0</v>
      </c>
      <c r="I677" s="32" t="str">
        <f>IF(G677&gt;0,H677/G677*100,"-")</f>
        <v>-</v>
      </c>
      <c r="J677" s="135">
        <f>SUM(J678:J683)</f>
        <v>0</v>
      </c>
      <c r="K677" s="135">
        <f>SUM(K678:K683)</f>
        <v>0</v>
      </c>
      <c r="L677" s="135">
        <f>SUM(L678:L683)</f>
        <v>0</v>
      </c>
      <c r="M677" s="31">
        <f>SUM(M678:M683)</f>
        <v>0</v>
      </c>
      <c r="N677" s="32" t="str">
        <f t="shared" ref="N677:N683" si="176">IF(L677&gt;0,M677/L677*100,"-")</f>
        <v>-</v>
      </c>
      <c r="O677" s="220"/>
    </row>
    <row r="678" spans="1:15" ht="10.5" hidden="1" customHeight="1" outlineLevel="1">
      <c r="A678" s="30"/>
      <c r="B678" s="33"/>
      <c r="C678" s="34"/>
      <c r="D678" s="29"/>
      <c r="E678" s="29"/>
      <c r="F678" s="35" t="s">
        <v>15</v>
      </c>
      <c r="G678" s="136">
        <f t="shared" ref="G678:H683" si="177">G687</f>
        <v>0</v>
      </c>
      <c r="H678" s="136">
        <f t="shared" si="177"/>
        <v>0</v>
      </c>
      <c r="I678" s="37" t="str">
        <f t="shared" ref="I678:I683" si="178">IF(G678&gt;0,H678/G678*100,"-")</f>
        <v>-</v>
      </c>
      <c r="J678" s="136">
        <f t="shared" ref="J678:M683" si="179">J687</f>
        <v>0</v>
      </c>
      <c r="K678" s="136">
        <f t="shared" si="179"/>
        <v>0</v>
      </c>
      <c r="L678" s="136">
        <f t="shared" si="179"/>
        <v>0</v>
      </c>
      <c r="M678" s="36">
        <f t="shared" si="179"/>
        <v>0</v>
      </c>
      <c r="N678" s="37" t="str">
        <f t="shared" si="176"/>
        <v>-</v>
      </c>
      <c r="O678" s="220"/>
    </row>
    <row r="679" spans="1:15" ht="10.5" hidden="1" customHeight="1" outlineLevel="1">
      <c r="A679" s="30"/>
      <c r="B679" s="33"/>
      <c r="C679" s="34"/>
      <c r="D679" s="29"/>
      <c r="E679" s="29"/>
      <c r="F679" s="35" t="s">
        <v>7</v>
      </c>
      <c r="G679" s="136">
        <f t="shared" si="177"/>
        <v>0</v>
      </c>
      <c r="H679" s="136">
        <f t="shared" si="177"/>
        <v>0</v>
      </c>
      <c r="I679" s="37" t="str">
        <f t="shared" si="178"/>
        <v>-</v>
      </c>
      <c r="J679" s="136">
        <f t="shared" si="179"/>
        <v>0</v>
      </c>
      <c r="K679" s="136">
        <f t="shared" si="179"/>
        <v>0</v>
      </c>
      <c r="L679" s="136">
        <f t="shared" si="179"/>
        <v>0</v>
      </c>
      <c r="M679" s="36">
        <f t="shared" si="179"/>
        <v>0</v>
      </c>
      <c r="N679" s="37" t="str">
        <f t="shared" si="176"/>
        <v>-</v>
      </c>
      <c r="O679" s="220"/>
    </row>
    <row r="680" spans="1:15" ht="10.5" hidden="1" customHeight="1" outlineLevel="1">
      <c r="A680" s="30"/>
      <c r="B680" s="33"/>
      <c r="C680" s="34"/>
      <c r="D680" s="29"/>
      <c r="E680" s="29"/>
      <c r="F680" s="35" t="s">
        <v>8</v>
      </c>
      <c r="G680" s="136">
        <f t="shared" si="177"/>
        <v>0</v>
      </c>
      <c r="H680" s="136">
        <f t="shared" si="177"/>
        <v>0</v>
      </c>
      <c r="I680" s="37" t="str">
        <f t="shared" si="178"/>
        <v>-</v>
      </c>
      <c r="J680" s="136">
        <f t="shared" si="179"/>
        <v>0</v>
      </c>
      <c r="K680" s="136">
        <f t="shared" si="179"/>
        <v>0</v>
      </c>
      <c r="L680" s="136">
        <f t="shared" si="179"/>
        <v>0</v>
      </c>
      <c r="M680" s="36">
        <f t="shared" si="179"/>
        <v>0</v>
      </c>
      <c r="N680" s="37" t="str">
        <f t="shared" si="176"/>
        <v>-</v>
      </c>
      <c r="O680" s="220"/>
    </row>
    <row r="681" spans="1:15" ht="10.5" hidden="1" customHeight="1" outlineLevel="1">
      <c r="A681" s="30"/>
      <c r="B681" s="33"/>
      <c r="C681" s="34"/>
      <c r="D681" s="29"/>
      <c r="E681" s="29"/>
      <c r="F681" s="35" t="s">
        <v>22</v>
      </c>
      <c r="G681" s="136">
        <f t="shared" si="177"/>
        <v>0</v>
      </c>
      <c r="H681" s="136">
        <f t="shared" si="177"/>
        <v>0</v>
      </c>
      <c r="I681" s="37" t="str">
        <f t="shared" si="178"/>
        <v>-</v>
      </c>
      <c r="J681" s="136">
        <f t="shared" si="179"/>
        <v>0</v>
      </c>
      <c r="K681" s="136">
        <f t="shared" si="179"/>
        <v>0</v>
      </c>
      <c r="L681" s="136">
        <f t="shared" si="179"/>
        <v>0</v>
      </c>
      <c r="M681" s="36">
        <f t="shared" si="179"/>
        <v>0</v>
      </c>
      <c r="N681" s="37" t="str">
        <f t="shared" si="176"/>
        <v>-</v>
      </c>
      <c r="O681" s="220"/>
    </row>
    <row r="682" spans="1:15" ht="10.5" hidden="1" customHeight="1" outlineLevel="1">
      <c r="A682" s="30"/>
      <c r="B682" s="33"/>
      <c r="C682" s="34"/>
      <c r="D682" s="29"/>
      <c r="E682" s="29"/>
      <c r="F682" s="35" t="s">
        <v>45</v>
      </c>
      <c r="G682" s="136">
        <f t="shared" si="177"/>
        <v>0</v>
      </c>
      <c r="H682" s="136">
        <f t="shared" si="177"/>
        <v>0</v>
      </c>
      <c r="I682" s="37" t="str">
        <f t="shared" si="178"/>
        <v>-</v>
      </c>
      <c r="J682" s="136">
        <f t="shared" si="179"/>
        <v>0</v>
      </c>
      <c r="K682" s="136">
        <f t="shared" si="179"/>
        <v>0</v>
      </c>
      <c r="L682" s="136">
        <f t="shared" si="179"/>
        <v>0</v>
      </c>
      <c r="M682" s="36">
        <f t="shared" si="179"/>
        <v>0</v>
      </c>
      <c r="N682" s="37" t="str">
        <f t="shared" si="176"/>
        <v>-</v>
      </c>
      <c r="O682" s="220"/>
    </row>
    <row r="683" spans="1:15" ht="10.5" hidden="1" customHeight="1" outlineLevel="1">
      <c r="A683" s="30"/>
      <c r="B683" s="33"/>
      <c r="C683" s="34"/>
      <c r="D683" s="29"/>
      <c r="E683" s="29"/>
      <c r="F683" s="35" t="s">
        <v>46</v>
      </c>
      <c r="G683" s="136">
        <f t="shared" si="177"/>
        <v>0</v>
      </c>
      <c r="H683" s="136">
        <f t="shared" si="177"/>
        <v>0</v>
      </c>
      <c r="I683" s="37" t="str">
        <f t="shared" si="178"/>
        <v>-</v>
      </c>
      <c r="J683" s="136">
        <f t="shared" si="179"/>
        <v>0</v>
      </c>
      <c r="K683" s="136">
        <f t="shared" si="179"/>
        <v>0</v>
      </c>
      <c r="L683" s="136">
        <f t="shared" si="179"/>
        <v>0</v>
      </c>
      <c r="M683" s="36">
        <f t="shared" si="179"/>
        <v>0</v>
      </c>
      <c r="N683" s="37" t="str">
        <f t="shared" si="176"/>
        <v>-</v>
      </c>
      <c r="O683" s="220"/>
    </row>
    <row r="684" spans="1:15" ht="3.95" hidden="1" customHeight="1" outlineLevel="1">
      <c r="A684" s="65"/>
      <c r="B684" s="66"/>
      <c r="C684" s="67"/>
      <c r="D684" s="68"/>
      <c r="E684" s="68"/>
      <c r="F684" s="65"/>
      <c r="G684" s="137"/>
      <c r="H684" s="137"/>
      <c r="I684" s="70"/>
      <c r="J684" s="137"/>
      <c r="K684" s="137"/>
      <c r="L684" s="137"/>
      <c r="M684" s="69"/>
      <c r="N684" s="70"/>
      <c r="O684" s="221"/>
    </row>
    <row r="685" spans="1:15" s="95" customFormat="1" ht="3.95" hidden="1" customHeight="1" outlineLevel="1">
      <c r="A685" s="157"/>
      <c r="B685" s="72"/>
      <c r="C685" s="73"/>
      <c r="D685" s="71"/>
      <c r="E685" s="71"/>
      <c r="F685" s="72"/>
      <c r="G685" s="138"/>
      <c r="H685" s="138"/>
      <c r="I685" s="75"/>
      <c r="J685" s="138"/>
      <c r="K685" s="138"/>
      <c r="L685" s="139"/>
      <c r="M685" s="74"/>
      <c r="N685" s="75"/>
      <c r="O685" s="208"/>
    </row>
    <row r="686" spans="1:15" s="95" customFormat="1" ht="10.5" hidden="1" customHeight="1" outlineLevel="1">
      <c r="A686" s="370" t="s">
        <v>1</v>
      </c>
      <c r="B686" s="76" t="s">
        <v>9</v>
      </c>
      <c r="C686" s="77" t="s">
        <v>57</v>
      </c>
      <c r="D686" s="369" t="s">
        <v>61</v>
      </c>
      <c r="E686" s="369" t="s">
        <v>56</v>
      </c>
      <c r="F686" s="78" t="s">
        <v>28</v>
      </c>
      <c r="G686" s="140">
        <f>SUM(G687:G692)</f>
        <v>0</v>
      </c>
      <c r="H686" s="140">
        <f>SUM(H687:H692)</f>
        <v>0</v>
      </c>
      <c r="I686" s="39" t="str">
        <f t="shared" ref="I686:I692" si="180">IF(G686&gt;0,H686/G686*100,"-")</f>
        <v>-</v>
      </c>
      <c r="J686" s="140">
        <f>SUM(J687:J692)</f>
        <v>0</v>
      </c>
      <c r="K686" s="140">
        <f>SUM(K687:K692)</f>
        <v>0</v>
      </c>
      <c r="L686" s="140">
        <f>SUM(L687:L692)</f>
        <v>0</v>
      </c>
      <c r="M686" s="38">
        <f>SUM(M687:M692)</f>
        <v>0</v>
      </c>
      <c r="N686" s="39" t="str">
        <f t="shared" ref="N686:N692" si="181">IF(L686&gt;0,M686/L686*100,"-")</f>
        <v>-</v>
      </c>
      <c r="O686" s="366" t="s">
        <v>272</v>
      </c>
    </row>
    <row r="687" spans="1:15" s="95" customFormat="1" ht="10.5" hidden="1" customHeight="1" outlineLevel="1">
      <c r="A687" s="370"/>
      <c r="B687" s="76" t="s">
        <v>10</v>
      </c>
      <c r="C687" s="77" t="s">
        <v>69</v>
      </c>
      <c r="D687" s="369"/>
      <c r="E687" s="369"/>
      <c r="F687" s="79" t="s">
        <v>15</v>
      </c>
      <c r="G687" s="141">
        <v>0</v>
      </c>
      <c r="H687" s="141">
        <v>0</v>
      </c>
      <c r="I687" s="81" t="str">
        <f t="shared" si="180"/>
        <v>-</v>
      </c>
      <c r="J687" s="141">
        <v>0</v>
      </c>
      <c r="K687" s="142">
        <f t="shared" ref="K687:K692" si="182">L687-J687</f>
        <v>0</v>
      </c>
      <c r="L687" s="141">
        <v>0</v>
      </c>
      <c r="M687" s="80">
        <v>0</v>
      </c>
      <c r="N687" s="81" t="str">
        <f t="shared" si="181"/>
        <v>-</v>
      </c>
      <c r="O687" s="366"/>
    </row>
    <row r="688" spans="1:15" s="95" customFormat="1" ht="10.5" hidden="1" customHeight="1" outlineLevel="1">
      <c r="A688" s="370"/>
      <c r="B688" s="76" t="s">
        <v>11</v>
      </c>
      <c r="C688" s="82" t="s">
        <v>75</v>
      </c>
      <c r="D688" s="369"/>
      <c r="E688" s="369"/>
      <c r="F688" s="79" t="s">
        <v>7</v>
      </c>
      <c r="G688" s="141">
        <v>0</v>
      </c>
      <c r="H688" s="194">
        <v>0</v>
      </c>
      <c r="I688" s="81" t="str">
        <f t="shared" si="180"/>
        <v>-</v>
      </c>
      <c r="J688" s="141">
        <v>0</v>
      </c>
      <c r="K688" s="142">
        <f t="shared" si="182"/>
        <v>0</v>
      </c>
      <c r="L688" s="141">
        <v>0</v>
      </c>
      <c r="M688" s="83">
        <v>0</v>
      </c>
      <c r="N688" s="81" t="str">
        <f t="shared" si="181"/>
        <v>-</v>
      </c>
      <c r="O688" s="366"/>
    </row>
    <row r="689" spans="1:15" s="95" customFormat="1" ht="10.5" hidden="1" customHeight="1" outlineLevel="1">
      <c r="A689" s="120"/>
      <c r="B689" s="76" t="s">
        <v>12</v>
      </c>
      <c r="C689" s="82" t="s">
        <v>353</v>
      </c>
      <c r="D689" s="111"/>
      <c r="E689" s="111"/>
      <c r="F689" s="79" t="s">
        <v>8</v>
      </c>
      <c r="G689" s="141">
        <v>0</v>
      </c>
      <c r="H689" s="194">
        <v>0</v>
      </c>
      <c r="I689" s="81" t="str">
        <f t="shared" si="180"/>
        <v>-</v>
      </c>
      <c r="J689" s="141">
        <v>0</v>
      </c>
      <c r="K689" s="142">
        <f t="shared" si="182"/>
        <v>0</v>
      </c>
      <c r="L689" s="141">
        <v>0</v>
      </c>
      <c r="M689" s="80">
        <v>0</v>
      </c>
      <c r="N689" s="81" t="str">
        <f t="shared" si="181"/>
        <v>-</v>
      </c>
      <c r="O689" s="366"/>
    </row>
    <row r="690" spans="1:15" s="95" customFormat="1" ht="10.5" hidden="1" customHeight="1" outlineLevel="1">
      <c r="A690" s="120"/>
      <c r="B690" s="76" t="s">
        <v>23</v>
      </c>
      <c r="C690" s="82" t="s">
        <v>76</v>
      </c>
      <c r="D690" s="111"/>
      <c r="E690" s="111"/>
      <c r="F690" s="79" t="s">
        <v>22</v>
      </c>
      <c r="G690" s="141">
        <v>0</v>
      </c>
      <c r="H690" s="194">
        <v>0</v>
      </c>
      <c r="I690" s="81" t="str">
        <f t="shared" si="180"/>
        <v>-</v>
      </c>
      <c r="J690" s="141">
        <v>0</v>
      </c>
      <c r="K690" s="142">
        <f t="shared" si="182"/>
        <v>0</v>
      </c>
      <c r="L690" s="141">
        <v>0</v>
      </c>
      <c r="M690" s="83">
        <v>0</v>
      </c>
      <c r="N690" s="81" t="str">
        <f t="shared" si="181"/>
        <v>-</v>
      </c>
      <c r="O690" s="366"/>
    </row>
    <row r="691" spans="1:15" s="95" customFormat="1" ht="10.5" hidden="1" customHeight="1" outlineLevel="1">
      <c r="A691" s="120"/>
      <c r="B691" s="76"/>
      <c r="C691" s="82" t="s">
        <v>77</v>
      </c>
      <c r="D691" s="111"/>
      <c r="E691" s="111"/>
      <c r="F691" s="107" t="s">
        <v>45</v>
      </c>
      <c r="G691" s="142">
        <v>0</v>
      </c>
      <c r="H691" s="142">
        <v>0</v>
      </c>
      <c r="I691" s="81" t="str">
        <f t="shared" si="180"/>
        <v>-</v>
      </c>
      <c r="J691" s="142">
        <v>0</v>
      </c>
      <c r="K691" s="142">
        <f t="shared" si="182"/>
        <v>0</v>
      </c>
      <c r="L691" s="141">
        <v>0</v>
      </c>
      <c r="M691" s="89">
        <v>0</v>
      </c>
      <c r="N691" s="81" t="str">
        <f t="shared" si="181"/>
        <v>-</v>
      </c>
      <c r="O691" s="366"/>
    </row>
    <row r="692" spans="1:15" s="95" customFormat="1" ht="10.5" hidden="1" customHeight="1" outlineLevel="1">
      <c r="A692" s="120"/>
      <c r="B692" s="76"/>
      <c r="C692" s="82" t="s">
        <v>78</v>
      </c>
      <c r="D692" s="111"/>
      <c r="E692" s="111"/>
      <c r="F692" s="107" t="s">
        <v>46</v>
      </c>
      <c r="G692" s="142">
        <v>0</v>
      </c>
      <c r="H692" s="142">
        <v>0</v>
      </c>
      <c r="I692" s="81" t="str">
        <f t="shared" si="180"/>
        <v>-</v>
      </c>
      <c r="J692" s="142">
        <v>0</v>
      </c>
      <c r="K692" s="142">
        <f t="shared" si="182"/>
        <v>0</v>
      </c>
      <c r="L692" s="141">
        <v>0</v>
      </c>
      <c r="M692" s="89">
        <v>0</v>
      </c>
      <c r="N692" s="81" t="str">
        <f t="shared" si="181"/>
        <v>-</v>
      </c>
      <c r="O692" s="366"/>
    </row>
    <row r="693" spans="1:15" s="95" customFormat="1" ht="10.5" hidden="1" customHeight="1" outlineLevel="1">
      <c r="A693" s="120"/>
      <c r="B693" s="76"/>
      <c r="C693" s="82" t="s">
        <v>79</v>
      </c>
      <c r="D693" s="111"/>
      <c r="E693" s="111"/>
      <c r="F693" s="107"/>
      <c r="G693" s="142"/>
      <c r="H693" s="142"/>
      <c r="I693" s="81"/>
      <c r="J693" s="142"/>
      <c r="K693" s="142"/>
      <c r="L693" s="141"/>
      <c r="M693" s="89"/>
      <c r="N693" s="81"/>
      <c r="O693" s="356"/>
    </row>
    <row r="694" spans="1:15" s="95" customFormat="1" ht="3.95" hidden="1" customHeight="1" outlineLevel="1">
      <c r="A694" s="121"/>
      <c r="B694" s="85"/>
      <c r="C694" s="86"/>
      <c r="D694" s="84"/>
      <c r="E694" s="84"/>
      <c r="F694" s="85"/>
      <c r="G694" s="143"/>
      <c r="H694" s="143"/>
      <c r="I694" s="88"/>
      <c r="J694" s="143"/>
      <c r="K694" s="143"/>
      <c r="L694" s="144"/>
      <c r="M694" s="87"/>
      <c r="N694" s="88"/>
      <c r="O694" s="222"/>
    </row>
    <row r="695" spans="1:15" ht="3.95" customHeight="1" collapsed="1">
      <c r="A695" s="59"/>
      <c r="B695" s="60"/>
      <c r="C695" s="61"/>
      <c r="D695" s="62"/>
      <c r="E695" s="62"/>
      <c r="F695" s="59"/>
      <c r="G695" s="134"/>
      <c r="H695" s="134"/>
      <c r="I695" s="64"/>
      <c r="J695" s="134"/>
      <c r="K695" s="134"/>
      <c r="L695" s="134"/>
      <c r="M695" s="63"/>
      <c r="N695" s="64"/>
      <c r="O695" s="219"/>
    </row>
    <row r="696" spans="1:15" ht="11.45" customHeight="1">
      <c r="A696" s="28" t="s">
        <v>66</v>
      </c>
      <c r="B696" s="371" t="s">
        <v>183</v>
      </c>
      <c r="C696" s="372"/>
      <c r="D696" s="29"/>
      <c r="E696" s="29"/>
      <c r="F696" s="30"/>
      <c r="G696" s="135">
        <f>SUM(G697:G702)</f>
        <v>625161509</v>
      </c>
      <c r="H696" s="135">
        <f>SUM(H697:H702)</f>
        <v>201426855</v>
      </c>
      <c r="I696" s="32">
        <f>IF(G696&gt;0,H696/G696*100,"-")</f>
        <v>32.21997069560468</v>
      </c>
      <c r="J696" s="135">
        <f>SUM(J697:J702)</f>
        <v>212233921</v>
      </c>
      <c r="K696" s="135">
        <f>SUM(K697:K702)</f>
        <v>-73149423</v>
      </c>
      <c r="L696" s="135">
        <f>SUM(L697:L702)</f>
        <v>139084498</v>
      </c>
      <c r="M696" s="31">
        <f>SUM(M697:M702)</f>
        <v>132042260.92999999</v>
      </c>
      <c r="N696" s="32">
        <f t="shared" ref="N696:N702" si="183">IF(L696&gt;0,M696/L696*100,"-")</f>
        <v>94.93672035973411</v>
      </c>
      <c r="O696" s="220"/>
    </row>
    <row r="697" spans="1:15" ht="11.45" customHeight="1">
      <c r="A697" s="30"/>
      <c r="B697" s="33"/>
      <c r="C697" s="34"/>
      <c r="D697" s="29"/>
      <c r="E697" s="29"/>
      <c r="F697" s="35" t="s">
        <v>15</v>
      </c>
      <c r="G697" s="136">
        <f>G706+G715+G725+G734+G744+G753+G763+G772+G783+G794+G804+G815+G825+G836+G846+G857+G867+G879+G889</f>
        <v>116233680</v>
      </c>
      <c r="H697" s="136">
        <f>H706+H715+H725+H734+H744+H753+H763+H772+H783+H794+H804+H815+H825+H836+H846+H857+H867+H879+H889</f>
        <v>27399610</v>
      </c>
      <c r="I697" s="37">
        <f t="shared" ref="I697:I702" si="184">IF(G697&gt;0,H697/G697*100,"-")</f>
        <v>23.572866315511991</v>
      </c>
      <c r="J697" s="136">
        <f>J706+J715+J725+J734+J744+J753+J763+J772+J783+J794+J804+J815+J825+J836+J846+J857+J867+J879+J889</f>
        <v>480000</v>
      </c>
      <c r="K697" s="136">
        <f>K706+K715+K725+K734+K744+K753+K763+K772+K783+K794+K804+K815+K825+K836+K846+K857+K867+K879+K889</f>
        <v>3691336</v>
      </c>
      <c r="L697" s="136">
        <f>L706+L715+L725+L734+L744+L753+L763+L772+L783+L794+L804+L815+L825+L836+L846+L857+L867+L879+L889</f>
        <v>4171336</v>
      </c>
      <c r="M697" s="36">
        <f>M706+M715+M725+M734+M744+M753+M763+M772+M783+M794+M804+M815+M825+M836+M846+M857+M867+M879+M889</f>
        <v>3372528.85</v>
      </c>
      <c r="N697" s="37">
        <f t="shared" si="183"/>
        <v>80.850088556759758</v>
      </c>
      <c r="O697" s="220"/>
    </row>
    <row r="698" spans="1:15" ht="11.45" customHeight="1">
      <c r="A698" s="30"/>
      <c r="B698" s="33"/>
      <c r="C698" s="34"/>
      <c r="D698" s="29"/>
      <c r="E698" s="29"/>
      <c r="F698" s="35" t="s">
        <v>7</v>
      </c>
      <c r="G698" s="136">
        <f t="shared" ref="G698:H702" si="185">G707+G716+G726+G735+G745+G754+G764+G773+G784+G795+G805+G816+G826+G837+G847+G858+G868+G880+G890</f>
        <v>365989331</v>
      </c>
      <c r="H698" s="136">
        <f t="shared" si="185"/>
        <v>107876362</v>
      </c>
      <c r="I698" s="37">
        <f t="shared" si="184"/>
        <v>29.475275059315869</v>
      </c>
      <c r="J698" s="136">
        <f t="shared" ref="J698:M702" si="186">J707+J716+J726+J735+J745+J754+J764+J773+J784+J795+J805+J816+J826+J837+J847+J858+J868+J880+J890</f>
        <v>151465292</v>
      </c>
      <c r="K698" s="136">
        <f t="shared" si="186"/>
        <v>-71580829</v>
      </c>
      <c r="L698" s="136">
        <f t="shared" si="186"/>
        <v>79884463</v>
      </c>
      <c r="M698" s="36">
        <f t="shared" si="186"/>
        <v>77328664.920000002</v>
      </c>
      <c r="N698" s="37">
        <f t="shared" si="183"/>
        <v>96.8006318325004</v>
      </c>
      <c r="O698" s="220"/>
    </row>
    <row r="699" spans="1:15" ht="11.45" customHeight="1">
      <c r="A699" s="30"/>
      <c r="B699" s="33"/>
      <c r="C699" s="34"/>
      <c r="D699" s="29"/>
      <c r="E699" s="29"/>
      <c r="F699" s="35" t="s">
        <v>8</v>
      </c>
      <c r="G699" s="136">
        <f t="shared" si="185"/>
        <v>139793910</v>
      </c>
      <c r="H699" s="136">
        <f t="shared" si="185"/>
        <v>63046991</v>
      </c>
      <c r="I699" s="37">
        <f t="shared" si="184"/>
        <v>45.099955355708985</v>
      </c>
      <c r="J699" s="136">
        <f t="shared" si="186"/>
        <v>60288629</v>
      </c>
      <c r="K699" s="136">
        <f t="shared" si="186"/>
        <v>-8404518</v>
      </c>
      <c r="L699" s="136">
        <f t="shared" si="186"/>
        <v>51884111</v>
      </c>
      <c r="M699" s="36">
        <f t="shared" si="186"/>
        <v>48237177.729999989</v>
      </c>
      <c r="N699" s="37">
        <f t="shared" si="183"/>
        <v>92.971001719582304</v>
      </c>
      <c r="O699" s="220"/>
    </row>
    <row r="700" spans="1:15" ht="11.45" customHeight="1">
      <c r="A700" s="30"/>
      <c r="B700" s="33"/>
      <c r="C700" s="34"/>
      <c r="D700" s="29"/>
      <c r="E700" s="29"/>
      <c r="F700" s="35" t="s">
        <v>22</v>
      </c>
      <c r="G700" s="136">
        <f t="shared" si="185"/>
        <v>2064759</v>
      </c>
      <c r="H700" s="136">
        <f t="shared" si="185"/>
        <v>2064759</v>
      </c>
      <c r="I700" s="37">
        <f t="shared" si="184"/>
        <v>100</v>
      </c>
      <c r="J700" s="136">
        <f t="shared" si="186"/>
        <v>0</v>
      </c>
      <c r="K700" s="136">
        <f t="shared" si="186"/>
        <v>2064759</v>
      </c>
      <c r="L700" s="136">
        <f t="shared" si="186"/>
        <v>2064759</v>
      </c>
      <c r="M700" s="36">
        <f t="shared" si="186"/>
        <v>2064758.76</v>
      </c>
      <c r="N700" s="37">
        <f t="shared" si="183"/>
        <v>99.999988376367412</v>
      </c>
      <c r="O700" s="220"/>
    </row>
    <row r="701" spans="1:15" ht="11.45" customHeight="1">
      <c r="A701" s="30"/>
      <c r="B701" s="33"/>
      <c r="C701" s="34"/>
      <c r="D701" s="29"/>
      <c r="E701" s="29"/>
      <c r="F701" s="35" t="s">
        <v>45</v>
      </c>
      <c r="G701" s="136">
        <f t="shared" si="185"/>
        <v>0</v>
      </c>
      <c r="H701" s="136">
        <f t="shared" si="185"/>
        <v>0</v>
      </c>
      <c r="I701" s="37" t="str">
        <f t="shared" si="184"/>
        <v>-</v>
      </c>
      <c r="J701" s="136">
        <f t="shared" si="186"/>
        <v>0</v>
      </c>
      <c r="K701" s="136">
        <f t="shared" si="186"/>
        <v>0</v>
      </c>
      <c r="L701" s="136">
        <f t="shared" si="186"/>
        <v>0</v>
      </c>
      <c r="M701" s="36">
        <f t="shared" si="186"/>
        <v>0</v>
      </c>
      <c r="N701" s="37" t="str">
        <f t="shared" si="183"/>
        <v>-</v>
      </c>
      <c r="O701" s="220"/>
    </row>
    <row r="702" spans="1:15" ht="11.45" customHeight="1">
      <c r="A702" s="30"/>
      <c r="B702" s="33"/>
      <c r="C702" s="34"/>
      <c r="D702" s="29"/>
      <c r="E702" s="29"/>
      <c r="F702" s="35" t="s">
        <v>46</v>
      </c>
      <c r="G702" s="136">
        <f t="shared" si="185"/>
        <v>1079829</v>
      </c>
      <c r="H702" s="136">
        <f t="shared" si="185"/>
        <v>1039133</v>
      </c>
      <c r="I702" s="37">
        <f t="shared" si="184"/>
        <v>96.231255133914715</v>
      </c>
      <c r="J702" s="136">
        <f t="shared" si="186"/>
        <v>0</v>
      </c>
      <c r="K702" s="136">
        <f t="shared" si="186"/>
        <v>1079829</v>
      </c>
      <c r="L702" s="136">
        <f t="shared" si="186"/>
        <v>1079829</v>
      </c>
      <c r="M702" s="36">
        <f t="shared" si="186"/>
        <v>1039130.6699999999</v>
      </c>
      <c r="N702" s="37">
        <f t="shared" si="183"/>
        <v>96.231039359009614</v>
      </c>
      <c r="O702" s="220"/>
    </row>
    <row r="703" spans="1:15" ht="3.95" customHeight="1">
      <c r="A703" s="65"/>
      <c r="B703" s="66"/>
      <c r="C703" s="67"/>
      <c r="D703" s="68"/>
      <c r="E703" s="68"/>
      <c r="F703" s="65"/>
      <c r="G703" s="137"/>
      <c r="H703" s="137"/>
      <c r="I703" s="70"/>
      <c r="J703" s="137"/>
      <c r="K703" s="137"/>
      <c r="L703" s="137"/>
      <c r="M703" s="69"/>
      <c r="N703" s="70"/>
      <c r="O703" s="221"/>
    </row>
    <row r="704" spans="1:15" ht="3.95" customHeight="1" outlineLevel="1">
      <c r="A704" s="157"/>
      <c r="B704" s="72"/>
      <c r="C704" s="73"/>
      <c r="D704" s="71"/>
      <c r="E704" s="71"/>
      <c r="F704" s="72"/>
      <c r="G704" s="138"/>
      <c r="H704" s="138"/>
      <c r="I704" s="75"/>
      <c r="J704" s="138"/>
      <c r="K704" s="138"/>
      <c r="L704" s="139"/>
      <c r="M704" s="74"/>
      <c r="N704" s="75"/>
      <c r="O704" s="208"/>
    </row>
    <row r="705" spans="1:15" ht="11.1" customHeight="1" outlineLevel="1">
      <c r="A705" s="370" t="s">
        <v>1</v>
      </c>
      <c r="B705" s="76" t="s">
        <v>9</v>
      </c>
      <c r="C705" s="151" t="s">
        <v>184</v>
      </c>
      <c r="D705" s="369" t="s">
        <v>188</v>
      </c>
      <c r="E705" s="369" t="s">
        <v>189</v>
      </c>
      <c r="F705" s="78" t="s">
        <v>28</v>
      </c>
      <c r="G705" s="140">
        <f>SUM(G706:G711)</f>
        <v>150167484</v>
      </c>
      <c r="H705" s="140">
        <f>SUM(H706:H711)</f>
        <v>15084377</v>
      </c>
      <c r="I705" s="39">
        <f t="shared" ref="I705:I711" si="187">IF(G705&gt;0,H705/G705*100,"-")</f>
        <v>10.045035448552897</v>
      </c>
      <c r="J705" s="140">
        <f>SUM(J706:J711)</f>
        <v>500000</v>
      </c>
      <c r="K705" s="140">
        <f>SUM(K706:K711)</f>
        <v>272868</v>
      </c>
      <c r="L705" s="140">
        <f>SUM(L706:L711)</f>
        <v>772868</v>
      </c>
      <c r="M705" s="38">
        <f>SUM(M706:M711)</f>
        <v>144159.95000000001</v>
      </c>
      <c r="N705" s="39">
        <f t="shared" ref="N705:N711" si="188">IF(L705&gt;0,M705/L705*100,"-")</f>
        <v>18.652596562414281</v>
      </c>
      <c r="O705" s="366" t="s">
        <v>256</v>
      </c>
    </row>
    <row r="706" spans="1:15" ht="11.1" customHeight="1" outlineLevel="1">
      <c r="A706" s="370"/>
      <c r="B706" s="76" t="s">
        <v>10</v>
      </c>
      <c r="C706" s="151" t="s">
        <v>184</v>
      </c>
      <c r="D706" s="369"/>
      <c r="E706" s="369"/>
      <c r="F706" s="79" t="s">
        <v>15</v>
      </c>
      <c r="G706" s="141">
        <v>34784705</v>
      </c>
      <c r="H706" s="141">
        <v>14584377</v>
      </c>
      <c r="I706" s="81">
        <f t="shared" si="187"/>
        <v>41.92755695355185</v>
      </c>
      <c r="J706" s="141">
        <v>0</v>
      </c>
      <c r="K706" s="142">
        <f t="shared" ref="K706:K711" si="189">L706-J706</f>
        <v>772868</v>
      </c>
      <c r="L706" s="141">
        <v>772868</v>
      </c>
      <c r="M706" s="83">
        <v>144159.95000000001</v>
      </c>
      <c r="N706" s="81">
        <f t="shared" si="188"/>
        <v>18.652596562414281</v>
      </c>
      <c r="O706" s="366"/>
    </row>
    <row r="707" spans="1:15" ht="11.1" customHeight="1" outlineLevel="1">
      <c r="A707" s="370"/>
      <c r="B707" s="76" t="s">
        <v>11</v>
      </c>
      <c r="C707" s="82" t="s">
        <v>184</v>
      </c>
      <c r="D707" s="369"/>
      <c r="E707" s="369"/>
      <c r="F707" s="79" t="s">
        <v>7</v>
      </c>
      <c r="G707" s="141">
        <v>114882779</v>
      </c>
      <c r="H707" s="141">
        <v>0</v>
      </c>
      <c r="I707" s="81">
        <f t="shared" si="187"/>
        <v>0</v>
      </c>
      <c r="J707" s="141">
        <v>0</v>
      </c>
      <c r="K707" s="142">
        <f t="shared" si="189"/>
        <v>0</v>
      </c>
      <c r="L707" s="141">
        <v>0</v>
      </c>
      <c r="M707" s="83">
        <v>0</v>
      </c>
      <c r="N707" s="81" t="str">
        <f t="shared" si="188"/>
        <v>-</v>
      </c>
      <c r="O707" s="366"/>
    </row>
    <row r="708" spans="1:15" ht="11.1" customHeight="1" outlineLevel="1">
      <c r="A708" s="120"/>
      <c r="B708" s="76" t="s">
        <v>12</v>
      </c>
      <c r="C708" s="82" t="s">
        <v>435</v>
      </c>
      <c r="D708" s="111"/>
      <c r="E708" s="111"/>
      <c r="F708" s="79" t="s">
        <v>8</v>
      </c>
      <c r="G708" s="141">
        <v>500000</v>
      </c>
      <c r="H708" s="141">
        <v>500000</v>
      </c>
      <c r="I708" s="81">
        <f t="shared" si="187"/>
        <v>100</v>
      </c>
      <c r="J708" s="141">
        <v>500000</v>
      </c>
      <c r="K708" s="142">
        <f t="shared" si="189"/>
        <v>-500000</v>
      </c>
      <c r="L708" s="141">
        <v>0</v>
      </c>
      <c r="M708" s="80">
        <v>0</v>
      </c>
      <c r="N708" s="81" t="str">
        <f t="shared" si="188"/>
        <v>-</v>
      </c>
      <c r="O708" s="366"/>
    </row>
    <row r="709" spans="1:15" ht="11.1" customHeight="1" outlineLevel="1">
      <c r="A709" s="120"/>
      <c r="B709" s="76" t="s">
        <v>23</v>
      </c>
      <c r="C709" s="82" t="s">
        <v>185</v>
      </c>
      <c r="D709" s="111"/>
      <c r="E709" s="111"/>
      <c r="F709" s="79" t="s">
        <v>22</v>
      </c>
      <c r="G709" s="142">
        <v>0</v>
      </c>
      <c r="H709" s="142">
        <v>0</v>
      </c>
      <c r="I709" s="81" t="str">
        <f t="shared" si="187"/>
        <v>-</v>
      </c>
      <c r="J709" s="142">
        <v>0</v>
      </c>
      <c r="K709" s="142">
        <f t="shared" si="189"/>
        <v>0</v>
      </c>
      <c r="L709" s="141">
        <v>0</v>
      </c>
      <c r="M709" s="89">
        <v>0</v>
      </c>
      <c r="N709" s="81" t="str">
        <f t="shared" si="188"/>
        <v>-</v>
      </c>
      <c r="O709" s="366"/>
    </row>
    <row r="710" spans="1:15" ht="11.1" customHeight="1" outlineLevel="1">
      <c r="A710" s="120"/>
      <c r="B710" s="76"/>
      <c r="C710" s="82"/>
      <c r="D710" s="111"/>
      <c r="E710" s="111"/>
      <c r="F710" s="107" t="s">
        <v>45</v>
      </c>
      <c r="G710" s="142">
        <v>0</v>
      </c>
      <c r="H710" s="142">
        <v>0</v>
      </c>
      <c r="I710" s="81" t="str">
        <f t="shared" si="187"/>
        <v>-</v>
      </c>
      <c r="J710" s="142">
        <v>0</v>
      </c>
      <c r="K710" s="142">
        <f t="shared" si="189"/>
        <v>0</v>
      </c>
      <c r="L710" s="141">
        <v>0</v>
      </c>
      <c r="M710" s="89">
        <v>0</v>
      </c>
      <c r="N710" s="81" t="str">
        <f t="shared" si="188"/>
        <v>-</v>
      </c>
      <c r="O710" s="366"/>
    </row>
    <row r="711" spans="1:15" ht="11.1" customHeight="1" outlineLevel="1">
      <c r="A711" s="120"/>
      <c r="B711" s="76"/>
      <c r="C711" s="82"/>
      <c r="D711" s="111"/>
      <c r="E711" s="111"/>
      <c r="F711" s="107" t="s">
        <v>46</v>
      </c>
      <c r="G711" s="142">
        <v>0</v>
      </c>
      <c r="H711" s="142">
        <v>0</v>
      </c>
      <c r="I711" s="81" t="str">
        <f t="shared" si="187"/>
        <v>-</v>
      </c>
      <c r="J711" s="142">
        <v>0</v>
      </c>
      <c r="K711" s="142">
        <f t="shared" si="189"/>
        <v>0</v>
      </c>
      <c r="L711" s="141">
        <v>0</v>
      </c>
      <c r="M711" s="89">
        <v>0</v>
      </c>
      <c r="N711" s="81" t="str">
        <f t="shared" si="188"/>
        <v>-</v>
      </c>
      <c r="O711" s="366"/>
    </row>
    <row r="712" spans="1:15" ht="3.95" customHeight="1" outlineLevel="1">
      <c r="A712" s="121"/>
      <c r="B712" s="85"/>
      <c r="C712" s="86"/>
      <c r="D712" s="84"/>
      <c r="E712" s="84"/>
      <c r="F712" s="85"/>
      <c r="G712" s="143"/>
      <c r="H712" s="143"/>
      <c r="I712" s="85"/>
      <c r="J712" s="143"/>
      <c r="K712" s="143"/>
      <c r="L712" s="144"/>
      <c r="M712" s="87"/>
      <c r="N712" s="88"/>
      <c r="O712" s="222"/>
    </row>
    <row r="713" spans="1:15" ht="3.95" customHeight="1" outlineLevel="1">
      <c r="A713" s="157"/>
      <c r="B713" s="72"/>
      <c r="C713" s="73"/>
      <c r="D713" s="71"/>
      <c r="E713" s="71"/>
      <c r="F713" s="72"/>
      <c r="G713" s="138"/>
      <c r="H713" s="138"/>
      <c r="I713" s="75"/>
      <c r="J713" s="138"/>
      <c r="K713" s="138"/>
      <c r="L713" s="139"/>
      <c r="M713" s="74"/>
      <c r="N713" s="75"/>
      <c r="O713" s="208"/>
    </row>
    <row r="714" spans="1:15" ht="11.1" customHeight="1" outlineLevel="1">
      <c r="A714" s="370" t="s">
        <v>51</v>
      </c>
      <c r="B714" s="76" t="s">
        <v>9</v>
      </c>
      <c r="C714" s="77" t="s">
        <v>119</v>
      </c>
      <c r="D714" s="369" t="s">
        <v>61</v>
      </c>
      <c r="E714" s="369" t="s">
        <v>187</v>
      </c>
      <c r="F714" s="78" t="s">
        <v>28</v>
      </c>
      <c r="G714" s="140">
        <f>SUM(G715:G720)</f>
        <v>5887267</v>
      </c>
      <c r="H714" s="140">
        <f>SUM(H715:H720)</f>
        <v>5887267</v>
      </c>
      <c r="I714" s="39">
        <f t="shared" ref="I714:I720" si="190">IF(G714&gt;0,H714/G714*100,"-")</f>
        <v>100</v>
      </c>
      <c r="J714" s="140">
        <f>SUM(J715:J720)</f>
        <v>270012</v>
      </c>
      <c r="K714" s="140">
        <f>SUM(K715:K720)</f>
        <v>292479</v>
      </c>
      <c r="L714" s="140">
        <f>SUM(L715:L720)</f>
        <v>562491</v>
      </c>
      <c r="M714" s="38">
        <f>SUM(M715:M720)</f>
        <v>562490.9</v>
      </c>
      <c r="N714" s="39">
        <f t="shared" ref="N714:N720" si="191">IF(L714&gt;0,M714/L714*100,"-")</f>
        <v>99.999982221937785</v>
      </c>
      <c r="O714" s="366" t="s">
        <v>257</v>
      </c>
    </row>
    <row r="715" spans="1:15" ht="11.1" customHeight="1" outlineLevel="1">
      <c r="A715" s="370"/>
      <c r="B715" s="76" t="s">
        <v>10</v>
      </c>
      <c r="C715" s="77" t="s">
        <v>120</v>
      </c>
      <c r="D715" s="369"/>
      <c r="E715" s="369"/>
      <c r="F715" s="79" t="s">
        <v>15</v>
      </c>
      <c r="G715" s="141">
        <v>97087</v>
      </c>
      <c r="H715" s="141">
        <v>97087</v>
      </c>
      <c r="I715" s="81">
        <f t="shared" si="190"/>
        <v>100</v>
      </c>
      <c r="J715" s="141">
        <v>0</v>
      </c>
      <c r="K715" s="142">
        <f t="shared" ref="K715:K720" si="192">L715-J715</f>
        <v>20116</v>
      </c>
      <c r="L715" s="141">
        <v>20116</v>
      </c>
      <c r="M715" s="83">
        <v>20116</v>
      </c>
      <c r="N715" s="81">
        <f t="shared" si="191"/>
        <v>100</v>
      </c>
      <c r="O715" s="366"/>
    </row>
    <row r="716" spans="1:15" ht="11.1" customHeight="1" outlineLevel="1">
      <c r="A716" s="370"/>
      <c r="B716" s="76" t="s">
        <v>11</v>
      </c>
      <c r="C716" s="82" t="s">
        <v>121</v>
      </c>
      <c r="D716" s="369"/>
      <c r="E716" s="369"/>
      <c r="F716" s="79" t="s">
        <v>7</v>
      </c>
      <c r="G716" s="141">
        <v>5443685</v>
      </c>
      <c r="H716" s="141">
        <v>5443685</v>
      </c>
      <c r="I716" s="81">
        <f t="shared" si="190"/>
        <v>100</v>
      </c>
      <c r="J716" s="141">
        <v>191904</v>
      </c>
      <c r="K716" s="142">
        <f t="shared" si="192"/>
        <v>328154</v>
      </c>
      <c r="L716" s="141">
        <v>520058</v>
      </c>
      <c r="M716" s="83">
        <v>520057.9</v>
      </c>
      <c r="N716" s="81">
        <f t="shared" si="191"/>
        <v>99.999980771375505</v>
      </c>
      <c r="O716" s="366"/>
    </row>
    <row r="717" spans="1:15" ht="11.1" customHeight="1" outlineLevel="1">
      <c r="A717" s="120"/>
      <c r="B717" s="76" t="s">
        <v>12</v>
      </c>
      <c r="C717" s="82" t="s">
        <v>423</v>
      </c>
      <c r="D717" s="111"/>
      <c r="E717" s="111"/>
      <c r="F717" s="79" t="s">
        <v>8</v>
      </c>
      <c r="G717" s="141">
        <v>346495</v>
      </c>
      <c r="H717" s="141">
        <v>346495</v>
      </c>
      <c r="I717" s="81">
        <f t="shared" si="190"/>
        <v>100</v>
      </c>
      <c r="J717" s="141">
        <v>78108</v>
      </c>
      <c r="K717" s="142">
        <f t="shared" si="192"/>
        <v>-55791</v>
      </c>
      <c r="L717" s="141">
        <v>22317</v>
      </c>
      <c r="M717" s="80">
        <v>22317</v>
      </c>
      <c r="N717" s="81">
        <f t="shared" si="191"/>
        <v>100</v>
      </c>
      <c r="O717" s="366"/>
    </row>
    <row r="718" spans="1:15" ht="11.1" customHeight="1" outlineLevel="1">
      <c r="A718" s="120"/>
      <c r="B718" s="76"/>
      <c r="C718" s="82" t="s">
        <v>436</v>
      </c>
      <c r="D718" s="111"/>
      <c r="E718" s="111"/>
      <c r="F718" s="79" t="s">
        <v>22</v>
      </c>
      <c r="G718" s="142">
        <v>0</v>
      </c>
      <c r="H718" s="142">
        <v>0</v>
      </c>
      <c r="I718" s="81" t="str">
        <f t="shared" si="190"/>
        <v>-</v>
      </c>
      <c r="J718" s="142">
        <v>0</v>
      </c>
      <c r="K718" s="142">
        <f t="shared" si="192"/>
        <v>0</v>
      </c>
      <c r="L718" s="141">
        <v>0</v>
      </c>
      <c r="M718" s="89">
        <v>0</v>
      </c>
      <c r="N718" s="81" t="str">
        <f t="shared" si="191"/>
        <v>-</v>
      </c>
      <c r="O718" s="366"/>
    </row>
    <row r="719" spans="1:15" ht="11.1" customHeight="1" outlineLevel="1">
      <c r="A719" s="120"/>
      <c r="B719" s="76" t="s">
        <v>23</v>
      </c>
      <c r="C719" s="82" t="s">
        <v>186</v>
      </c>
      <c r="D719" s="111"/>
      <c r="E719" s="111"/>
      <c r="F719" s="107" t="s">
        <v>45</v>
      </c>
      <c r="G719" s="142">
        <v>0</v>
      </c>
      <c r="H719" s="142">
        <v>0</v>
      </c>
      <c r="I719" s="81" t="str">
        <f t="shared" si="190"/>
        <v>-</v>
      </c>
      <c r="J719" s="142">
        <v>0</v>
      </c>
      <c r="K719" s="142">
        <f t="shared" si="192"/>
        <v>0</v>
      </c>
      <c r="L719" s="141">
        <v>0</v>
      </c>
      <c r="M719" s="89">
        <v>0</v>
      </c>
      <c r="N719" s="81" t="str">
        <f t="shared" si="191"/>
        <v>-</v>
      </c>
      <c r="O719" s="366"/>
    </row>
    <row r="720" spans="1:15" ht="11.1" customHeight="1" outlineLevel="1">
      <c r="A720" s="120"/>
      <c r="B720" s="76"/>
      <c r="C720" s="82"/>
      <c r="D720" s="111"/>
      <c r="E720" s="111"/>
      <c r="F720" s="107" t="s">
        <v>46</v>
      </c>
      <c r="G720" s="142">
        <v>0</v>
      </c>
      <c r="H720" s="142">
        <v>0</v>
      </c>
      <c r="I720" s="81" t="str">
        <f t="shared" si="190"/>
        <v>-</v>
      </c>
      <c r="J720" s="142">
        <v>0</v>
      </c>
      <c r="K720" s="142">
        <f t="shared" si="192"/>
        <v>0</v>
      </c>
      <c r="L720" s="141">
        <v>0</v>
      </c>
      <c r="M720" s="89">
        <v>0</v>
      </c>
      <c r="N720" s="81" t="str">
        <f t="shared" si="191"/>
        <v>-</v>
      </c>
      <c r="O720" s="366"/>
    </row>
    <row r="721" spans="1:15" ht="46.5" customHeight="1" outlineLevel="1">
      <c r="A721" s="120"/>
      <c r="B721" s="76"/>
      <c r="C721" s="82"/>
      <c r="D721" s="111"/>
      <c r="E721" s="111"/>
      <c r="F721" s="107"/>
      <c r="G721" s="142"/>
      <c r="H721" s="142"/>
      <c r="I721" s="152"/>
      <c r="J721" s="142"/>
      <c r="K721" s="142"/>
      <c r="L721" s="141"/>
      <c r="M721" s="89"/>
      <c r="N721" s="81"/>
      <c r="O721" s="366"/>
    </row>
    <row r="722" spans="1:15" ht="3.95" customHeight="1" outlineLevel="1">
      <c r="A722" s="121"/>
      <c r="B722" s="85"/>
      <c r="C722" s="86"/>
      <c r="D722" s="84"/>
      <c r="E722" s="84"/>
      <c r="F722" s="85"/>
      <c r="G722" s="143"/>
      <c r="H722" s="143"/>
      <c r="I722" s="85"/>
      <c r="J722" s="143"/>
      <c r="K722" s="143"/>
      <c r="L722" s="144"/>
      <c r="M722" s="87"/>
      <c r="N722" s="88"/>
      <c r="O722" s="222"/>
    </row>
    <row r="723" spans="1:15" ht="3.95" customHeight="1" outlineLevel="1">
      <c r="A723" s="157"/>
      <c r="B723" s="72"/>
      <c r="C723" s="73"/>
      <c r="D723" s="71"/>
      <c r="E723" s="71"/>
      <c r="F723" s="72"/>
      <c r="G723" s="138"/>
      <c r="H723" s="138"/>
      <c r="I723" s="75"/>
      <c r="J723" s="138"/>
      <c r="K723" s="138"/>
      <c r="L723" s="139"/>
      <c r="M723" s="74"/>
      <c r="N723" s="75"/>
      <c r="O723" s="208"/>
    </row>
    <row r="724" spans="1:15" ht="11.1" customHeight="1" outlineLevel="1">
      <c r="A724" s="370" t="s">
        <v>62</v>
      </c>
      <c r="B724" s="76" t="s">
        <v>9</v>
      </c>
      <c r="C724" s="77" t="s">
        <v>119</v>
      </c>
      <c r="D724" s="369" t="s">
        <v>158</v>
      </c>
      <c r="E724" s="369" t="s">
        <v>187</v>
      </c>
      <c r="F724" s="78" t="s">
        <v>28</v>
      </c>
      <c r="G724" s="140">
        <f>SUM(G725:G730)</f>
        <v>29614938</v>
      </c>
      <c r="H724" s="140">
        <f>SUM(H725:H730)</f>
        <v>27911092</v>
      </c>
      <c r="I724" s="39">
        <f t="shared" ref="I724:I730" si="193">IF(G724&gt;0,H724/G724*100,"-")</f>
        <v>94.246667002983429</v>
      </c>
      <c r="J724" s="140">
        <f>SUM(J725:J730)</f>
        <v>13396000</v>
      </c>
      <c r="K724" s="140">
        <f>SUM(K725:K730)</f>
        <v>2657587</v>
      </c>
      <c r="L724" s="140">
        <f>SUM(L725:L730)</f>
        <v>16053587</v>
      </c>
      <c r="M724" s="38">
        <f>SUM(M725:M730)</f>
        <v>16025983.74</v>
      </c>
      <c r="N724" s="39">
        <f t="shared" ref="N724:N730" si="194">IF(L724&gt;0,M724/L724*100,"-")</f>
        <v>99.828055499372198</v>
      </c>
      <c r="O724" s="366" t="s">
        <v>258</v>
      </c>
    </row>
    <row r="725" spans="1:15" ht="11.1" customHeight="1" outlineLevel="1">
      <c r="A725" s="370"/>
      <c r="B725" s="76" t="s">
        <v>10</v>
      </c>
      <c r="C725" s="77" t="s">
        <v>120</v>
      </c>
      <c r="D725" s="369"/>
      <c r="E725" s="369"/>
      <c r="F725" s="79" t="s">
        <v>15</v>
      </c>
      <c r="G725" s="141">
        <v>697968</v>
      </c>
      <c r="H725" s="141">
        <v>697968</v>
      </c>
      <c r="I725" s="81">
        <f t="shared" si="193"/>
        <v>100</v>
      </c>
      <c r="J725" s="141">
        <v>0</v>
      </c>
      <c r="K725" s="142">
        <f t="shared" ref="K725:K730" si="195">L725-J725</f>
        <v>83576</v>
      </c>
      <c r="L725" s="141">
        <v>83576</v>
      </c>
      <c r="M725" s="83">
        <v>83576</v>
      </c>
      <c r="N725" s="81">
        <f t="shared" si="194"/>
        <v>100</v>
      </c>
      <c r="O725" s="366"/>
    </row>
    <row r="726" spans="1:15" ht="11.1" customHeight="1" outlineLevel="1">
      <c r="A726" s="370"/>
      <c r="B726" s="76" t="s">
        <v>11</v>
      </c>
      <c r="C726" s="82" t="s">
        <v>121</v>
      </c>
      <c r="D726" s="369"/>
      <c r="E726" s="369"/>
      <c r="F726" s="79" t="s">
        <v>7</v>
      </c>
      <c r="G726" s="141">
        <v>23675150</v>
      </c>
      <c r="H726" s="141">
        <v>22318956</v>
      </c>
      <c r="I726" s="81">
        <f t="shared" si="193"/>
        <v>94.27165614578999</v>
      </c>
      <c r="J726" s="141">
        <v>9230000</v>
      </c>
      <c r="K726" s="142">
        <f t="shared" si="195"/>
        <v>4269201</v>
      </c>
      <c r="L726" s="141">
        <v>13499201</v>
      </c>
      <c r="M726" s="83">
        <v>13498542.67</v>
      </c>
      <c r="N726" s="81">
        <f t="shared" si="194"/>
        <v>99.995123192846748</v>
      </c>
      <c r="O726" s="366"/>
    </row>
    <row r="727" spans="1:15" ht="11.1" customHeight="1" outlineLevel="1">
      <c r="A727" s="120"/>
      <c r="B727" s="76" t="s">
        <v>12</v>
      </c>
      <c r="C727" s="82" t="s">
        <v>423</v>
      </c>
      <c r="D727" s="111"/>
      <c r="E727" s="111"/>
      <c r="F727" s="79" t="s">
        <v>8</v>
      </c>
      <c r="G727" s="141">
        <v>5090302</v>
      </c>
      <c r="H727" s="141">
        <v>4742650</v>
      </c>
      <c r="I727" s="81">
        <f t="shared" si="193"/>
        <v>93.170306987679709</v>
      </c>
      <c r="J727" s="141">
        <v>4166000</v>
      </c>
      <c r="K727" s="142">
        <f t="shared" si="195"/>
        <v>-1846708</v>
      </c>
      <c r="L727" s="141">
        <v>2319292</v>
      </c>
      <c r="M727" s="80">
        <v>2292347.0699999998</v>
      </c>
      <c r="N727" s="81">
        <f t="shared" si="194"/>
        <v>98.838226062091351</v>
      </c>
      <c r="O727" s="366"/>
    </row>
    <row r="728" spans="1:15" ht="11.1" customHeight="1" outlineLevel="1">
      <c r="A728" s="120"/>
      <c r="B728" s="76"/>
      <c r="C728" s="82" t="s">
        <v>190</v>
      </c>
      <c r="D728" s="111"/>
      <c r="E728" s="111"/>
      <c r="F728" s="79" t="s">
        <v>22</v>
      </c>
      <c r="G728" s="141">
        <v>0</v>
      </c>
      <c r="H728" s="141">
        <v>0</v>
      </c>
      <c r="I728" s="81" t="str">
        <f t="shared" si="193"/>
        <v>-</v>
      </c>
      <c r="J728" s="141">
        <v>0</v>
      </c>
      <c r="K728" s="142">
        <f t="shared" si="195"/>
        <v>0</v>
      </c>
      <c r="L728" s="141">
        <v>0</v>
      </c>
      <c r="M728" s="83">
        <v>0</v>
      </c>
      <c r="N728" s="81" t="str">
        <f t="shared" si="194"/>
        <v>-</v>
      </c>
      <c r="O728" s="366"/>
    </row>
    <row r="729" spans="1:15" ht="11.1" customHeight="1" outlineLevel="1">
      <c r="A729" s="120"/>
      <c r="B729" s="76"/>
      <c r="C729" s="82" t="s">
        <v>437</v>
      </c>
      <c r="D729" s="111"/>
      <c r="E729" s="111"/>
      <c r="F729" s="107" t="s">
        <v>45</v>
      </c>
      <c r="G729" s="141">
        <v>0</v>
      </c>
      <c r="H729" s="141">
        <v>0</v>
      </c>
      <c r="I729" s="81" t="str">
        <f t="shared" si="193"/>
        <v>-</v>
      </c>
      <c r="J729" s="141">
        <v>0</v>
      </c>
      <c r="K729" s="142">
        <f t="shared" si="195"/>
        <v>0</v>
      </c>
      <c r="L729" s="141">
        <v>0</v>
      </c>
      <c r="M729" s="83">
        <v>0</v>
      </c>
      <c r="N729" s="81" t="str">
        <f t="shared" si="194"/>
        <v>-</v>
      </c>
      <c r="O729" s="366"/>
    </row>
    <row r="730" spans="1:15" ht="11.1" customHeight="1" outlineLevel="1">
      <c r="A730" s="120"/>
      <c r="B730" s="76" t="s">
        <v>23</v>
      </c>
      <c r="C730" s="82" t="s">
        <v>186</v>
      </c>
      <c r="D730" s="111"/>
      <c r="E730" s="111"/>
      <c r="F730" s="107" t="s">
        <v>46</v>
      </c>
      <c r="G730" s="142">
        <v>151518</v>
      </c>
      <c r="H730" s="142">
        <v>151518</v>
      </c>
      <c r="I730" s="81">
        <f t="shared" si="193"/>
        <v>100</v>
      </c>
      <c r="J730" s="142">
        <v>0</v>
      </c>
      <c r="K730" s="142">
        <f t="shared" si="195"/>
        <v>151518</v>
      </c>
      <c r="L730" s="141">
        <v>151518</v>
      </c>
      <c r="M730" s="89">
        <v>151518</v>
      </c>
      <c r="N730" s="81">
        <f t="shared" si="194"/>
        <v>100</v>
      </c>
      <c r="O730" s="366"/>
    </row>
    <row r="731" spans="1:15" ht="3.95" customHeight="1" outlineLevel="1">
      <c r="A731" s="121"/>
      <c r="B731" s="85"/>
      <c r="C731" s="86"/>
      <c r="D731" s="84"/>
      <c r="E731" s="84"/>
      <c r="F731" s="85"/>
      <c r="G731" s="143"/>
      <c r="H731" s="143"/>
      <c r="I731" s="85"/>
      <c r="J731" s="143"/>
      <c r="K731" s="143"/>
      <c r="L731" s="144"/>
      <c r="M731" s="87"/>
      <c r="N731" s="88"/>
      <c r="O731" s="222"/>
    </row>
    <row r="732" spans="1:15" ht="3.95" customHeight="1" outlineLevel="1">
      <c r="A732" s="157"/>
      <c r="B732" s="72"/>
      <c r="C732" s="73"/>
      <c r="D732" s="71"/>
      <c r="E732" s="71"/>
      <c r="F732" s="72"/>
      <c r="G732" s="138"/>
      <c r="H732" s="138"/>
      <c r="I732" s="75"/>
      <c r="J732" s="138"/>
      <c r="K732" s="138"/>
      <c r="L732" s="139"/>
      <c r="M732" s="74"/>
      <c r="N732" s="75"/>
      <c r="O732" s="208"/>
    </row>
    <row r="733" spans="1:15" ht="11.1" customHeight="1" outlineLevel="1">
      <c r="A733" s="370" t="s">
        <v>66</v>
      </c>
      <c r="B733" s="76" t="s">
        <v>9</v>
      </c>
      <c r="C733" s="77" t="s">
        <v>119</v>
      </c>
      <c r="D733" s="369" t="s">
        <v>194</v>
      </c>
      <c r="E733" s="369" t="s">
        <v>189</v>
      </c>
      <c r="F733" s="78" t="s">
        <v>28</v>
      </c>
      <c r="G733" s="140">
        <f>SUM(G734:G739)</f>
        <v>214152476</v>
      </c>
      <c r="H733" s="140">
        <f>SUM(H734:H739)</f>
        <v>54317175</v>
      </c>
      <c r="I733" s="39">
        <f t="shared" ref="I733:I739" si="196">IF(G733&gt;0,H733/G733*100,"-")</f>
        <v>25.363785660829809</v>
      </c>
      <c r="J733" s="140">
        <f>SUM(J734:J739)</f>
        <v>80000000</v>
      </c>
      <c r="K733" s="140">
        <f>SUM(K734:K739)</f>
        <v>-29015459</v>
      </c>
      <c r="L733" s="140">
        <f>SUM(L734:L739)</f>
        <v>50984541</v>
      </c>
      <c r="M733" s="38">
        <f>SUM(M734:M739)</f>
        <v>48714515.759999998</v>
      </c>
      <c r="N733" s="39">
        <f t="shared" ref="N733:N739" si="197">IF(L733&gt;0,M733/L733*100,"-")</f>
        <v>95.547620522856121</v>
      </c>
      <c r="O733" s="366" t="s">
        <v>259</v>
      </c>
    </row>
    <row r="734" spans="1:15" ht="11.1" customHeight="1" outlineLevel="1">
      <c r="A734" s="370"/>
      <c r="B734" s="76" t="s">
        <v>10</v>
      </c>
      <c r="C734" s="77" t="s">
        <v>120</v>
      </c>
      <c r="D734" s="369"/>
      <c r="E734" s="369"/>
      <c r="F734" s="79" t="s">
        <v>15</v>
      </c>
      <c r="G734" s="141">
        <v>60571161</v>
      </c>
      <c r="H734" s="141">
        <v>4397350</v>
      </c>
      <c r="I734" s="81">
        <f t="shared" si="196"/>
        <v>7.2598080132556806</v>
      </c>
      <c r="J734" s="141">
        <v>0</v>
      </c>
      <c r="K734" s="142">
        <f t="shared" ref="K734:K739" si="198">L734-J734</f>
        <v>215030</v>
      </c>
      <c r="L734" s="141">
        <v>215030</v>
      </c>
      <c r="M734" s="83">
        <v>215030</v>
      </c>
      <c r="N734" s="81">
        <f t="shared" si="197"/>
        <v>100</v>
      </c>
      <c r="O734" s="366"/>
    </row>
    <row r="735" spans="1:15" ht="11.1" customHeight="1" outlineLevel="1">
      <c r="A735" s="370"/>
      <c r="B735" s="76" t="s">
        <v>11</v>
      </c>
      <c r="C735" s="82" t="s">
        <v>121</v>
      </c>
      <c r="D735" s="369"/>
      <c r="E735" s="369"/>
      <c r="F735" s="79" t="s">
        <v>7</v>
      </c>
      <c r="G735" s="141">
        <v>90217183</v>
      </c>
      <c r="H735" s="141">
        <v>25448537</v>
      </c>
      <c r="I735" s="81">
        <f t="shared" si="196"/>
        <v>28.208082045745098</v>
      </c>
      <c r="J735" s="141">
        <v>68000000</v>
      </c>
      <c r="K735" s="142">
        <f t="shared" si="198"/>
        <v>-43597646</v>
      </c>
      <c r="L735" s="141">
        <v>24402354</v>
      </c>
      <c r="M735" s="83">
        <v>24402353.699999999</v>
      </c>
      <c r="N735" s="81">
        <f t="shared" si="197"/>
        <v>99.999998770610404</v>
      </c>
      <c r="O735" s="366"/>
    </row>
    <row r="736" spans="1:15" ht="11.1" customHeight="1" outlineLevel="1">
      <c r="A736" s="120"/>
      <c r="B736" s="76" t="s">
        <v>12</v>
      </c>
      <c r="C736" s="82" t="s">
        <v>438</v>
      </c>
      <c r="D736" s="111"/>
      <c r="E736" s="111"/>
      <c r="F736" s="79" t="s">
        <v>8</v>
      </c>
      <c r="G736" s="141">
        <v>62848686</v>
      </c>
      <c r="H736" s="141">
        <v>23990728</v>
      </c>
      <c r="I736" s="81">
        <f t="shared" si="196"/>
        <v>38.17220299562031</v>
      </c>
      <c r="J736" s="141">
        <v>12000000</v>
      </c>
      <c r="K736" s="142">
        <f t="shared" si="198"/>
        <v>13851711</v>
      </c>
      <c r="L736" s="141">
        <v>25851711</v>
      </c>
      <c r="M736" s="80">
        <v>23616573.010000002</v>
      </c>
      <c r="N736" s="81">
        <f t="shared" si="197"/>
        <v>91.354003647959715</v>
      </c>
      <c r="O736" s="366"/>
    </row>
    <row r="737" spans="1:15" ht="11.1" customHeight="1" outlineLevel="1">
      <c r="A737" s="120"/>
      <c r="B737" s="76"/>
      <c r="C737" s="82" t="s">
        <v>191</v>
      </c>
      <c r="D737" s="111"/>
      <c r="E737" s="111"/>
      <c r="F737" s="79" t="s">
        <v>22</v>
      </c>
      <c r="G737" s="141">
        <v>0</v>
      </c>
      <c r="H737" s="141">
        <v>0</v>
      </c>
      <c r="I737" s="81" t="str">
        <f t="shared" si="196"/>
        <v>-</v>
      </c>
      <c r="J737" s="141">
        <v>0</v>
      </c>
      <c r="K737" s="142">
        <f t="shared" si="198"/>
        <v>0</v>
      </c>
      <c r="L737" s="141">
        <v>0</v>
      </c>
      <c r="M737" s="83">
        <v>0</v>
      </c>
      <c r="N737" s="81" t="str">
        <f t="shared" si="197"/>
        <v>-</v>
      </c>
      <c r="O737" s="366"/>
    </row>
    <row r="738" spans="1:15" ht="11.1" customHeight="1" outlineLevel="1">
      <c r="A738" s="120"/>
      <c r="B738" s="76"/>
      <c r="C738" s="82" t="s">
        <v>192</v>
      </c>
      <c r="D738" s="111"/>
      <c r="E738" s="111"/>
      <c r="F738" s="107" t="s">
        <v>45</v>
      </c>
      <c r="G738" s="141">
        <v>0</v>
      </c>
      <c r="H738" s="141">
        <v>0</v>
      </c>
      <c r="I738" s="81" t="str">
        <f t="shared" si="196"/>
        <v>-</v>
      </c>
      <c r="J738" s="141">
        <v>0</v>
      </c>
      <c r="K738" s="142">
        <f t="shared" si="198"/>
        <v>0</v>
      </c>
      <c r="L738" s="141">
        <v>0</v>
      </c>
      <c r="M738" s="83">
        <v>0</v>
      </c>
      <c r="N738" s="81" t="str">
        <f t="shared" si="197"/>
        <v>-</v>
      </c>
      <c r="O738" s="366"/>
    </row>
    <row r="739" spans="1:15" ht="11.1" customHeight="1" outlineLevel="1">
      <c r="A739" s="120"/>
      <c r="B739" s="76"/>
      <c r="C739" s="82" t="s">
        <v>193</v>
      </c>
      <c r="D739" s="111"/>
      <c r="E739" s="111"/>
      <c r="F739" s="107" t="s">
        <v>46</v>
      </c>
      <c r="G739" s="142">
        <v>515446</v>
      </c>
      <c r="H739" s="142">
        <v>480560</v>
      </c>
      <c r="I739" s="81">
        <f t="shared" si="196"/>
        <v>93.231880740174532</v>
      </c>
      <c r="J739" s="142">
        <v>0</v>
      </c>
      <c r="K739" s="142">
        <f t="shared" si="198"/>
        <v>515446</v>
      </c>
      <c r="L739" s="141">
        <v>515446</v>
      </c>
      <c r="M739" s="89">
        <v>480559.05</v>
      </c>
      <c r="N739" s="81">
        <f t="shared" si="197"/>
        <v>93.231696433768036</v>
      </c>
      <c r="O739" s="366"/>
    </row>
    <row r="740" spans="1:15" ht="11.1" customHeight="1" outlineLevel="1">
      <c r="A740" s="120"/>
      <c r="B740" s="76" t="s">
        <v>23</v>
      </c>
      <c r="C740" s="82" t="s">
        <v>186</v>
      </c>
      <c r="D740" s="111"/>
      <c r="E740" s="111"/>
      <c r="F740" s="107"/>
      <c r="G740" s="142"/>
      <c r="H740" s="142"/>
      <c r="I740" s="152"/>
      <c r="J740" s="142"/>
      <c r="K740" s="142"/>
      <c r="L740" s="141"/>
      <c r="M740" s="89"/>
      <c r="N740" s="81"/>
      <c r="O740" s="356"/>
    </row>
    <row r="741" spans="1:15" ht="3.95" customHeight="1" outlineLevel="1">
      <c r="A741" s="121"/>
      <c r="B741" s="85"/>
      <c r="C741" s="86"/>
      <c r="D741" s="84"/>
      <c r="E741" s="84"/>
      <c r="F741" s="85"/>
      <c r="G741" s="143"/>
      <c r="H741" s="143"/>
      <c r="I741" s="85"/>
      <c r="J741" s="143"/>
      <c r="K741" s="143"/>
      <c r="L741" s="144"/>
      <c r="M741" s="87"/>
      <c r="N741" s="88"/>
      <c r="O741" s="222"/>
    </row>
    <row r="742" spans="1:15" ht="3.95" customHeight="1" outlineLevel="1">
      <c r="A742" s="157"/>
      <c r="B742" s="72"/>
      <c r="C742" s="73"/>
      <c r="D742" s="71"/>
      <c r="E742" s="71"/>
      <c r="F742" s="72"/>
      <c r="G742" s="138"/>
      <c r="H742" s="138"/>
      <c r="I742" s="75"/>
      <c r="J742" s="138"/>
      <c r="K742" s="138"/>
      <c r="L742" s="139"/>
      <c r="M742" s="74"/>
      <c r="N742" s="75"/>
      <c r="O742" s="208"/>
    </row>
    <row r="743" spans="1:15" ht="11.1" customHeight="1" outlineLevel="1">
      <c r="A743" s="370" t="s">
        <v>91</v>
      </c>
      <c r="B743" s="76" t="s">
        <v>9</v>
      </c>
      <c r="C743" s="77" t="s">
        <v>113</v>
      </c>
      <c r="D743" s="369" t="s">
        <v>198</v>
      </c>
      <c r="E743" s="369" t="s">
        <v>189</v>
      </c>
      <c r="F743" s="78" t="s">
        <v>28</v>
      </c>
      <c r="G743" s="307">
        <f>SUM(G744:G749)</f>
        <v>53533884</v>
      </c>
      <c r="H743" s="140">
        <f>SUM(H744:H749)</f>
        <v>6113333</v>
      </c>
      <c r="I743" s="39">
        <f t="shared" ref="I743:I749" si="199">IF(G743&gt;0,H743/G743*100,"-")</f>
        <v>11.419558125093259</v>
      </c>
      <c r="J743" s="140">
        <f>SUM(J744:J749)</f>
        <v>32725698</v>
      </c>
      <c r="K743" s="140">
        <f>SUM(K744:K749)</f>
        <v>-27533684</v>
      </c>
      <c r="L743" s="140">
        <f>SUM(L744:L749)</f>
        <v>5192014</v>
      </c>
      <c r="M743" s="38">
        <f>SUM(M744:M749)</f>
        <v>4922163.57</v>
      </c>
      <c r="N743" s="39">
        <f t="shared" ref="N743:N749" si="200">IF(L743&gt;0,M743/L743*100,"-")</f>
        <v>94.802586626307246</v>
      </c>
      <c r="O743" s="366" t="s">
        <v>260</v>
      </c>
    </row>
    <row r="744" spans="1:15" ht="11.1" customHeight="1" outlineLevel="1">
      <c r="A744" s="370"/>
      <c r="B744" s="76" t="s">
        <v>10</v>
      </c>
      <c r="C744" s="77" t="s">
        <v>195</v>
      </c>
      <c r="D744" s="369"/>
      <c r="E744" s="369"/>
      <c r="F744" s="79" t="s">
        <v>15</v>
      </c>
      <c r="G744" s="141">
        <v>2467956</v>
      </c>
      <c r="H744" s="141">
        <v>396476</v>
      </c>
      <c r="I744" s="81">
        <f t="shared" si="199"/>
        <v>16.064954156395007</v>
      </c>
      <c r="J744" s="141">
        <v>0</v>
      </c>
      <c r="K744" s="142">
        <f t="shared" ref="K744:K749" si="201">L744-J744</f>
        <v>151019</v>
      </c>
      <c r="L744" s="141">
        <v>151019</v>
      </c>
      <c r="M744" s="83">
        <v>151019</v>
      </c>
      <c r="N744" s="81">
        <f t="shared" si="200"/>
        <v>100</v>
      </c>
      <c r="O744" s="366"/>
    </row>
    <row r="745" spans="1:15" ht="11.1" customHeight="1" outlineLevel="1">
      <c r="A745" s="370"/>
      <c r="B745" s="76" t="s">
        <v>11</v>
      </c>
      <c r="C745" s="82" t="s">
        <v>196</v>
      </c>
      <c r="D745" s="369"/>
      <c r="E745" s="369"/>
      <c r="F745" s="79" t="s">
        <v>7</v>
      </c>
      <c r="G745" s="141">
        <v>29076000</v>
      </c>
      <c r="H745" s="141">
        <v>2506115</v>
      </c>
      <c r="I745" s="81">
        <f t="shared" si="199"/>
        <v>8.6191876461686618</v>
      </c>
      <c r="J745" s="141">
        <v>19635419</v>
      </c>
      <c r="K745" s="142">
        <f t="shared" si="201"/>
        <v>-17083837</v>
      </c>
      <c r="L745" s="141">
        <v>2551582</v>
      </c>
      <c r="M745" s="83">
        <v>2506114.5</v>
      </c>
      <c r="N745" s="81">
        <f t="shared" si="200"/>
        <v>98.218066282016409</v>
      </c>
      <c r="O745" s="366"/>
    </row>
    <row r="746" spans="1:15" ht="11.1" customHeight="1" outlineLevel="1">
      <c r="A746" s="120"/>
      <c r="B746" s="76"/>
      <c r="C746" s="82" t="s">
        <v>197</v>
      </c>
      <c r="D746" s="111"/>
      <c r="E746" s="111"/>
      <c r="F746" s="79" t="s">
        <v>8</v>
      </c>
      <c r="G746" s="141">
        <v>21945711</v>
      </c>
      <c r="H746" s="141">
        <v>3166525</v>
      </c>
      <c r="I746" s="81">
        <f t="shared" si="199"/>
        <v>14.428901392167242</v>
      </c>
      <c r="J746" s="141">
        <v>13090279</v>
      </c>
      <c r="K746" s="142">
        <f t="shared" si="201"/>
        <v>-10645083</v>
      </c>
      <c r="L746" s="141">
        <v>2445196</v>
      </c>
      <c r="M746" s="80">
        <v>2220813.0699999998</v>
      </c>
      <c r="N746" s="81">
        <f t="shared" si="200"/>
        <v>90.823519668770928</v>
      </c>
      <c r="O746" s="366"/>
    </row>
    <row r="747" spans="1:15" ht="11.1" customHeight="1" outlineLevel="1">
      <c r="A747" s="120"/>
      <c r="B747" s="76" t="s">
        <v>12</v>
      </c>
      <c r="C747" s="82" t="s">
        <v>439</v>
      </c>
      <c r="D747" s="111"/>
      <c r="E747" s="111"/>
      <c r="F747" s="79" t="s">
        <v>22</v>
      </c>
      <c r="G747" s="141">
        <v>0</v>
      </c>
      <c r="H747" s="141">
        <v>0</v>
      </c>
      <c r="I747" s="81" t="str">
        <f t="shared" si="199"/>
        <v>-</v>
      </c>
      <c r="J747" s="141">
        <v>0</v>
      </c>
      <c r="K747" s="142">
        <f t="shared" si="201"/>
        <v>0</v>
      </c>
      <c r="L747" s="141">
        <v>0</v>
      </c>
      <c r="M747" s="83">
        <v>0</v>
      </c>
      <c r="N747" s="81" t="str">
        <f t="shared" si="200"/>
        <v>-</v>
      </c>
      <c r="O747" s="366"/>
    </row>
    <row r="748" spans="1:15" ht="11.1" customHeight="1" outlineLevel="1">
      <c r="A748" s="120"/>
      <c r="B748" s="76"/>
      <c r="C748" s="82" t="s">
        <v>440</v>
      </c>
      <c r="D748" s="111"/>
      <c r="E748" s="111"/>
      <c r="F748" s="107" t="s">
        <v>45</v>
      </c>
      <c r="G748" s="141">
        <v>0</v>
      </c>
      <c r="H748" s="141">
        <v>0</v>
      </c>
      <c r="I748" s="81" t="str">
        <f t="shared" si="199"/>
        <v>-</v>
      </c>
      <c r="J748" s="141">
        <v>0</v>
      </c>
      <c r="K748" s="142">
        <f t="shared" si="201"/>
        <v>0</v>
      </c>
      <c r="L748" s="141">
        <v>0</v>
      </c>
      <c r="M748" s="83">
        <v>0</v>
      </c>
      <c r="N748" s="81" t="str">
        <f t="shared" si="200"/>
        <v>-</v>
      </c>
      <c r="O748" s="366"/>
    </row>
    <row r="749" spans="1:15" ht="11.1" customHeight="1" outlineLevel="1">
      <c r="A749" s="120"/>
      <c r="B749" s="76" t="s">
        <v>23</v>
      </c>
      <c r="C749" s="82" t="s">
        <v>185</v>
      </c>
      <c r="D749" s="111"/>
      <c r="E749" s="111"/>
      <c r="F749" s="107" t="s">
        <v>46</v>
      </c>
      <c r="G749" s="142">
        <v>44217</v>
      </c>
      <c r="H749" s="142">
        <v>44217</v>
      </c>
      <c r="I749" s="81">
        <f t="shared" si="199"/>
        <v>100</v>
      </c>
      <c r="J749" s="142">
        <v>0</v>
      </c>
      <c r="K749" s="142">
        <f t="shared" si="201"/>
        <v>44217</v>
      </c>
      <c r="L749" s="141">
        <v>44217</v>
      </c>
      <c r="M749" s="89">
        <v>44217</v>
      </c>
      <c r="N749" s="81">
        <f t="shared" si="200"/>
        <v>100</v>
      </c>
      <c r="O749" s="366"/>
    </row>
    <row r="750" spans="1:15" ht="3.95" customHeight="1" outlineLevel="1">
      <c r="A750" s="121"/>
      <c r="B750" s="85"/>
      <c r="C750" s="86"/>
      <c r="D750" s="84"/>
      <c r="E750" s="84"/>
      <c r="F750" s="85"/>
      <c r="G750" s="143"/>
      <c r="H750" s="143"/>
      <c r="I750" s="85"/>
      <c r="J750" s="143"/>
      <c r="K750" s="143"/>
      <c r="L750" s="144"/>
      <c r="M750" s="87"/>
      <c r="N750" s="88"/>
      <c r="O750" s="222"/>
    </row>
    <row r="751" spans="1:15" ht="3.95" customHeight="1" outlineLevel="1">
      <c r="A751" s="157"/>
      <c r="B751" s="72"/>
      <c r="C751" s="73"/>
      <c r="D751" s="71"/>
      <c r="E751" s="71"/>
      <c r="F751" s="72"/>
      <c r="G751" s="138"/>
      <c r="H751" s="138"/>
      <c r="I751" s="75"/>
      <c r="J751" s="138"/>
      <c r="K751" s="138"/>
      <c r="L751" s="139"/>
      <c r="M751" s="74"/>
      <c r="N751" s="75"/>
      <c r="O751" s="208"/>
    </row>
    <row r="752" spans="1:15" ht="11.1" customHeight="1" outlineLevel="1">
      <c r="A752" s="370" t="s">
        <v>92</v>
      </c>
      <c r="B752" s="76" t="s">
        <v>9</v>
      </c>
      <c r="C752" s="77" t="s">
        <v>113</v>
      </c>
      <c r="D752" s="369" t="s">
        <v>200</v>
      </c>
      <c r="E752" s="369" t="s">
        <v>189</v>
      </c>
      <c r="F752" s="78" t="s">
        <v>28</v>
      </c>
      <c r="G752" s="140">
        <f>SUM(G753:G758)</f>
        <v>42677764</v>
      </c>
      <c r="H752" s="140">
        <f>SUM(H753:H758)</f>
        <v>14695925</v>
      </c>
      <c r="I752" s="39">
        <f t="shared" ref="I752:I758" si="202">IF(G752&gt;0,H752/G752*100,"-")</f>
        <v>34.43461798982721</v>
      </c>
      <c r="J752" s="140">
        <f>SUM(J753:J758)</f>
        <v>24245118</v>
      </c>
      <c r="K752" s="140">
        <f>SUM(K753:K758)</f>
        <v>-10301849</v>
      </c>
      <c r="L752" s="140">
        <f>SUM(L753:L758)</f>
        <v>13943269</v>
      </c>
      <c r="M752" s="38">
        <f>SUM(M753:M758)</f>
        <v>13937457.539999999</v>
      </c>
      <c r="N752" s="39">
        <f t="shared" ref="N752:N758" si="203">IF(L752&gt;0,M752/L752*100,"-")</f>
        <v>99.958320677884075</v>
      </c>
      <c r="O752" s="366" t="s">
        <v>261</v>
      </c>
    </row>
    <row r="753" spans="1:15" ht="11.1" customHeight="1" outlineLevel="1">
      <c r="A753" s="370"/>
      <c r="B753" s="76" t="s">
        <v>10</v>
      </c>
      <c r="C753" s="77" t="s">
        <v>195</v>
      </c>
      <c r="D753" s="369"/>
      <c r="E753" s="369"/>
      <c r="F753" s="79" t="s">
        <v>15</v>
      </c>
      <c r="G753" s="141">
        <v>723550</v>
      </c>
      <c r="H753" s="141">
        <v>723550</v>
      </c>
      <c r="I753" s="81">
        <f t="shared" si="202"/>
        <v>100</v>
      </c>
      <c r="J753" s="141">
        <v>0</v>
      </c>
      <c r="K753" s="142">
        <f t="shared" ref="K753:K758" si="204">L753-J753</f>
        <v>117877</v>
      </c>
      <c r="L753" s="141">
        <v>117877</v>
      </c>
      <c r="M753" s="83">
        <v>117877</v>
      </c>
      <c r="N753" s="81">
        <f t="shared" si="203"/>
        <v>100</v>
      </c>
      <c r="O753" s="366"/>
    </row>
    <row r="754" spans="1:15" ht="11.1" customHeight="1" outlineLevel="1">
      <c r="A754" s="370"/>
      <c r="B754" s="76" t="s">
        <v>11</v>
      </c>
      <c r="C754" s="82" t="s">
        <v>196</v>
      </c>
      <c r="D754" s="369"/>
      <c r="E754" s="369"/>
      <c r="F754" s="79" t="s">
        <v>7</v>
      </c>
      <c r="G754" s="141">
        <v>24564386</v>
      </c>
      <c r="H754" s="141">
        <v>8113205</v>
      </c>
      <c r="I754" s="81">
        <f t="shared" si="202"/>
        <v>33.028324013472186</v>
      </c>
      <c r="J754" s="141">
        <v>13652476</v>
      </c>
      <c r="K754" s="142">
        <f t="shared" si="204"/>
        <v>-5539271</v>
      </c>
      <c r="L754" s="141">
        <v>8113205</v>
      </c>
      <c r="M754" s="83">
        <v>8113204.7599999998</v>
      </c>
      <c r="N754" s="81">
        <f t="shared" si="203"/>
        <v>99.99999704185953</v>
      </c>
      <c r="O754" s="366"/>
    </row>
    <row r="755" spans="1:15" ht="11.1" customHeight="1" outlineLevel="1">
      <c r="A755" s="120"/>
      <c r="B755" s="76"/>
      <c r="C755" s="82" t="s">
        <v>197</v>
      </c>
      <c r="D755" s="111"/>
      <c r="E755" s="111"/>
      <c r="F755" s="79" t="s">
        <v>8</v>
      </c>
      <c r="G755" s="141">
        <v>17297150</v>
      </c>
      <c r="H755" s="141">
        <v>5772302</v>
      </c>
      <c r="I755" s="81">
        <f t="shared" si="202"/>
        <v>33.371405115871688</v>
      </c>
      <c r="J755" s="141">
        <v>10592642</v>
      </c>
      <c r="K755" s="142">
        <f t="shared" si="204"/>
        <v>-4973133</v>
      </c>
      <c r="L755" s="141">
        <v>5619509</v>
      </c>
      <c r="M755" s="80">
        <v>5619508.3899999997</v>
      </c>
      <c r="N755" s="81">
        <f t="shared" si="203"/>
        <v>99.999989144959102</v>
      </c>
      <c r="O755" s="366"/>
    </row>
    <row r="756" spans="1:15" ht="11.1" customHeight="1" outlineLevel="1">
      <c r="A756" s="120"/>
      <c r="B756" s="76" t="s">
        <v>12</v>
      </c>
      <c r="C756" s="82" t="s">
        <v>441</v>
      </c>
      <c r="D756" s="111"/>
      <c r="E756" s="111"/>
      <c r="F756" s="79" t="s">
        <v>22</v>
      </c>
      <c r="G756" s="141">
        <v>0</v>
      </c>
      <c r="H756" s="141">
        <v>0</v>
      </c>
      <c r="I756" s="81" t="str">
        <f t="shared" si="202"/>
        <v>-</v>
      </c>
      <c r="J756" s="141">
        <v>0</v>
      </c>
      <c r="K756" s="142">
        <f t="shared" si="204"/>
        <v>0</v>
      </c>
      <c r="L756" s="141">
        <v>0</v>
      </c>
      <c r="M756" s="83">
        <v>0</v>
      </c>
      <c r="N756" s="81" t="str">
        <f t="shared" si="203"/>
        <v>-</v>
      </c>
      <c r="O756" s="366"/>
    </row>
    <row r="757" spans="1:15" ht="11.1" customHeight="1" outlineLevel="1">
      <c r="A757" s="120"/>
      <c r="B757" s="76"/>
      <c r="C757" s="82" t="s">
        <v>199</v>
      </c>
      <c r="D757" s="111"/>
      <c r="E757" s="111"/>
      <c r="F757" s="107" t="s">
        <v>45</v>
      </c>
      <c r="G757" s="141">
        <v>0</v>
      </c>
      <c r="H757" s="141">
        <v>0</v>
      </c>
      <c r="I757" s="81" t="str">
        <f t="shared" si="202"/>
        <v>-</v>
      </c>
      <c r="J757" s="141">
        <v>0</v>
      </c>
      <c r="K757" s="142">
        <f t="shared" si="204"/>
        <v>0</v>
      </c>
      <c r="L757" s="141">
        <v>0</v>
      </c>
      <c r="M757" s="83">
        <v>0</v>
      </c>
      <c r="N757" s="81" t="str">
        <f t="shared" si="203"/>
        <v>-</v>
      </c>
      <c r="O757" s="366"/>
    </row>
    <row r="758" spans="1:15" ht="11.1" customHeight="1" outlineLevel="1">
      <c r="A758" s="120"/>
      <c r="B758" s="76"/>
      <c r="C758" s="82" t="s">
        <v>442</v>
      </c>
      <c r="D758" s="111"/>
      <c r="E758" s="111"/>
      <c r="F758" s="107" t="s">
        <v>46</v>
      </c>
      <c r="G758" s="142">
        <v>92678</v>
      </c>
      <c r="H758" s="142">
        <v>86868</v>
      </c>
      <c r="I758" s="81">
        <f t="shared" si="202"/>
        <v>93.73098254170354</v>
      </c>
      <c r="J758" s="142">
        <v>0</v>
      </c>
      <c r="K758" s="142">
        <f t="shared" si="204"/>
        <v>92678</v>
      </c>
      <c r="L758" s="141">
        <v>92678</v>
      </c>
      <c r="M758" s="89">
        <v>86867.39</v>
      </c>
      <c r="N758" s="81">
        <f t="shared" si="203"/>
        <v>93.730324348820645</v>
      </c>
      <c r="O758" s="366"/>
    </row>
    <row r="759" spans="1:15" ht="11.1" customHeight="1" outlineLevel="1">
      <c r="A759" s="120"/>
      <c r="B759" s="76" t="s">
        <v>23</v>
      </c>
      <c r="C759" s="82" t="s">
        <v>185</v>
      </c>
      <c r="D759" s="111"/>
      <c r="E759" s="111"/>
      <c r="F759" s="107"/>
      <c r="G759" s="142"/>
      <c r="H759" s="142"/>
      <c r="I759" s="152"/>
      <c r="J759" s="142"/>
      <c r="K759" s="142"/>
      <c r="L759" s="141"/>
      <c r="M759" s="89"/>
      <c r="N759" s="81"/>
      <c r="O759" s="356"/>
    </row>
    <row r="760" spans="1:15" ht="3.95" customHeight="1" outlineLevel="1">
      <c r="A760" s="121"/>
      <c r="B760" s="85"/>
      <c r="C760" s="86"/>
      <c r="D760" s="84"/>
      <c r="E760" s="84"/>
      <c r="F760" s="85"/>
      <c r="G760" s="143"/>
      <c r="H760" s="143"/>
      <c r="I760" s="85"/>
      <c r="J760" s="143"/>
      <c r="K760" s="143"/>
      <c r="L760" s="144"/>
      <c r="M760" s="87"/>
      <c r="N760" s="88"/>
      <c r="O760" s="222"/>
    </row>
    <row r="761" spans="1:15" ht="3.95" customHeight="1" outlineLevel="1">
      <c r="A761" s="157"/>
      <c r="B761" s="72"/>
      <c r="C761" s="73"/>
      <c r="D761" s="71"/>
      <c r="E761" s="71"/>
      <c r="F761" s="72"/>
      <c r="G761" s="138"/>
      <c r="H761" s="138"/>
      <c r="I761" s="75"/>
      <c r="J761" s="138"/>
      <c r="K761" s="138"/>
      <c r="L761" s="139"/>
      <c r="M761" s="74"/>
      <c r="N761" s="75"/>
      <c r="O761" s="208"/>
    </row>
    <row r="762" spans="1:15" ht="11.1" customHeight="1" outlineLevel="1">
      <c r="A762" s="370" t="s">
        <v>94</v>
      </c>
      <c r="B762" s="76" t="s">
        <v>9</v>
      </c>
      <c r="C762" s="77" t="s">
        <v>113</v>
      </c>
      <c r="D762" s="369" t="s">
        <v>90</v>
      </c>
      <c r="E762" s="369" t="s">
        <v>189</v>
      </c>
      <c r="F762" s="78" t="s">
        <v>28</v>
      </c>
      <c r="G762" s="140">
        <f>SUM(G763:G768)</f>
        <v>4824207</v>
      </c>
      <c r="H762" s="307">
        <f>SUM(H763:H768)</f>
        <v>4824206</v>
      </c>
      <c r="I762" s="39">
        <f t="shared" ref="I762:I768" si="205">IF(G762&gt;0,H762/G762*100,"-")</f>
        <v>99.99997927120458</v>
      </c>
      <c r="J762" s="140">
        <f>SUM(J763:J768)</f>
        <v>1521551</v>
      </c>
      <c r="K762" s="140">
        <f>SUM(K763:K768)</f>
        <v>956018</v>
      </c>
      <c r="L762" s="140">
        <f>SUM(L763:L768)</f>
        <v>2477569</v>
      </c>
      <c r="M762" s="38">
        <f>SUM(M763:M768)</f>
        <v>2477566.98</v>
      </c>
      <c r="N762" s="39">
        <f t="shared" ref="N762:N768" si="206">IF(L762&gt;0,M762/L762*100,"-")</f>
        <v>99.999918468466461</v>
      </c>
      <c r="O762" s="366" t="s">
        <v>262</v>
      </c>
    </row>
    <row r="763" spans="1:15" ht="11.1" customHeight="1" outlineLevel="1">
      <c r="A763" s="370"/>
      <c r="B763" s="76" t="s">
        <v>10</v>
      </c>
      <c r="C763" s="77" t="s">
        <v>195</v>
      </c>
      <c r="D763" s="369"/>
      <c r="E763" s="369"/>
      <c r="F763" s="79" t="s">
        <v>15</v>
      </c>
      <c r="G763" s="141">
        <v>273731</v>
      </c>
      <c r="H763" s="141">
        <v>273731</v>
      </c>
      <c r="I763" s="81">
        <f t="shared" si="205"/>
        <v>100</v>
      </c>
      <c r="J763" s="141">
        <v>0</v>
      </c>
      <c r="K763" s="142">
        <f t="shared" ref="K763:K768" si="207">L763-J763</f>
        <v>57181</v>
      </c>
      <c r="L763" s="141">
        <v>57181</v>
      </c>
      <c r="M763" s="83">
        <v>57181</v>
      </c>
      <c r="N763" s="81">
        <f t="shared" si="206"/>
        <v>100</v>
      </c>
      <c r="O763" s="366"/>
    </row>
    <row r="764" spans="1:15" ht="11.1" customHeight="1" outlineLevel="1">
      <c r="A764" s="370"/>
      <c r="B764" s="76" t="s">
        <v>11</v>
      </c>
      <c r="C764" s="82" t="s">
        <v>196</v>
      </c>
      <c r="D764" s="369"/>
      <c r="E764" s="369"/>
      <c r="F764" s="79" t="s">
        <v>7</v>
      </c>
      <c r="G764" s="141">
        <v>2557318</v>
      </c>
      <c r="H764" s="141">
        <v>2557317</v>
      </c>
      <c r="I764" s="81">
        <f t="shared" si="205"/>
        <v>99.999960896533011</v>
      </c>
      <c r="J764" s="141">
        <v>458751</v>
      </c>
      <c r="K764" s="142">
        <f t="shared" si="207"/>
        <v>930709</v>
      </c>
      <c r="L764" s="141">
        <v>1389460</v>
      </c>
      <c r="M764" s="83">
        <v>1389458.12</v>
      </c>
      <c r="N764" s="81">
        <f t="shared" si="206"/>
        <v>99.999864695637157</v>
      </c>
      <c r="O764" s="366"/>
    </row>
    <row r="765" spans="1:15" ht="11.1" customHeight="1" outlineLevel="1">
      <c r="A765" s="120"/>
      <c r="B765" s="76"/>
      <c r="C765" s="82" t="s">
        <v>197</v>
      </c>
      <c r="D765" s="111"/>
      <c r="E765" s="111"/>
      <c r="F765" s="79" t="s">
        <v>8</v>
      </c>
      <c r="G765" s="141">
        <v>1971872</v>
      </c>
      <c r="H765" s="141">
        <v>1971872</v>
      </c>
      <c r="I765" s="81">
        <f t="shared" si="205"/>
        <v>100</v>
      </c>
      <c r="J765" s="141">
        <v>1062800</v>
      </c>
      <c r="K765" s="142">
        <f t="shared" si="207"/>
        <v>-53158</v>
      </c>
      <c r="L765" s="141">
        <v>1009642</v>
      </c>
      <c r="M765" s="80">
        <v>1009641.86</v>
      </c>
      <c r="N765" s="81">
        <f t="shared" si="206"/>
        <v>99.999986133698869</v>
      </c>
      <c r="O765" s="366"/>
    </row>
    <row r="766" spans="1:15" ht="11.1" customHeight="1" outlineLevel="1">
      <c r="A766" s="120"/>
      <c r="B766" s="76" t="s">
        <v>12</v>
      </c>
      <c r="C766" s="82" t="s">
        <v>443</v>
      </c>
      <c r="D766" s="111"/>
      <c r="E766" s="111"/>
      <c r="F766" s="79" t="s">
        <v>22</v>
      </c>
      <c r="G766" s="141">
        <v>0</v>
      </c>
      <c r="H766" s="141">
        <v>0</v>
      </c>
      <c r="I766" s="81" t="str">
        <f t="shared" si="205"/>
        <v>-</v>
      </c>
      <c r="J766" s="141">
        <v>0</v>
      </c>
      <c r="K766" s="142">
        <f t="shared" si="207"/>
        <v>0</v>
      </c>
      <c r="L766" s="141">
        <v>0</v>
      </c>
      <c r="M766" s="83">
        <v>0</v>
      </c>
      <c r="N766" s="81" t="str">
        <f t="shared" si="206"/>
        <v>-</v>
      </c>
      <c r="O766" s="366"/>
    </row>
    <row r="767" spans="1:15" ht="11.1" customHeight="1" outlineLevel="1">
      <c r="A767" s="120"/>
      <c r="B767" s="76"/>
      <c r="C767" s="82" t="s">
        <v>444</v>
      </c>
      <c r="D767" s="111"/>
      <c r="E767" s="111"/>
      <c r="F767" s="107" t="s">
        <v>45</v>
      </c>
      <c r="G767" s="141">
        <v>0</v>
      </c>
      <c r="H767" s="141">
        <v>0</v>
      </c>
      <c r="I767" s="81" t="str">
        <f t="shared" si="205"/>
        <v>-</v>
      </c>
      <c r="J767" s="141">
        <v>0</v>
      </c>
      <c r="K767" s="142">
        <f t="shared" si="207"/>
        <v>0</v>
      </c>
      <c r="L767" s="141">
        <v>0</v>
      </c>
      <c r="M767" s="83">
        <v>0</v>
      </c>
      <c r="N767" s="81" t="str">
        <f t="shared" si="206"/>
        <v>-</v>
      </c>
      <c r="O767" s="366"/>
    </row>
    <row r="768" spans="1:15" ht="11.1" customHeight="1" outlineLevel="1">
      <c r="A768" s="120"/>
      <c r="B768" s="76" t="s">
        <v>23</v>
      </c>
      <c r="C768" s="82" t="s">
        <v>185</v>
      </c>
      <c r="D768" s="111"/>
      <c r="E768" s="111"/>
      <c r="F768" s="107" t="s">
        <v>46</v>
      </c>
      <c r="G768" s="142">
        <v>21286</v>
      </c>
      <c r="H768" s="142">
        <v>21286</v>
      </c>
      <c r="I768" s="81">
        <f t="shared" si="205"/>
        <v>100</v>
      </c>
      <c r="J768" s="142">
        <v>0</v>
      </c>
      <c r="K768" s="142">
        <f t="shared" si="207"/>
        <v>21286</v>
      </c>
      <c r="L768" s="141">
        <v>21286</v>
      </c>
      <c r="M768" s="89">
        <v>21286</v>
      </c>
      <c r="N768" s="81">
        <f t="shared" si="206"/>
        <v>100</v>
      </c>
      <c r="O768" s="366"/>
    </row>
    <row r="769" spans="1:15" ht="3.95" customHeight="1" outlineLevel="1">
      <c r="A769" s="121"/>
      <c r="B769" s="85"/>
      <c r="C769" s="86"/>
      <c r="D769" s="84"/>
      <c r="E769" s="84"/>
      <c r="F769" s="85"/>
      <c r="G769" s="143"/>
      <c r="H769" s="143"/>
      <c r="I769" s="85"/>
      <c r="J769" s="143"/>
      <c r="K769" s="143"/>
      <c r="L769" s="144"/>
      <c r="M769" s="87"/>
      <c r="N769" s="88"/>
      <c r="O769" s="222"/>
    </row>
    <row r="770" spans="1:15" ht="3.95" customHeight="1" outlineLevel="1">
      <c r="A770" s="157"/>
      <c r="B770" s="72"/>
      <c r="C770" s="73"/>
      <c r="D770" s="71"/>
      <c r="E770" s="71"/>
      <c r="F770" s="72"/>
      <c r="G770" s="138"/>
      <c r="H770" s="138"/>
      <c r="I770" s="75"/>
      <c r="J770" s="138"/>
      <c r="K770" s="138"/>
      <c r="L770" s="139"/>
      <c r="M770" s="74"/>
      <c r="N770" s="75"/>
      <c r="O770" s="208"/>
    </row>
    <row r="771" spans="1:15" ht="11.1" customHeight="1" outlineLevel="1">
      <c r="A771" s="370" t="s">
        <v>95</v>
      </c>
      <c r="B771" s="76" t="s">
        <v>9</v>
      </c>
      <c r="C771" s="77" t="s">
        <v>113</v>
      </c>
      <c r="D771" s="369" t="s">
        <v>202</v>
      </c>
      <c r="E771" s="369" t="s">
        <v>189</v>
      </c>
      <c r="F771" s="78" t="s">
        <v>28</v>
      </c>
      <c r="G771" s="140">
        <f>SUM(G772:G777)</f>
        <v>23553476</v>
      </c>
      <c r="H771" s="140">
        <f>SUM(H772:H777)</f>
        <v>1363118</v>
      </c>
      <c r="I771" s="39">
        <f t="shared" ref="I771:I777" si="208">IF(G771&gt;0,H771/G771*100,"-")</f>
        <v>5.7873326213082095</v>
      </c>
      <c r="J771" s="140">
        <f>SUM(J772:J777)</f>
        <v>1000000</v>
      </c>
      <c r="K771" s="140">
        <f>SUM(K772:K777)</f>
        <v>-708681</v>
      </c>
      <c r="L771" s="140">
        <f>SUM(L772:L777)</f>
        <v>291319</v>
      </c>
      <c r="M771" s="38">
        <f>SUM(M772:M777)</f>
        <v>151319</v>
      </c>
      <c r="N771" s="39">
        <f t="shared" ref="N771:N777" si="209">IF(L771&gt;0,M771/L771*100,"-")</f>
        <v>51.942715717134824</v>
      </c>
      <c r="O771" s="366" t="s">
        <v>263</v>
      </c>
    </row>
    <row r="772" spans="1:15" ht="11.1" customHeight="1" outlineLevel="1">
      <c r="A772" s="370"/>
      <c r="B772" s="76" t="s">
        <v>10</v>
      </c>
      <c r="C772" s="77" t="s">
        <v>195</v>
      </c>
      <c r="D772" s="369"/>
      <c r="E772" s="369"/>
      <c r="F772" s="79" t="s">
        <v>15</v>
      </c>
      <c r="G772" s="141">
        <v>10464626</v>
      </c>
      <c r="H772" s="141">
        <v>1087868</v>
      </c>
      <c r="I772" s="81">
        <f t="shared" si="208"/>
        <v>10.395670136706272</v>
      </c>
      <c r="J772" s="141">
        <v>0</v>
      </c>
      <c r="K772" s="142">
        <f t="shared" ref="K772:K777" si="210">L772-J772</f>
        <v>291319</v>
      </c>
      <c r="L772" s="141">
        <v>291319</v>
      </c>
      <c r="M772" s="83">
        <v>151319</v>
      </c>
      <c r="N772" s="81">
        <f t="shared" si="209"/>
        <v>51.942715717134824</v>
      </c>
      <c r="O772" s="366"/>
    </row>
    <row r="773" spans="1:15" ht="11.1" customHeight="1" outlineLevel="1">
      <c r="A773" s="370"/>
      <c r="B773" s="76" t="s">
        <v>11</v>
      </c>
      <c r="C773" s="82" t="s">
        <v>196</v>
      </c>
      <c r="D773" s="369"/>
      <c r="E773" s="369"/>
      <c r="F773" s="79" t="s">
        <v>7</v>
      </c>
      <c r="G773" s="141">
        <v>12813600</v>
      </c>
      <c r="H773" s="141">
        <v>0</v>
      </c>
      <c r="I773" s="81">
        <f t="shared" si="208"/>
        <v>0</v>
      </c>
      <c r="J773" s="141">
        <v>0</v>
      </c>
      <c r="K773" s="142">
        <f t="shared" si="210"/>
        <v>0</v>
      </c>
      <c r="L773" s="141">
        <v>0</v>
      </c>
      <c r="M773" s="83">
        <v>0</v>
      </c>
      <c r="N773" s="81" t="str">
        <f t="shared" si="209"/>
        <v>-</v>
      </c>
      <c r="O773" s="366"/>
    </row>
    <row r="774" spans="1:15" ht="11.1" customHeight="1" outlineLevel="1">
      <c r="A774" s="120"/>
      <c r="B774" s="76"/>
      <c r="C774" s="82" t="s">
        <v>197</v>
      </c>
      <c r="D774" s="111"/>
      <c r="E774" s="111"/>
      <c r="F774" s="79" t="s">
        <v>8</v>
      </c>
      <c r="G774" s="141">
        <v>275250</v>
      </c>
      <c r="H774" s="141">
        <v>275250</v>
      </c>
      <c r="I774" s="81">
        <f t="shared" si="208"/>
        <v>100</v>
      </c>
      <c r="J774" s="141">
        <v>1000000</v>
      </c>
      <c r="K774" s="142">
        <f t="shared" si="210"/>
        <v>-1000000</v>
      </c>
      <c r="L774" s="141">
        <v>0</v>
      </c>
      <c r="M774" s="80">
        <v>0</v>
      </c>
      <c r="N774" s="81" t="str">
        <f t="shared" si="209"/>
        <v>-</v>
      </c>
      <c r="O774" s="366"/>
    </row>
    <row r="775" spans="1:15" ht="11.1" customHeight="1" outlineLevel="1">
      <c r="A775" s="120"/>
      <c r="B775" s="76" t="s">
        <v>12</v>
      </c>
      <c r="C775" s="82" t="s">
        <v>445</v>
      </c>
      <c r="D775" s="111"/>
      <c r="E775" s="111"/>
      <c r="F775" s="79" t="s">
        <v>22</v>
      </c>
      <c r="G775" s="141">
        <v>0</v>
      </c>
      <c r="H775" s="141">
        <v>0</v>
      </c>
      <c r="I775" s="81" t="str">
        <f t="shared" si="208"/>
        <v>-</v>
      </c>
      <c r="J775" s="141">
        <v>0</v>
      </c>
      <c r="K775" s="142">
        <f t="shared" si="210"/>
        <v>0</v>
      </c>
      <c r="L775" s="141">
        <v>0</v>
      </c>
      <c r="M775" s="83">
        <v>0</v>
      </c>
      <c r="N775" s="81" t="str">
        <f t="shared" si="209"/>
        <v>-</v>
      </c>
      <c r="O775" s="366"/>
    </row>
    <row r="776" spans="1:15" ht="11.1" customHeight="1" outlineLevel="1">
      <c r="A776" s="120"/>
      <c r="B776" s="76"/>
      <c r="C776" s="82" t="s">
        <v>447</v>
      </c>
      <c r="D776" s="111"/>
      <c r="E776" s="111"/>
      <c r="F776" s="107" t="s">
        <v>45</v>
      </c>
      <c r="G776" s="141">
        <v>0</v>
      </c>
      <c r="H776" s="141">
        <v>0</v>
      </c>
      <c r="I776" s="81" t="str">
        <f t="shared" si="208"/>
        <v>-</v>
      </c>
      <c r="J776" s="141">
        <v>0</v>
      </c>
      <c r="K776" s="142">
        <f t="shared" si="210"/>
        <v>0</v>
      </c>
      <c r="L776" s="141">
        <v>0</v>
      </c>
      <c r="M776" s="83">
        <v>0</v>
      </c>
      <c r="N776" s="81" t="str">
        <f t="shared" si="209"/>
        <v>-</v>
      </c>
      <c r="O776" s="366"/>
    </row>
    <row r="777" spans="1:15" ht="11.1" customHeight="1" outlineLevel="1">
      <c r="A777" s="120"/>
      <c r="B777" s="76"/>
      <c r="C777" s="82" t="s">
        <v>201</v>
      </c>
      <c r="D777" s="111"/>
      <c r="E777" s="111"/>
      <c r="F777" s="107" t="s">
        <v>46</v>
      </c>
      <c r="G777" s="141">
        <v>0</v>
      </c>
      <c r="H777" s="141">
        <v>0</v>
      </c>
      <c r="I777" s="81" t="str">
        <f t="shared" si="208"/>
        <v>-</v>
      </c>
      <c r="J777" s="141">
        <v>0</v>
      </c>
      <c r="K777" s="142">
        <f t="shared" si="210"/>
        <v>0</v>
      </c>
      <c r="L777" s="141">
        <v>0</v>
      </c>
      <c r="M777" s="83">
        <v>0</v>
      </c>
      <c r="N777" s="81" t="str">
        <f t="shared" si="209"/>
        <v>-</v>
      </c>
      <c r="O777" s="366"/>
    </row>
    <row r="778" spans="1:15" ht="11.1" customHeight="1" outlineLevel="1">
      <c r="A778" s="120"/>
      <c r="B778" s="76"/>
      <c r="C778" s="82" t="s">
        <v>446</v>
      </c>
      <c r="D778" s="111"/>
      <c r="E778" s="111"/>
      <c r="F778" s="107"/>
      <c r="G778" s="142"/>
      <c r="H778" s="142"/>
      <c r="I778" s="152"/>
      <c r="J778" s="142"/>
      <c r="K778" s="142"/>
      <c r="L778" s="141"/>
      <c r="M778" s="89"/>
      <c r="N778" s="81"/>
      <c r="O778" s="356"/>
    </row>
    <row r="779" spans="1:15" ht="11.1" customHeight="1" outlineLevel="1">
      <c r="A779" s="120"/>
      <c r="B779" s="76" t="s">
        <v>23</v>
      </c>
      <c r="C779" s="82" t="s">
        <v>185</v>
      </c>
      <c r="D779" s="111"/>
      <c r="E779" s="111"/>
      <c r="F779" s="107"/>
      <c r="G779" s="142"/>
      <c r="H779" s="142"/>
      <c r="I779" s="152"/>
      <c r="J779" s="142"/>
      <c r="K779" s="142"/>
      <c r="L779" s="141"/>
      <c r="M779" s="89"/>
      <c r="N779" s="81"/>
      <c r="O779" s="356"/>
    </row>
    <row r="780" spans="1:15" ht="3.95" customHeight="1" outlineLevel="1">
      <c r="A780" s="121"/>
      <c r="B780" s="85"/>
      <c r="C780" s="86"/>
      <c r="D780" s="84"/>
      <c r="E780" s="84"/>
      <c r="F780" s="85"/>
      <c r="G780" s="143"/>
      <c r="H780" s="143"/>
      <c r="I780" s="85"/>
      <c r="J780" s="143"/>
      <c r="K780" s="143"/>
      <c r="L780" s="144"/>
      <c r="M780" s="87"/>
      <c r="N780" s="88"/>
      <c r="O780" s="222"/>
    </row>
    <row r="781" spans="1:15" ht="3.95" customHeight="1" outlineLevel="1">
      <c r="A781" s="157"/>
      <c r="B781" s="72"/>
      <c r="C781" s="73"/>
      <c r="D781" s="71"/>
      <c r="E781" s="71"/>
      <c r="F781" s="72"/>
      <c r="G781" s="138"/>
      <c r="H781" s="138"/>
      <c r="I781" s="75"/>
      <c r="J781" s="138"/>
      <c r="K781" s="138"/>
      <c r="L781" s="139"/>
      <c r="M781" s="74"/>
      <c r="N781" s="75"/>
      <c r="O781" s="208"/>
    </row>
    <row r="782" spans="1:15" ht="11.1" customHeight="1" outlineLevel="1">
      <c r="A782" s="370" t="s">
        <v>96</v>
      </c>
      <c r="B782" s="76" t="s">
        <v>9</v>
      </c>
      <c r="C782" s="77" t="s">
        <v>113</v>
      </c>
      <c r="D782" s="369" t="s">
        <v>61</v>
      </c>
      <c r="E782" s="369" t="s">
        <v>189</v>
      </c>
      <c r="F782" s="78" t="s">
        <v>28</v>
      </c>
      <c r="G782" s="140">
        <f>SUM(G783:G788)</f>
        <v>8458136</v>
      </c>
      <c r="H782" s="307">
        <f>SUM(H783:H788)</f>
        <v>8458019</v>
      </c>
      <c r="I782" s="39">
        <f t="shared" ref="I782:I788" si="211">IF(G782&gt;0,H782/G782*100,"-")</f>
        <v>99.9986167164964</v>
      </c>
      <c r="J782" s="140">
        <f>SUM(J783:J788)</f>
        <v>4963105</v>
      </c>
      <c r="K782" s="140">
        <f>SUM(K783:K788)</f>
        <v>719938</v>
      </c>
      <c r="L782" s="140">
        <f>SUM(L783:L788)</f>
        <v>5683043</v>
      </c>
      <c r="M782" s="38">
        <f>SUM(M783:M788)</f>
        <v>5682924.9499999993</v>
      </c>
      <c r="N782" s="39">
        <f t="shared" ref="N782:N788" si="212">IF(L782&gt;0,M782/L782*100,"-")</f>
        <v>99.997922767784786</v>
      </c>
      <c r="O782" s="366" t="s">
        <v>512</v>
      </c>
    </row>
    <row r="783" spans="1:15" ht="11.1" customHeight="1" outlineLevel="1">
      <c r="A783" s="370"/>
      <c r="B783" s="76" t="s">
        <v>10</v>
      </c>
      <c r="C783" s="77" t="s">
        <v>195</v>
      </c>
      <c r="D783" s="369"/>
      <c r="E783" s="369"/>
      <c r="F783" s="79" t="s">
        <v>15</v>
      </c>
      <c r="G783" s="141">
        <v>280124</v>
      </c>
      <c r="H783" s="141">
        <v>280124</v>
      </c>
      <c r="I783" s="81">
        <f t="shared" si="211"/>
        <v>100</v>
      </c>
      <c r="J783" s="141">
        <v>0</v>
      </c>
      <c r="K783" s="142">
        <f t="shared" ref="K783:K788" si="213">L783-J783</f>
        <v>142122</v>
      </c>
      <c r="L783" s="141">
        <v>142122</v>
      </c>
      <c r="M783" s="83">
        <v>142122</v>
      </c>
      <c r="N783" s="81">
        <f t="shared" si="212"/>
        <v>100</v>
      </c>
      <c r="O783" s="366"/>
    </row>
    <row r="784" spans="1:15" ht="11.1" customHeight="1" outlineLevel="1">
      <c r="A784" s="370"/>
      <c r="B784" s="76" t="s">
        <v>11</v>
      </c>
      <c r="C784" s="82" t="s">
        <v>196</v>
      </c>
      <c r="D784" s="369"/>
      <c r="E784" s="369"/>
      <c r="F784" s="79" t="s">
        <v>7</v>
      </c>
      <c r="G784" s="141">
        <v>4254062</v>
      </c>
      <c r="H784" s="141">
        <v>4254019</v>
      </c>
      <c r="I784" s="81">
        <f t="shared" si="211"/>
        <v>99.998989201379757</v>
      </c>
      <c r="J784" s="141">
        <v>2536732</v>
      </c>
      <c r="K784" s="142">
        <f t="shared" si="213"/>
        <v>540518</v>
      </c>
      <c r="L784" s="141">
        <v>3077250</v>
      </c>
      <c r="M784" s="83">
        <v>3077206.11</v>
      </c>
      <c r="N784" s="81">
        <f t="shared" si="212"/>
        <v>99.998573726541551</v>
      </c>
      <c r="O784" s="366"/>
    </row>
    <row r="785" spans="1:15" ht="11.1" customHeight="1" outlineLevel="1">
      <c r="A785" s="120"/>
      <c r="B785" s="76"/>
      <c r="C785" s="82" t="s">
        <v>197</v>
      </c>
      <c r="D785" s="111"/>
      <c r="E785" s="111"/>
      <c r="F785" s="79" t="s">
        <v>8</v>
      </c>
      <c r="G785" s="141">
        <v>3907355</v>
      </c>
      <c r="H785" s="141">
        <v>3907281</v>
      </c>
      <c r="I785" s="81">
        <f t="shared" si="211"/>
        <v>99.998106135736322</v>
      </c>
      <c r="J785" s="141">
        <v>2426373</v>
      </c>
      <c r="K785" s="142">
        <f t="shared" si="213"/>
        <v>20703</v>
      </c>
      <c r="L785" s="141">
        <v>2447076</v>
      </c>
      <c r="M785" s="80">
        <v>2447001.84</v>
      </c>
      <c r="N785" s="81">
        <f t="shared" si="212"/>
        <v>99.996969444349077</v>
      </c>
      <c r="O785" s="366"/>
    </row>
    <row r="786" spans="1:15" ht="11.1" customHeight="1" outlineLevel="1">
      <c r="A786" s="120"/>
      <c r="B786" s="76" t="s">
        <v>12</v>
      </c>
      <c r="C786" s="82" t="s">
        <v>445</v>
      </c>
      <c r="D786" s="111"/>
      <c r="E786" s="111"/>
      <c r="F786" s="79" t="s">
        <v>22</v>
      </c>
      <c r="G786" s="141">
        <v>0</v>
      </c>
      <c r="H786" s="141">
        <v>0</v>
      </c>
      <c r="I786" s="81" t="str">
        <f t="shared" si="211"/>
        <v>-</v>
      </c>
      <c r="J786" s="141">
        <v>0</v>
      </c>
      <c r="K786" s="142">
        <f t="shared" si="213"/>
        <v>0</v>
      </c>
      <c r="L786" s="141">
        <v>0</v>
      </c>
      <c r="M786" s="83">
        <v>0</v>
      </c>
      <c r="N786" s="81" t="str">
        <f t="shared" si="212"/>
        <v>-</v>
      </c>
      <c r="O786" s="366"/>
    </row>
    <row r="787" spans="1:15" ht="11.1" customHeight="1" outlineLevel="1">
      <c r="A787" s="120"/>
      <c r="B787" s="76"/>
      <c r="C787" s="82" t="s">
        <v>203</v>
      </c>
      <c r="D787" s="111"/>
      <c r="E787" s="111"/>
      <c r="F787" s="107" t="s">
        <v>45</v>
      </c>
      <c r="G787" s="141">
        <v>0</v>
      </c>
      <c r="H787" s="141">
        <v>0</v>
      </c>
      <c r="I787" s="81" t="str">
        <f t="shared" si="211"/>
        <v>-</v>
      </c>
      <c r="J787" s="141">
        <v>0</v>
      </c>
      <c r="K787" s="142">
        <f t="shared" si="213"/>
        <v>0</v>
      </c>
      <c r="L787" s="141">
        <v>0</v>
      </c>
      <c r="M787" s="83">
        <v>0</v>
      </c>
      <c r="N787" s="81" t="str">
        <f t="shared" si="212"/>
        <v>-</v>
      </c>
      <c r="O787" s="366"/>
    </row>
    <row r="788" spans="1:15" ht="11.1" customHeight="1" outlineLevel="1">
      <c r="A788" s="120"/>
      <c r="B788" s="76"/>
      <c r="C788" s="82" t="s">
        <v>448</v>
      </c>
      <c r="D788" s="111"/>
      <c r="E788" s="111"/>
      <c r="F788" s="107" t="s">
        <v>46</v>
      </c>
      <c r="G788" s="142">
        <v>16595</v>
      </c>
      <c r="H788" s="142">
        <v>16595</v>
      </c>
      <c r="I788" s="81">
        <f t="shared" si="211"/>
        <v>100</v>
      </c>
      <c r="J788" s="142">
        <v>0</v>
      </c>
      <c r="K788" s="142">
        <f t="shared" si="213"/>
        <v>16595</v>
      </c>
      <c r="L788" s="141">
        <v>16595</v>
      </c>
      <c r="M788" s="89">
        <v>16595</v>
      </c>
      <c r="N788" s="81">
        <f t="shared" si="212"/>
        <v>100</v>
      </c>
      <c r="O788" s="366"/>
    </row>
    <row r="789" spans="1:15" ht="11.1" customHeight="1" outlineLevel="1">
      <c r="A789" s="120"/>
      <c r="B789" s="76" t="s">
        <v>23</v>
      </c>
      <c r="C789" s="82" t="s">
        <v>185</v>
      </c>
      <c r="D789" s="111"/>
      <c r="E789" s="111"/>
      <c r="F789" s="107"/>
      <c r="G789" s="142"/>
      <c r="H789" s="142"/>
      <c r="I789" s="152"/>
      <c r="J789" s="142"/>
      <c r="K789" s="142"/>
      <c r="L789" s="141"/>
      <c r="M789" s="89"/>
      <c r="N789" s="81"/>
      <c r="O789" s="366"/>
    </row>
    <row r="790" spans="1:15" ht="11.1" customHeight="1" outlineLevel="1">
      <c r="A790" s="120"/>
      <c r="B790" s="76"/>
      <c r="C790" s="82"/>
      <c r="D790" s="90"/>
      <c r="E790" s="90"/>
      <c r="F790" s="107"/>
      <c r="G790" s="142"/>
      <c r="H790" s="142"/>
      <c r="I790" s="152"/>
      <c r="J790" s="142"/>
      <c r="K790" s="142"/>
      <c r="L790" s="141"/>
      <c r="M790" s="89"/>
      <c r="N790" s="81"/>
      <c r="O790" s="366"/>
    </row>
    <row r="791" spans="1:15" ht="3.95" customHeight="1" outlineLevel="1">
      <c r="A791" s="121"/>
      <c r="B791" s="85"/>
      <c r="C791" s="86"/>
      <c r="D791" s="84"/>
      <c r="E791" s="84"/>
      <c r="F791" s="85"/>
      <c r="G791" s="143"/>
      <c r="H791" s="143"/>
      <c r="I791" s="85"/>
      <c r="J791" s="143"/>
      <c r="K791" s="143"/>
      <c r="L791" s="144"/>
      <c r="M791" s="87"/>
      <c r="N791" s="88"/>
      <c r="O791" s="222"/>
    </row>
    <row r="792" spans="1:15" ht="3.95" customHeight="1" outlineLevel="1">
      <c r="A792" s="157"/>
      <c r="B792" s="72"/>
      <c r="C792" s="73"/>
      <c r="D792" s="71"/>
      <c r="E792" s="71"/>
      <c r="F792" s="72"/>
      <c r="G792" s="138"/>
      <c r="H792" s="138"/>
      <c r="I792" s="75"/>
      <c r="J792" s="138"/>
      <c r="K792" s="138"/>
      <c r="L792" s="139"/>
      <c r="M792" s="74"/>
      <c r="N792" s="75"/>
      <c r="O792" s="208"/>
    </row>
    <row r="793" spans="1:15" ht="11.1" customHeight="1" outlineLevel="1">
      <c r="A793" s="370" t="s">
        <v>97</v>
      </c>
      <c r="B793" s="76" t="s">
        <v>9</v>
      </c>
      <c r="C793" s="77" t="s">
        <v>113</v>
      </c>
      <c r="D793" s="369" t="s">
        <v>198</v>
      </c>
      <c r="E793" s="369" t="s">
        <v>189</v>
      </c>
      <c r="F793" s="78" t="s">
        <v>28</v>
      </c>
      <c r="G793" s="140">
        <f>SUM(G794:G799)</f>
        <v>26283899</v>
      </c>
      <c r="H793" s="140">
        <f>SUM(H794:H799)</f>
        <v>21059524</v>
      </c>
      <c r="I793" s="39">
        <f t="shared" ref="I793:I799" si="214">IF(G793&gt;0,H793/G793*100,"-")</f>
        <v>80.12328764465272</v>
      </c>
      <c r="J793" s="140">
        <f>SUM(J794:J799)</f>
        <v>17474701</v>
      </c>
      <c r="K793" s="140">
        <f>SUM(K794:K799)</f>
        <v>3361611</v>
      </c>
      <c r="L793" s="140">
        <f>SUM(L794:L799)</f>
        <v>20836312</v>
      </c>
      <c r="M793" s="38">
        <f>SUM(M794:M799)</f>
        <v>20165003.32</v>
      </c>
      <c r="N793" s="39">
        <f t="shared" ref="N793:N799" si="215">IF(L793&gt;0,M793/L793*100,"-")</f>
        <v>96.778178979082284</v>
      </c>
      <c r="O793" s="366" t="s">
        <v>258</v>
      </c>
    </row>
    <row r="794" spans="1:15" ht="11.1" customHeight="1" outlineLevel="1">
      <c r="A794" s="370"/>
      <c r="B794" s="76" t="s">
        <v>10</v>
      </c>
      <c r="C794" s="77" t="s">
        <v>195</v>
      </c>
      <c r="D794" s="369"/>
      <c r="E794" s="369"/>
      <c r="F794" s="79" t="s">
        <v>15</v>
      </c>
      <c r="G794" s="141">
        <v>387249</v>
      </c>
      <c r="H794" s="141">
        <v>387249</v>
      </c>
      <c r="I794" s="81">
        <f t="shared" si="214"/>
        <v>100</v>
      </c>
      <c r="J794" s="141">
        <v>0</v>
      </c>
      <c r="K794" s="142">
        <f t="shared" ref="K794:K799" si="216">L794-J794</f>
        <v>167121</v>
      </c>
      <c r="L794" s="141">
        <v>167121</v>
      </c>
      <c r="M794" s="83">
        <v>167121</v>
      </c>
      <c r="N794" s="81">
        <f t="shared" si="215"/>
        <v>100</v>
      </c>
      <c r="O794" s="366"/>
    </row>
    <row r="795" spans="1:15" ht="11.1" customHeight="1" outlineLevel="1">
      <c r="A795" s="370"/>
      <c r="B795" s="76" t="s">
        <v>11</v>
      </c>
      <c r="C795" s="82" t="s">
        <v>196</v>
      </c>
      <c r="D795" s="369"/>
      <c r="E795" s="369"/>
      <c r="F795" s="79" t="s">
        <v>7</v>
      </c>
      <c r="G795" s="141">
        <v>12338863</v>
      </c>
      <c r="H795" s="141">
        <v>9761011</v>
      </c>
      <c r="I795" s="81">
        <f t="shared" si="214"/>
        <v>79.10786431456448</v>
      </c>
      <c r="J795" s="141">
        <v>8346031</v>
      </c>
      <c r="K795" s="142">
        <f t="shared" si="216"/>
        <v>1418816</v>
      </c>
      <c r="L795" s="141">
        <v>9764847</v>
      </c>
      <c r="M795" s="83">
        <v>9730458.8399999999</v>
      </c>
      <c r="N795" s="81">
        <f t="shared" si="215"/>
        <v>99.647837185774648</v>
      </c>
      <c r="O795" s="366"/>
    </row>
    <row r="796" spans="1:15" ht="11.1" customHeight="1" outlineLevel="1">
      <c r="A796" s="120"/>
      <c r="B796" s="76"/>
      <c r="C796" s="82" t="s">
        <v>197</v>
      </c>
      <c r="D796" s="111"/>
      <c r="E796" s="111"/>
      <c r="F796" s="79" t="s">
        <v>8</v>
      </c>
      <c r="G796" s="141">
        <v>11380756</v>
      </c>
      <c r="H796" s="141">
        <v>8734233</v>
      </c>
      <c r="I796" s="81">
        <f t="shared" si="214"/>
        <v>76.745630958083979</v>
      </c>
      <c r="J796" s="141">
        <v>9128670</v>
      </c>
      <c r="K796" s="142">
        <f t="shared" si="216"/>
        <v>-401357</v>
      </c>
      <c r="L796" s="141">
        <v>8727313</v>
      </c>
      <c r="M796" s="80">
        <v>8090392.7199999997</v>
      </c>
      <c r="N796" s="81">
        <f t="shared" si="215"/>
        <v>92.701988802280837</v>
      </c>
      <c r="O796" s="366"/>
    </row>
    <row r="797" spans="1:15" ht="11.1" customHeight="1" outlineLevel="1">
      <c r="A797" s="120"/>
      <c r="B797" s="76" t="s">
        <v>12</v>
      </c>
      <c r="C797" s="82" t="s">
        <v>445</v>
      </c>
      <c r="D797" s="111"/>
      <c r="E797" s="111"/>
      <c r="F797" s="79" t="s">
        <v>22</v>
      </c>
      <c r="G797" s="141">
        <v>2064759</v>
      </c>
      <c r="H797" s="141">
        <v>2064759</v>
      </c>
      <c r="I797" s="81">
        <f t="shared" si="214"/>
        <v>100</v>
      </c>
      <c r="J797" s="141">
        <v>0</v>
      </c>
      <c r="K797" s="142">
        <f t="shared" si="216"/>
        <v>2064759</v>
      </c>
      <c r="L797" s="141">
        <v>2064759</v>
      </c>
      <c r="M797" s="89">
        <v>2064758.76</v>
      </c>
      <c r="N797" s="81">
        <f t="shared" si="215"/>
        <v>99.999988376367412</v>
      </c>
      <c r="O797" s="366"/>
    </row>
    <row r="798" spans="1:15" ht="11.1" customHeight="1" outlineLevel="1">
      <c r="A798" s="120"/>
      <c r="B798" s="76"/>
      <c r="C798" s="82" t="s">
        <v>204</v>
      </c>
      <c r="D798" s="111"/>
      <c r="E798" s="111"/>
      <c r="F798" s="107" t="s">
        <v>45</v>
      </c>
      <c r="G798" s="141">
        <v>0</v>
      </c>
      <c r="H798" s="141">
        <v>0</v>
      </c>
      <c r="I798" s="81" t="str">
        <f t="shared" si="214"/>
        <v>-</v>
      </c>
      <c r="J798" s="141">
        <v>0</v>
      </c>
      <c r="K798" s="142">
        <f t="shared" si="216"/>
        <v>0</v>
      </c>
      <c r="L798" s="141">
        <v>0</v>
      </c>
      <c r="M798" s="83">
        <v>0</v>
      </c>
      <c r="N798" s="81" t="str">
        <f t="shared" si="215"/>
        <v>-</v>
      </c>
      <c r="O798" s="366"/>
    </row>
    <row r="799" spans="1:15" ht="11.1" customHeight="1" outlineLevel="1">
      <c r="A799" s="120"/>
      <c r="B799" s="76"/>
      <c r="C799" s="82" t="s">
        <v>448</v>
      </c>
      <c r="D799" s="111"/>
      <c r="E799" s="111"/>
      <c r="F799" s="107" t="s">
        <v>46</v>
      </c>
      <c r="G799" s="142">
        <v>112272</v>
      </c>
      <c r="H799" s="142">
        <v>112272</v>
      </c>
      <c r="I799" s="81">
        <f t="shared" si="214"/>
        <v>100</v>
      </c>
      <c r="J799" s="142"/>
      <c r="K799" s="142">
        <f t="shared" si="216"/>
        <v>112272</v>
      </c>
      <c r="L799" s="141">
        <v>112272</v>
      </c>
      <c r="M799" s="89">
        <v>112272</v>
      </c>
      <c r="N799" s="81">
        <f t="shared" si="215"/>
        <v>100</v>
      </c>
      <c r="O799" s="366"/>
    </row>
    <row r="800" spans="1:15" ht="11.1" customHeight="1" outlineLevel="1">
      <c r="A800" s="120"/>
      <c r="B800" s="76" t="s">
        <v>23</v>
      </c>
      <c r="C800" s="82" t="s">
        <v>185</v>
      </c>
      <c r="D800" s="111"/>
      <c r="E800" s="111"/>
      <c r="F800" s="107"/>
      <c r="G800" s="142"/>
      <c r="H800" s="142"/>
      <c r="I800" s="152"/>
      <c r="J800" s="142"/>
      <c r="K800" s="142"/>
      <c r="L800" s="141"/>
      <c r="M800" s="89"/>
      <c r="N800" s="81"/>
      <c r="O800" s="356"/>
    </row>
    <row r="801" spans="1:15" ht="3.95" customHeight="1" outlineLevel="1">
      <c r="A801" s="121"/>
      <c r="B801" s="85"/>
      <c r="C801" s="86"/>
      <c r="D801" s="84"/>
      <c r="E801" s="84"/>
      <c r="F801" s="85"/>
      <c r="G801" s="143"/>
      <c r="H801" s="143"/>
      <c r="I801" s="85"/>
      <c r="J801" s="143"/>
      <c r="K801" s="143"/>
      <c r="L801" s="144"/>
      <c r="M801" s="87"/>
      <c r="N801" s="88"/>
      <c r="O801" s="222"/>
    </row>
    <row r="802" spans="1:15" ht="3.95" customHeight="1" outlineLevel="1">
      <c r="A802" s="157"/>
      <c r="B802" s="72"/>
      <c r="C802" s="73"/>
      <c r="D802" s="71"/>
      <c r="E802" s="71"/>
      <c r="F802" s="72"/>
      <c r="G802" s="138"/>
      <c r="H802" s="138"/>
      <c r="I802" s="75"/>
      <c r="J802" s="138"/>
      <c r="K802" s="138"/>
      <c r="L802" s="139"/>
      <c r="M802" s="74"/>
      <c r="N802" s="75"/>
      <c r="O802" s="208"/>
    </row>
    <row r="803" spans="1:15" ht="11.1" customHeight="1" outlineLevel="1">
      <c r="A803" s="370" t="s">
        <v>98</v>
      </c>
      <c r="B803" s="76" t="s">
        <v>9</v>
      </c>
      <c r="C803" s="151" t="s">
        <v>113</v>
      </c>
      <c r="D803" s="369" t="s">
        <v>64</v>
      </c>
      <c r="E803" s="369" t="s">
        <v>189</v>
      </c>
      <c r="F803" s="78" t="s">
        <v>28</v>
      </c>
      <c r="G803" s="140">
        <f>SUM(G804:G809)</f>
        <v>8005020</v>
      </c>
      <c r="H803" s="140">
        <f>SUM(H804:H809)</f>
        <v>336040</v>
      </c>
      <c r="I803" s="39">
        <f t="shared" ref="I803:I809" si="217">IF(G803&gt;0,H803/G803*100,"-")</f>
        <v>4.1978658391859112</v>
      </c>
      <c r="J803" s="140">
        <f>SUM(J804:J809)</f>
        <v>4777000</v>
      </c>
      <c r="K803" s="140">
        <f>SUM(K804:K809)</f>
        <v>-4544660</v>
      </c>
      <c r="L803" s="140">
        <f>SUM(L804:L809)</f>
        <v>232340</v>
      </c>
      <c r="M803" s="38">
        <f>SUM(M804:M809)</f>
        <v>232340</v>
      </c>
      <c r="N803" s="39">
        <f t="shared" ref="N803:N809" si="218">IF(L803&gt;0,M803/L803*100,"-")</f>
        <v>100</v>
      </c>
      <c r="O803" s="366" t="s">
        <v>264</v>
      </c>
    </row>
    <row r="804" spans="1:15" ht="11.1" customHeight="1" outlineLevel="1">
      <c r="A804" s="370"/>
      <c r="B804" s="76" t="s">
        <v>10</v>
      </c>
      <c r="C804" s="151" t="s">
        <v>133</v>
      </c>
      <c r="D804" s="369"/>
      <c r="E804" s="369"/>
      <c r="F804" s="79" t="s">
        <v>15</v>
      </c>
      <c r="G804" s="141">
        <v>50811</v>
      </c>
      <c r="H804" s="141">
        <v>50811</v>
      </c>
      <c r="I804" s="81">
        <f t="shared" si="217"/>
        <v>100</v>
      </c>
      <c r="J804" s="141">
        <v>0</v>
      </c>
      <c r="K804" s="142">
        <f t="shared" ref="K804:K809" si="219">L804-J804</f>
        <v>50811</v>
      </c>
      <c r="L804" s="141">
        <v>50811</v>
      </c>
      <c r="M804" s="83">
        <v>50811</v>
      </c>
      <c r="N804" s="81">
        <f t="shared" si="218"/>
        <v>100</v>
      </c>
      <c r="O804" s="366"/>
    </row>
    <row r="805" spans="1:15" ht="11.1" customHeight="1" outlineLevel="1">
      <c r="A805" s="370"/>
      <c r="B805" s="76"/>
      <c r="C805" s="82" t="s">
        <v>134</v>
      </c>
      <c r="D805" s="369"/>
      <c r="E805" s="369"/>
      <c r="F805" s="79" t="s">
        <v>7</v>
      </c>
      <c r="G805" s="141">
        <v>4983880</v>
      </c>
      <c r="H805" s="141">
        <v>105000</v>
      </c>
      <c r="I805" s="81">
        <f t="shared" si="217"/>
        <v>2.1067922983699447</v>
      </c>
      <c r="J805" s="141">
        <v>3199392</v>
      </c>
      <c r="K805" s="142">
        <f t="shared" si="219"/>
        <v>-3094392</v>
      </c>
      <c r="L805" s="141">
        <v>105000</v>
      </c>
      <c r="M805" s="83">
        <v>105000</v>
      </c>
      <c r="N805" s="81">
        <f t="shared" si="218"/>
        <v>100</v>
      </c>
      <c r="O805" s="366"/>
    </row>
    <row r="806" spans="1:15" ht="11.1" customHeight="1" outlineLevel="1">
      <c r="A806" s="120"/>
      <c r="B806" s="76" t="s">
        <v>11</v>
      </c>
      <c r="C806" s="82" t="s">
        <v>210</v>
      </c>
      <c r="D806" s="111"/>
      <c r="E806" s="111"/>
      <c r="F806" s="79" t="s">
        <v>8</v>
      </c>
      <c r="G806" s="141">
        <v>2963800</v>
      </c>
      <c r="H806" s="141">
        <v>173700</v>
      </c>
      <c r="I806" s="81">
        <f t="shared" si="217"/>
        <v>5.8607193467845331</v>
      </c>
      <c r="J806" s="141">
        <v>1577608</v>
      </c>
      <c r="K806" s="142">
        <f t="shared" si="219"/>
        <v>-1507608</v>
      </c>
      <c r="L806" s="141">
        <v>70000</v>
      </c>
      <c r="M806" s="80">
        <v>70000</v>
      </c>
      <c r="N806" s="81">
        <f t="shared" si="218"/>
        <v>100</v>
      </c>
      <c r="O806" s="366"/>
    </row>
    <row r="807" spans="1:15" ht="11.1" customHeight="1" outlineLevel="1">
      <c r="A807" s="120"/>
      <c r="B807" s="76"/>
      <c r="C807" s="82" t="s">
        <v>135</v>
      </c>
      <c r="D807" s="111"/>
      <c r="E807" s="111"/>
      <c r="F807" s="79" t="s">
        <v>22</v>
      </c>
      <c r="G807" s="141">
        <v>0</v>
      </c>
      <c r="H807" s="141">
        <v>0</v>
      </c>
      <c r="I807" s="81" t="str">
        <f t="shared" si="217"/>
        <v>-</v>
      </c>
      <c r="J807" s="141">
        <v>0</v>
      </c>
      <c r="K807" s="142">
        <f t="shared" si="219"/>
        <v>0</v>
      </c>
      <c r="L807" s="141">
        <v>0</v>
      </c>
      <c r="M807" s="83">
        <v>0</v>
      </c>
      <c r="N807" s="81" t="str">
        <f t="shared" si="218"/>
        <v>-</v>
      </c>
      <c r="O807" s="366"/>
    </row>
    <row r="808" spans="1:15" ht="11.1" customHeight="1" outlineLevel="1">
      <c r="A808" s="120"/>
      <c r="B808" s="76" t="s">
        <v>12</v>
      </c>
      <c r="C808" s="82" t="s">
        <v>449</v>
      </c>
      <c r="D808" s="111"/>
      <c r="E808" s="111"/>
      <c r="F808" s="107" t="s">
        <v>45</v>
      </c>
      <c r="G808" s="141">
        <v>0</v>
      </c>
      <c r="H808" s="141">
        <v>0</v>
      </c>
      <c r="I808" s="81" t="str">
        <f t="shared" si="217"/>
        <v>-</v>
      </c>
      <c r="J808" s="141">
        <v>0</v>
      </c>
      <c r="K808" s="142">
        <f t="shared" si="219"/>
        <v>0</v>
      </c>
      <c r="L808" s="141">
        <v>0</v>
      </c>
      <c r="M808" s="83">
        <v>0</v>
      </c>
      <c r="N808" s="81" t="str">
        <f t="shared" si="218"/>
        <v>-</v>
      </c>
      <c r="O808" s="366"/>
    </row>
    <row r="809" spans="1:15" ht="11.1" customHeight="1" outlineLevel="1">
      <c r="A809" s="120"/>
      <c r="B809" s="76"/>
      <c r="C809" s="82" t="s">
        <v>205</v>
      </c>
      <c r="D809" s="111"/>
      <c r="E809" s="111"/>
      <c r="F809" s="107" t="s">
        <v>46</v>
      </c>
      <c r="G809" s="142">
        <v>6529</v>
      </c>
      <c r="H809" s="142">
        <v>6529</v>
      </c>
      <c r="I809" s="81">
        <f t="shared" si="217"/>
        <v>100</v>
      </c>
      <c r="J809" s="142">
        <v>0</v>
      </c>
      <c r="K809" s="142">
        <f t="shared" si="219"/>
        <v>6529</v>
      </c>
      <c r="L809" s="141">
        <v>6529</v>
      </c>
      <c r="M809" s="89">
        <v>6529</v>
      </c>
      <c r="N809" s="81">
        <f t="shared" si="218"/>
        <v>100</v>
      </c>
      <c r="O809" s="366"/>
    </row>
    <row r="810" spans="1:15" ht="11.1" customHeight="1" outlineLevel="1">
      <c r="A810" s="120"/>
      <c r="B810" s="76"/>
      <c r="C810" s="82" t="s">
        <v>450</v>
      </c>
      <c r="D810" s="111"/>
      <c r="E810" s="111"/>
      <c r="F810" s="107"/>
      <c r="G810" s="142"/>
      <c r="H810" s="142"/>
      <c r="I810" s="152"/>
      <c r="J810" s="142"/>
      <c r="K810" s="142"/>
      <c r="L810" s="141"/>
      <c r="M810" s="89"/>
      <c r="N810" s="81"/>
      <c r="O810" s="356"/>
    </row>
    <row r="811" spans="1:15" ht="11.1" customHeight="1" outlineLevel="1">
      <c r="A811" s="120"/>
      <c r="B811" s="76" t="s">
        <v>23</v>
      </c>
      <c r="C811" s="82" t="s">
        <v>206</v>
      </c>
      <c r="D811" s="111"/>
      <c r="E811" s="111"/>
      <c r="F811" s="107"/>
      <c r="G811" s="142"/>
      <c r="H811" s="142"/>
      <c r="I811" s="152"/>
      <c r="J811" s="142"/>
      <c r="K811" s="142"/>
      <c r="L811" s="141"/>
      <c r="M811" s="89"/>
      <c r="N811" s="81"/>
      <c r="O811" s="356"/>
    </row>
    <row r="812" spans="1:15" ht="3.95" customHeight="1" outlineLevel="1">
      <c r="A812" s="121"/>
      <c r="B812" s="85"/>
      <c r="C812" s="86"/>
      <c r="D812" s="84"/>
      <c r="E812" s="84"/>
      <c r="F812" s="85"/>
      <c r="G812" s="143"/>
      <c r="H812" s="143"/>
      <c r="I812" s="85"/>
      <c r="J812" s="143"/>
      <c r="K812" s="143"/>
      <c r="L812" s="144"/>
      <c r="M812" s="87"/>
      <c r="N812" s="88"/>
      <c r="O812" s="222"/>
    </row>
    <row r="813" spans="1:15" ht="3.95" customHeight="1" outlineLevel="1">
      <c r="A813" s="157"/>
      <c r="B813" s="72"/>
      <c r="C813" s="73"/>
      <c r="D813" s="71"/>
      <c r="E813" s="71"/>
      <c r="F813" s="72"/>
      <c r="G813" s="138"/>
      <c r="H813" s="138"/>
      <c r="I813" s="75"/>
      <c r="J813" s="138"/>
      <c r="K813" s="138"/>
      <c r="L813" s="139"/>
      <c r="M813" s="74"/>
      <c r="N813" s="75"/>
      <c r="O813" s="208"/>
    </row>
    <row r="814" spans="1:15" ht="11.1" customHeight="1" outlineLevel="1">
      <c r="A814" s="370" t="s">
        <v>100</v>
      </c>
      <c r="B814" s="76" t="s">
        <v>9</v>
      </c>
      <c r="C814" s="151" t="s">
        <v>113</v>
      </c>
      <c r="D814" s="369" t="s">
        <v>207</v>
      </c>
      <c r="E814" s="369" t="s">
        <v>187</v>
      </c>
      <c r="F814" s="78" t="s">
        <v>28</v>
      </c>
      <c r="G814" s="140">
        <f>SUM(G815:G820)</f>
        <v>7568551</v>
      </c>
      <c r="H814" s="140">
        <f>SUM(H815:H820)</f>
        <v>6527130</v>
      </c>
      <c r="I814" s="39">
        <f t="shared" ref="I814:I820" si="220">IF(G814&gt;0,H814/G814*100,"-")</f>
        <v>86.24015349833806</v>
      </c>
      <c r="J814" s="140">
        <f>SUM(J815:J820)</f>
        <v>4296026</v>
      </c>
      <c r="K814" s="140">
        <f>SUM(K815:K820)</f>
        <v>-118726</v>
      </c>
      <c r="L814" s="140">
        <f>SUM(L815:L820)</f>
        <v>4177300</v>
      </c>
      <c r="M814" s="38">
        <f>SUM(M815:M820)</f>
        <v>4177298.2899999996</v>
      </c>
      <c r="N814" s="39">
        <f t="shared" ref="N814:N820" si="221">IF(L814&gt;0,M814/L814*100,"-")</f>
        <v>99.999959064467475</v>
      </c>
      <c r="O814" s="366" t="s">
        <v>265</v>
      </c>
    </row>
    <row r="815" spans="1:15" ht="11.1" customHeight="1" outlineLevel="1">
      <c r="A815" s="370"/>
      <c r="B815" s="76" t="s">
        <v>10</v>
      </c>
      <c r="C815" s="151" t="s">
        <v>133</v>
      </c>
      <c r="D815" s="369"/>
      <c r="E815" s="369"/>
      <c r="F815" s="79" t="s">
        <v>15</v>
      </c>
      <c r="G815" s="141">
        <v>1095804</v>
      </c>
      <c r="H815" s="141">
        <v>1029022</v>
      </c>
      <c r="I815" s="81">
        <f t="shared" si="220"/>
        <v>93.905661961445659</v>
      </c>
      <c r="J815" s="141">
        <v>0</v>
      </c>
      <c r="K815" s="142">
        <f t="shared" ref="K815:K820" si="222">L815-J815</f>
        <v>1009022</v>
      </c>
      <c r="L815" s="141">
        <v>1009022</v>
      </c>
      <c r="M815" s="83">
        <v>1009021.88</v>
      </c>
      <c r="N815" s="81">
        <f t="shared" si="221"/>
        <v>99.999988107295977</v>
      </c>
      <c r="O815" s="366"/>
    </row>
    <row r="816" spans="1:15" ht="11.1" customHeight="1" outlineLevel="1">
      <c r="A816" s="370"/>
      <c r="B816" s="76"/>
      <c r="C816" s="82" t="s">
        <v>134</v>
      </c>
      <c r="D816" s="369"/>
      <c r="E816" s="369"/>
      <c r="F816" s="79" t="s">
        <v>7</v>
      </c>
      <c r="G816" s="141">
        <v>5735871</v>
      </c>
      <c r="H816" s="141">
        <v>4835796</v>
      </c>
      <c r="I816" s="81">
        <f t="shared" si="220"/>
        <v>84.307962992891575</v>
      </c>
      <c r="J816" s="141">
        <v>3228342</v>
      </c>
      <c r="K816" s="142">
        <f t="shared" si="222"/>
        <v>-145931</v>
      </c>
      <c r="L816" s="141">
        <v>3082411</v>
      </c>
      <c r="M816" s="83">
        <v>3082410.34</v>
      </c>
      <c r="N816" s="81">
        <f t="shared" si="221"/>
        <v>99.999978588189563</v>
      </c>
      <c r="O816" s="366"/>
    </row>
    <row r="817" spans="1:15" ht="11.1" customHeight="1" outlineLevel="1">
      <c r="A817" s="120"/>
      <c r="B817" s="76" t="s">
        <v>11</v>
      </c>
      <c r="C817" s="82" t="s">
        <v>210</v>
      </c>
      <c r="D817" s="111"/>
      <c r="E817" s="111"/>
      <c r="F817" s="79" t="s">
        <v>8</v>
      </c>
      <c r="G817" s="141">
        <v>717392</v>
      </c>
      <c r="H817" s="141">
        <v>642828</v>
      </c>
      <c r="I817" s="81">
        <f t="shared" si="220"/>
        <v>89.606240381827504</v>
      </c>
      <c r="J817" s="141">
        <v>1067684</v>
      </c>
      <c r="K817" s="142">
        <f t="shared" si="222"/>
        <v>-1001301</v>
      </c>
      <c r="L817" s="141">
        <v>66383</v>
      </c>
      <c r="M817" s="80">
        <v>66382.5</v>
      </c>
      <c r="N817" s="81">
        <f t="shared" si="221"/>
        <v>99.999246795113208</v>
      </c>
      <c r="O817" s="366"/>
    </row>
    <row r="818" spans="1:15" ht="11.1" customHeight="1" outlineLevel="1">
      <c r="A818" s="120"/>
      <c r="B818" s="76"/>
      <c r="C818" s="82" t="s">
        <v>135</v>
      </c>
      <c r="D818" s="111"/>
      <c r="E818" s="111"/>
      <c r="F818" s="79" t="s">
        <v>22</v>
      </c>
      <c r="G818" s="141">
        <v>0</v>
      </c>
      <c r="H818" s="141">
        <v>0</v>
      </c>
      <c r="I818" s="81" t="str">
        <f t="shared" si="220"/>
        <v>-</v>
      </c>
      <c r="J818" s="141">
        <v>0</v>
      </c>
      <c r="K818" s="142">
        <f t="shared" si="222"/>
        <v>0</v>
      </c>
      <c r="L818" s="141">
        <v>0</v>
      </c>
      <c r="M818" s="83">
        <v>0</v>
      </c>
      <c r="N818" s="81" t="str">
        <f t="shared" si="221"/>
        <v>-</v>
      </c>
      <c r="O818" s="366"/>
    </row>
    <row r="819" spans="1:15" ht="11.1" customHeight="1" outlineLevel="1">
      <c r="A819" s="120"/>
      <c r="B819" s="76" t="s">
        <v>12</v>
      </c>
      <c r="C819" s="82" t="s">
        <v>451</v>
      </c>
      <c r="D819" s="111"/>
      <c r="E819" s="111"/>
      <c r="F819" s="107" t="s">
        <v>45</v>
      </c>
      <c r="G819" s="141">
        <v>0</v>
      </c>
      <c r="H819" s="141">
        <v>0</v>
      </c>
      <c r="I819" s="81" t="str">
        <f t="shared" si="220"/>
        <v>-</v>
      </c>
      <c r="J819" s="141">
        <v>0</v>
      </c>
      <c r="K819" s="142">
        <f t="shared" si="222"/>
        <v>0</v>
      </c>
      <c r="L819" s="141">
        <v>0</v>
      </c>
      <c r="M819" s="83">
        <v>0</v>
      </c>
      <c r="N819" s="81" t="str">
        <f t="shared" si="221"/>
        <v>-</v>
      </c>
      <c r="O819" s="366"/>
    </row>
    <row r="820" spans="1:15" ht="11.1" customHeight="1" outlineLevel="1">
      <c r="A820" s="120"/>
      <c r="B820" s="76"/>
      <c r="C820" s="82" t="s">
        <v>452</v>
      </c>
      <c r="D820" s="111"/>
      <c r="E820" s="111"/>
      <c r="F820" s="107" t="s">
        <v>46</v>
      </c>
      <c r="G820" s="142">
        <v>19484</v>
      </c>
      <c r="H820" s="142">
        <v>19484</v>
      </c>
      <c r="I820" s="81">
        <f t="shared" si="220"/>
        <v>100</v>
      </c>
      <c r="J820" s="142"/>
      <c r="K820" s="142">
        <f t="shared" si="222"/>
        <v>19484</v>
      </c>
      <c r="L820" s="141">
        <v>19484</v>
      </c>
      <c r="M820" s="89">
        <v>19483.57</v>
      </c>
      <c r="N820" s="81">
        <f t="shared" si="221"/>
        <v>99.997793060973109</v>
      </c>
      <c r="O820" s="366"/>
    </row>
    <row r="821" spans="1:15" ht="11.1" customHeight="1" outlineLevel="1">
      <c r="A821" s="120"/>
      <c r="B821" s="76" t="s">
        <v>23</v>
      </c>
      <c r="C821" s="82" t="s">
        <v>206</v>
      </c>
      <c r="D821" s="111"/>
      <c r="E821" s="111"/>
      <c r="F821" s="107"/>
      <c r="G821" s="142"/>
      <c r="H821" s="142"/>
      <c r="I821" s="152"/>
      <c r="J821" s="142"/>
      <c r="K821" s="142"/>
      <c r="L821" s="141"/>
      <c r="M821" s="89"/>
      <c r="N821" s="81"/>
      <c r="O821" s="356"/>
    </row>
    <row r="822" spans="1:15" ht="3.95" customHeight="1" outlineLevel="1">
      <c r="A822" s="121"/>
      <c r="B822" s="85"/>
      <c r="C822" s="86"/>
      <c r="D822" s="84"/>
      <c r="E822" s="84"/>
      <c r="F822" s="85"/>
      <c r="G822" s="143"/>
      <c r="H822" s="143"/>
      <c r="I822" s="85"/>
      <c r="J822" s="143"/>
      <c r="K822" s="143"/>
      <c r="L822" s="144"/>
      <c r="M822" s="87"/>
      <c r="N822" s="88"/>
      <c r="O822" s="222"/>
    </row>
    <row r="823" spans="1:15" ht="3.95" customHeight="1" outlineLevel="1">
      <c r="A823" s="157"/>
      <c r="B823" s="72"/>
      <c r="C823" s="73"/>
      <c r="D823" s="71"/>
      <c r="E823" s="71"/>
      <c r="F823" s="72"/>
      <c r="G823" s="138"/>
      <c r="H823" s="138"/>
      <c r="I823" s="75"/>
      <c r="J823" s="138"/>
      <c r="K823" s="138"/>
      <c r="L823" s="139"/>
      <c r="M823" s="74"/>
      <c r="N823" s="75"/>
      <c r="O823" s="208"/>
    </row>
    <row r="824" spans="1:15" ht="11.1" customHeight="1" outlineLevel="1">
      <c r="A824" s="370" t="s">
        <v>101</v>
      </c>
      <c r="B824" s="76" t="s">
        <v>9</v>
      </c>
      <c r="C824" s="151" t="s">
        <v>113</v>
      </c>
      <c r="D824" s="369" t="s">
        <v>207</v>
      </c>
      <c r="E824" s="369" t="s">
        <v>189</v>
      </c>
      <c r="F824" s="78" t="s">
        <v>28</v>
      </c>
      <c r="G824" s="140">
        <f>SUM(G825:G830)</f>
        <v>8747551</v>
      </c>
      <c r="H824" s="140">
        <f>SUM(H825:H830)</f>
        <v>5609596</v>
      </c>
      <c r="I824" s="39">
        <f t="shared" ref="I824:I830" si="223">IF(G824&gt;0,H824/G824*100,"-")</f>
        <v>64.127616975311156</v>
      </c>
      <c r="J824" s="140">
        <f>SUM(J825:J830)</f>
        <v>7970402</v>
      </c>
      <c r="K824" s="140">
        <f>SUM(K825:K830)</f>
        <v>-2882095</v>
      </c>
      <c r="L824" s="140">
        <f>SUM(L825:L830)</f>
        <v>5088307</v>
      </c>
      <c r="M824" s="38">
        <f>SUM(M825:M830)</f>
        <v>5088305.3900000006</v>
      </c>
      <c r="N824" s="39">
        <f t="shared" ref="N824:N830" si="224">IF(L824&gt;0,M824/L824*100,"-")</f>
        <v>99.999968358827417</v>
      </c>
      <c r="O824" s="366" t="s">
        <v>268</v>
      </c>
    </row>
    <row r="825" spans="1:15" ht="11.1" customHeight="1" outlineLevel="1">
      <c r="A825" s="370"/>
      <c r="B825" s="76" t="s">
        <v>10</v>
      </c>
      <c r="C825" s="151" t="s">
        <v>133</v>
      </c>
      <c r="D825" s="369"/>
      <c r="E825" s="369"/>
      <c r="F825" s="79" t="s">
        <v>15</v>
      </c>
      <c r="G825" s="141">
        <v>201325</v>
      </c>
      <c r="H825" s="141">
        <v>201325</v>
      </c>
      <c r="I825" s="81">
        <f t="shared" si="223"/>
        <v>100</v>
      </c>
      <c r="J825" s="141">
        <v>0</v>
      </c>
      <c r="K825" s="142">
        <f t="shared" ref="K825:K830" si="225">L825-J825</f>
        <v>67125</v>
      </c>
      <c r="L825" s="141">
        <v>67125</v>
      </c>
      <c r="M825" s="83">
        <v>67125</v>
      </c>
      <c r="N825" s="81">
        <f t="shared" si="224"/>
        <v>100</v>
      </c>
      <c r="O825" s="366"/>
    </row>
    <row r="826" spans="1:15" ht="11.1" customHeight="1" outlineLevel="1">
      <c r="A826" s="370"/>
      <c r="B826" s="76"/>
      <c r="C826" s="82" t="s">
        <v>134</v>
      </c>
      <c r="D826" s="369"/>
      <c r="E826" s="369"/>
      <c r="F826" s="79" t="s">
        <v>7</v>
      </c>
      <c r="G826" s="141">
        <v>6768332</v>
      </c>
      <c r="H826" s="141">
        <v>4018420</v>
      </c>
      <c r="I826" s="81">
        <f t="shared" si="223"/>
        <v>59.370905564325149</v>
      </c>
      <c r="J826" s="141">
        <v>6741592</v>
      </c>
      <c r="K826" s="142">
        <f t="shared" si="225"/>
        <v>-2749912</v>
      </c>
      <c r="L826" s="141">
        <v>3991680</v>
      </c>
      <c r="M826" s="83">
        <v>3991679.33</v>
      </c>
      <c r="N826" s="81">
        <f t="shared" si="224"/>
        <v>99.999983215087383</v>
      </c>
      <c r="O826" s="366"/>
    </row>
    <row r="827" spans="1:15" ht="11.1" customHeight="1" outlineLevel="1">
      <c r="A827" s="120"/>
      <c r="B827" s="76" t="s">
        <v>11</v>
      </c>
      <c r="C827" s="82" t="s">
        <v>210</v>
      </c>
      <c r="D827" s="111"/>
      <c r="E827" s="111"/>
      <c r="F827" s="79" t="s">
        <v>8</v>
      </c>
      <c r="G827" s="141">
        <v>1762800</v>
      </c>
      <c r="H827" s="141">
        <v>1374757</v>
      </c>
      <c r="I827" s="81">
        <f t="shared" si="223"/>
        <v>77.987122759246645</v>
      </c>
      <c r="J827" s="141">
        <v>1228810</v>
      </c>
      <c r="K827" s="142">
        <f t="shared" si="225"/>
        <v>-214402</v>
      </c>
      <c r="L827" s="141">
        <v>1014408</v>
      </c>
      <c r="M827" s="80">
        <v>1014407.37</v>
      </c>
      <c r="N827" s="81">
        <f t="shared" si="224"/>
        <v>99.999937894811552</v>
      </c>
      <c r="O827" s="366"/>
    </row>
    <row r="828" spans="1:15" ht="11.1" customHeight="1" outlineLevel="1">
      <c r="A828" s="120"/>
      <c r="B828" s="76"/>
      <c r="C828" s="82" t="s">
        <v>135</v>
      </c>
      <c r="D828" s="111"/>
      <c r="E828" s="111"/>
      <c r="F828" s="79" t="s">
        <v>22</v>
      </c>
      <c r="G828" s="141">
        <v>0</v>
      </c>
      <c r="H828" s="141">
        <v>0</v>
      </c>
      <c r="I828" s="81" t="str">
        <f t="shared" si="223"/>
        <v>-</v>
      </c>
      <c r="J828" s="141">
        <v>0</v>
      </c>
      <c r="K828" s="142">
        <f t="shared" si="225"/>
        <v>0</v>
      </c>
      <c r="L828" s="141">
        <v>0</v>
      </c>
      <c r="M828" s="83">
        <v>0</v>
      </c>
      <c r="N828" s="81" t="str">
        <f t="shared" si="224"/>
        <v>-</v>
      </c>
      <c r="O828" s="366"/>
    </row>
    <row r="829" spans="1:15" ht="11.1" customHeight="1" outlineLevel="1">
      <c r="A829" s="120"/>
      <c r="B829" s="76" t="s">
        <v>12</v>
      </c>
      <c r="C829" s="82" t="s">
        <v>453</v>
      </c>
      <c r="D829" s="111"/>
      <c r="E829" s="111"/>
      <c r="F829" s="107" t="s">
        <v>45</v>
      </c>
      <c r="G829" s="141">
        <v>0</v>
      </c>
      <c r="H829" s="141">
        <v>0</v>
      </c>
      <c r="I829" s="81" t="str">
        <f t="shared" si="223"/>
        <v>-</v>
      </c>
      <c r="J829" s="141">
        <v>0</v>
      </c>
      <c r="K829" s="142">
        <f t="shared" si="225"/>
        <v>0</v>
      </c>
      <c r="L829" s="141">
        <v>0</v>
      </c>
      <c r="M829" s="83">
        <v>0</v>
      </c>
      <c r="N829" s="81" t="str">
        <f t="shared" si="224"/>
        <v>-</v>
      </c>
      <c r="O829" s="366"/>
    </row>
    <row r="830" spans="1:15" ht="11.1" customHeight="1" outlineLevel="1">
      <c r="A830" s="120"/>
      <c r="B830" s="76"/>
      <c r="C830" s="82" t="s">
        <v>208</v>
      </c>
      <c r="D830" s="111"/>
      <c r="E830" s="111"/>
      <c r="F830" s="107" t="s">
        <v>46</v>
      </c>
      <c r="G830" s="142">
        <v>15094</v>
      </c>
      <c r="H830" s="142">
        <v>15094</v>
      </c>
      <c r="I830" s="81">
        <f t="shared" si="223"/>
        <v>100</v>
      </c>
      <c r="J830" s="142">
        <v>0</v>
      </c>
      <c r="K830" s="142">
        <f t="shared" si="225"/>
        <v>15094</v>
      </c>
      <c r="L830" s="141">
        <v>15094</v>
      </c>
      <c r="M830" s="89">
        <v>15093.69</v>
      </c>
      <c r="N830" s="81">
        <f t="shared" si="224"/>
        <v>99.997946203789596</v>
      </c>
      <c r="O830" s="366"/>
    </row>
    <row r="831" spans="1:15" ht="11.1" customHeight="1" outlineLevel="1">
      <c r="A831" s="120"/>
      <c r="B831" s="76"/>
      <c r="C831" s="82" t="s">
        <v>454</v>
      </c>
      <c r="D831" s="111"/>
      <c r="E831" s="111"/>
      <c r="F831" s="107"/>
      <c r="G831" s="142"/>
      <c r="H831" s="142"/>
      <c r="I831" s="152"/>
      <c r="J831" s="142"/>
      <c r="K831" s="142"/>
      <c r="L831" s="141"/>
      <c r="M831" s="89"/>
      <c r="N831" s="81"/>
      <c r="O831" s="356"/>
    </row>
    <row r="832" spans="1:15" ht="11.1" customHeight="1" outlineLevel="1">
      <c r="A832" s="120"/>
      <c r="B832" s="76" t="s">
        <v>23</v>
      </c>
      <c r="C832" s="82" t="s">
        <v>206</v>
      </c>
      <c r="D832" s="111"/>
      <c r="E832" s="111"/>
      <c r="F832" s="107"/>
      <c r="G832" s="142"/>
      <c r="H832" s="142"/>
      <c r="I832" s="152"/>
      <c r="J832" s="142"/>
      <c r="K832" s="142"/>
      <c r="L832" s="141"/>
      <c r="M832" s="89"/>
      <c r="N832" s="81"/>
      <c r="O832" s="356"/>
    </row>
    <row r="833" spans="1:15" ht="3.95" customHeight="1" outlineLevel="1">
      <c r="A833" s="121"/>
      <c r="B833" s="85"/>
      <c r="C833" s="86"/>
      <c r="D833" s="84"/>
      <c r="E833" s="84"/>
      <c r="F833" s="85"/>
      <c r="G833" s="143"/>
      <c r="H833" s="143"/>
      <c r="I833" s="85"/>
      <c r="J833" s="143"/>
      <c r="K833" s="143"/>
      <c r="L833" s="144"/>
      <c r="M833" s="87"/>
      <c r="N833" s="88"/>
      <c r="O833" s="222"/>
    </row>
    <row r="834" spans="1:15" ht="3.95" customHeight="1" outlineLevel="1">
      <c r="A834" s="157"/>
      <c r="B834" s="72"/>
      <c r="C834" s="73"/>
      <c r="D834" s="71"/>
      <c r="E834" s="71"/>
      <c r="F834" s="72"/>
      <c r="G834" s="138"/>
      <c r="H834" s="138"/>
      <c r="I834" s="75"/>
      <c r="J834" s="138"/>
      <c r="K834" s="138"/>
      <c r="L834" s="139"/>
      <c r="M834" s="74"/>
      <c r="N834" s="75"/>
      <c r="O834" s="208"/>
    </row>
    <row r="835" spans="1:15" ht="11.1" customHeight="1" outlineLevel="1">
      <c r="A835" s="370" t="s">
        <v>102</v>
      </c>
      <c r="B835" s="76" t="s">
        <v>9</v>
      </c>
      <c r="C835" s="151" t="s">
        <v>113</v>
      </c>
      <c r="D835" s="369" t="s">
        <v>207</v>
      </c>
      <c r="E835" s="369" t="s">
        <v>189</v>
      </c>
      <c r="F835" s="78" t="s">
        <v>28</v>
      </c>
      <c r="G835" s="140">
        <f>SUM(G836:G841)</f>
        <v>12519153</v>
      </c>
      <c r="H835" s="140">
        <f>SUM(H836:H841)</f>
        <v>12519131</v>
      </c>
      <c r="I835" s="39">
        <f t="shared" ref="I835:I841" si="226">IF(G835&gt;0,H835/G835*100,"-")</f>
        <v>99.999824269261666</v>
      </c>
      <c r="J835" s="140">
        <f>SUM(J836:J841)</f>
        <v>3220974</v>
      </c>
      <c r="K835" s="140">
        <f>SUM(K836:K841)</f>
        <v>161991</v>
      </c>
      <c r="L835" s="140">
        <f>SUM(L836:L841)</f>
        <v>3382965</v>
      </c>
      <c r="M835" s="38">
        <f>SUM(M836:M841)</f>
        <v>3382942.45</v>
      </c>
      <c r="N835" s="39">
        <f t="shared" ref="N835:N841" si="227">IF(L835&gt;0,M835/L835*100,"-")</f>
        <v>99.999333424968924</v>
      </c>
      <c r="O835" s="366" t="s">
        <v>513</v>
      </c>
    </row>
    <row r="836" spans="1:15" ht="11.1" customHeight="1" outlineLevel="1">
      <c r="A836" s="370"/>
      <c r="B836" s="76" t="s">
        <v>10</v>
      </c>
      <c r="C836" s="151" t="s">
        <v>133</v>
      </c>
      <c r="D836" s="369"/>
      <c r="E836" s="369"/>
      <c r="F836" s="79" t="s">
        <v>15</v>
      </c>
      <c r="G836" s="141">
        <v>481854</v>
      </c>
      <c r="H836" s="141">
        <v>481832</v>
      </c>
      <c r="I836" s="81">
        <f t="shared" si="226"/>
        <v>99.99543430167644</v>
      </c>
      <c r="J836" s="141">
        <v>0</v>
      </c>
      <c r="K836" s="142">
        <f t="shared" ref="K836:K841" si="228">L836-J836</f>
        <v>180988</v>
      </c>
      <c r="L836" s="141">
        <v>180988</v>
      </c>
      <c r="M836" s="83">
        <v>180965.6</v>
      </c>
      <c r="N836" s="81">
        <f t="shared" si="227"/>
        <v>99.98762348885009</v>
      </c>
      <c r="O836" s="366"/>
    </row>
    <row r="837" spans="1:15" ht="11.1" customHeight="1" outlineLevel="1">
      <c r="A837" s="370"/>
      <c r="B837" s="76"/>
      <c r="C837" s="82" t="s">
        <v>134</v>
      </c>
      <c r="D837" s="369"/>
      <c r="E837" s="369"/>
      <c r="F837" s="79" t="s">
        <v>7</v>
      </c>
      <c r="G837" s="141">
        <v>8722255</v>
      </c>
      <c r="H837" s="141">
        <v>8722255</v>
      </c>
      <c r="I837" s="81">
        <f t="shared" si="226"/>
        <v>100</v>
      </c>
      <c r="J837" s="141">
        <v>2653087</v>
      </c>
      <c r="K837" s="142">
        <f t="shared" si="228"/>
        <v>-178439</v>
      </c>
      <c r="L837" s="141">
        <v>2474648</v>
      </c>
      <c r="M837" s="83">
        <v>2474647.85</v>
      </c>
      <c r="N837" s="81">
        <f t="shared" si="227"/>
        <v>99.999993938531873</v>
      </c>
      <c r="O837" s="366"/>
    </row>
    <row r="838" spans="1:15" ht="11.1" customHeight="1" outlineLevel="1">
      <c r="A838" s="120"/>
      <c r="B838" s="76" t="s">
        <v>11</v>
      </c>
      <c r="C838" s="82" t="s">
        <v>210</v>
      </c>
      <c r="D838" s="111"/>
      <c r="E838" s="111"/>
      <c r="F838" s="79" t="s">
        <v>8</v>
      </c>
      <c r="G838" s="141">
        <v>3248719</v>
      </c>
      <c r="H838" s="141">
        <v>3248719</v>
      </c>
      <c r="I838" s="81">
        <f t="shared" si="226"/>
        <v>100</v>
      </c>
      <c r="J838" s="141">
        <v>567887</v>
      </c>
      <c r="K838" s="142">
        <f t="shared" si="228"/>
        <v>93117</v>
      </c>
      <c r="L838" s="141">
        <v>661004</v>
      </c>
      <c r="M838" s="80">
        <v>661004</v>
      </c>
      <c r="N838" s="81">
        <f t="shared" si="227"/>
        <v>100</v>
      </c>
      <c r="O838" s="366"/>
    </row>
    <row r="839" spans="1:15" ht="11.1" customHeight="1" outlineLevel="1">
      <c r="A839" s="120"/>
      <c r="B839" s="76"/>
      <c r="C839" s="82" t="s">
        <v>135</v>
      </c>
      <c r="D839" s="111"/>
      <c r="E839" s="111"/>
      <c r="F839" s="79" t="s">
        <v>22</v>
      </c>
      <c r="G839" s="141">
        <v>0</v>
      </c>
      <c r="H839" s="141">
        <v>0</v>
      </c>
      <c r="I839" s="81" t="str">
        <f t="shared" si="226"/>
        <v>-</v>
      </c>
      <c r="J839" s="141">
        <v>0</v>
      </c>
      <c r="K839" s="142">
        <f t="shared" si="228"/>
        <v>0</v>
      </c>
      <c r="L839" s="141">
        <v>0</v>
      </c>
      <c r="M839" s="83">
        <v>0</v>
      </c>
      <c r="N839" s="81" t="str">
        <f t="shared" si="227"/>
        <v>-</v>
      </c>
      <c r="O839" s="366"/>
    </row>
    <row r="840" spans="1:15" ht="11.1" customHeight="1" outlineLevel="1">
      <c r="A840" s="120"/>
      <c r="B840" s="76" t="s">
        <v>12</v>
      </c>
      <c r="C840" s="82" t="s">
        <v>455</v>
      </c>
      <c r="D840" s="111"/>
      <c r="E840" s="111"/>
      <c r="F840" s="107" t="s">
        <v>45</v>
      </c>
      <c r="G840" s="141">
        <v>0</v>
      </c>
      <c r="H840" s="141">
        <v>0</v>
      </c>
      <c r="I840" s="81" t="str">
        <f t="shared" si="226"/>
        <v>-</v>
      </c>
      <c r="J840" s="141">
        <v>0</v>
      </c>
      <c r="K840" s="142">
        <f t="shared" si="228"/>
        <v>0</v>
      </c>
      <c r="L840" s="141">
        <v>0</v>
      </c>
      <c r="M840" s="83">
        <v>0</v>
      </c>
      <c r="N840" s="81" t="str">
        <f t="shared" si="227"/>
        <v>-</v>
      </c>
      <c r="O840" s="366"/>
    </row>
    <row r="841" spans="1:15" ht="11.1" customHeight="1" outlineLevel="1">
      <c r="A841" s="120"/>
      <c r="B841" s="76"/>
      <c r="C841" s="82" t="s">
        <v>456</v>
      </c>
      <c r="D841" s="111"/>
      <c r="E841" s="111"/>
      <c r="F841" s="107" t="s">
        <v>46</v>
      </c>
      <c r="G841" s="142">
        <v>66325</v>
      </c>
      <c r="H841" s="142">
        <v>66325</v>
      </c>
      <c r="I841" s="81">
        <f t="shared" si="226"/>
        <v>100</v>
      </c>
      <c r="J841" s="142">
        <v>0</v>
      </c>
      <c r="K841" s="142">
        <f t="shared" si="228"/>
        <v>66325</v>
      </c>
      <c r="L841" s="141">
        <v>66325</v>
      </c>
      <c r="M841" s="89">
        <v>66325</v>
      </c>
      <c r="N841" s="81">
        <f t="shared" si="227"/>
        <v>100</v>
      </c>
      <c r="O841" s="366"/>
    </row>
    <row r="842" spans="1:15" ht="11.1" customHeight="1" outlineLevel="1">
      <c r="A842" s="120"/>
      <c r="B842" s="76" t="s">
        <v>23</v>
      </c>
      <c r="C842" s="82" t="s">
        <v>206</v>
      </c>
      <c r="D842" s="111"/>
      <c r="E842" s="111"/>
      <c r="F842" s="107"/>
      <c r="G842" s="142"/>
      <c r="H842" s="142"/>
      <c r="I842" s="152"/>
      <c r="J842" s="142"/>
      <c r="K842" s="142"/>
      <c r="L842" s="141"/>
      <c r="M842" s="89"/>
      <c r="N842" s="81"/>
      <c r="O842" s="356"/>
    </row>
    <row r="843" spans="1:15" ht="3.95" customHeight="1" outlineLevel="1">
      <c r="A843" s="121"/>
      <c r="B843" s="85"/>
      <c r="C843" s="86"/>
      <c r="D843" s="84"/>
      <c r="E843" s="84"/>
      <c r="F843" s="85"/>
      <c r="G843" s="143"/>
      <c r="H843" s="143"/>
      <c r="I843" s="85"/>
      <c r="J843" s="143"/>
      <c r="K843" s="143"/>
      <c r="L843" s="144"/>
      <c r="M843" s="87"/>
      <c r="N843" s="88"/>
      <c r="O843" s="222"/>
    </row>
    <row r="844" spans="1:15" ht="3.95" customHeight="1" outlineLevel="1">
      <c r="A844" s="157"/>
      <c r="B844" s="72"/>
      <c r="C844" s="73"/>
      <c r="D844" s="71"/>
      <c r="E844" s="71"/>
      <c r="F844" s="72"/>
      <c r="G844" s="138"/>
      <c r="H844" s="138"/>
      <c r="I844" s="75"/>
      <c r="J844" s="138"/>
      <c r="K844" s="138"/>
      <c r="L844" s="139"/>
      <c r="M844" s="74"/>
      <c r="N844" s="75"/>
      <c r="O844" s="208"/>
    </row>
    <row r="845" spans="1:15" ht="11.1" customHeight="1" outlineLevel="1">
      <c r="A845" s="370" t="s">
        <v>106</v>
      </c>
      <c r="B845" s="76" t="s">
        <v>9</v>
      </c>
      <c r="C845" s="151" t="s">
        <v>113</v>
      </c>
      <c r="D845" s="369" t="s">
        <v>64</v>
      </c>
      <c r="E845" s="369" t="s">
        <v>189</v>
      </c>
      <c r="F845" s="78" t="s">
        <v>28</v>
      </c>
      <c r="G845" s="140">
        <f>SUM(G846:G851)</f>
        <v>6329374</v>
      </c>
      <c r="H845" s="140">
        <f>SUM(H846:H851)</f>
        <v>144561</v>
      </c>
      <c r="I845" s="39">
        <f t="shared" ref="I845:I851" si="229">IF(G845&gt;0,H845/G845*100,"-")</f>
        <v>2.2839699471069332</v>
      </c>
      <c r="J845" s="140">
        <f>SUM(J846:J851)</f>
        <v>3200000</v>
      </c>
      <c r="K845" s="140">
        <f>SUM(K846:K851)</f>
        <v>-3108326</v>
      </c>
      <c r="L845" s="140">
        <f>SUM(L846:L851)</f>
        <v>91674</v>
      </c>
      <c r="M845" s="38">
        <f>SUM(M846:M851)</f>
        <v>91674</v>
      </c>
      <c r="N845" s="39">
        <f t="shared" ref="N845:N851" si="230">IF(L845&gt;0,M845/L845*100,"-")</f>
        <v>100</v>
      </c>
      <c r="O845" s="366" t="s">
        <v>269</v>
      </c>
    </row>
    <row r="846" spans="1:15" ht="11.1" customHeight="1" outlineLevel="1">
      <c r="A846" s="370"/>
      <c r="B846" s="76" t="s">
        <v>10</v>
      </c>
      <c r="C846" s="151" t="s">
        <v>133</v>
      </c>
      <c r="D846" s="369"/>
      <c r="E846" s="369"/>
      <c r="F846" s="79" t="s">
        <v>15</v>
      </c>
      <c r="G846" s="141">
        <v>1059374</v>
      </c>
      <c r="H846" s="141">
        <v>144561</v>
      </c>
      <c r="I846" s="81">
        <f t="shared" si="229"/>
        <v>13.645888987269842</v>
      </c>
      <c r="J846" s="141">
        <v>480000</v>
      </c>
      <c r="K846" s="142">
        <f t="shared" ref="K846:K851" si="231">L846-J846</f>
        <v>-388326</v>
      </c>
      <c r="L846" s="141">
        <v>91674</v>
      </c>
      <c r="M846" s="83">
        <v>91674</v>
      </c>
      <c r="N846" s="81">
        <f t="shared" si="230"/>
        <v>100</v>
      </c>
      <c r="O846" s="366"/>
    </row>
    <row r="847" spans="1:15" ht="11.1" customHeight="1" outlineLevel="1">
      <c r="A847" s="370"/>
      <c r="B847" s="76"/>
      <c r="C847" s="82" t="s">
        <v>134</v>
      </c>
      <c r="D847" s="369"/>
      <c r="E847" s="369"/>
      <c r="F847" s="79" t="s">
        <v>7</v>
      </c>
      <c r="G847" s="141">
        <v>5270000</v>
      </c>
      <c r="H847" s="141">
        <v>0</v>
      </c>
      <c r="I847" s="81">
        <f t="shared" si="229"/>
        <v>0</v>
      </c>
      <c r="J847" s="141">
        <v>2720000</v>
      </c>
      <c r="K847" s="142">
        <f t="shared" si="231"/>
        <v>-2720000</v>
      </c>
      <c r="L847" s="141">
        <v>0</v>
      </c>
      <c r="M847" s="83">
        <v>0</v>
      </c>
      <c r="N847" s="81" t="str">
        <f t="shared" si="230"/>
        <v>-</v>
      </c>
      <c r="O847" s="366"/>
    </row>
    <row r="848" spans="1:15" ht="11.1" customHeight="1" outlineLevel="1">
      <c r="A848" s="120"/>
      <c r="B848" s="76" t="s">
        <v>11</v>
      </c>
      <c r="C848" s="82" t="s">
        <v>210</v>
      </c>
      <c r="D848" s="111"/>
      <c r="E848" s="111"/>
      <c r="F848" s="79" t="s">
        <v>8</v>
      </c>
      <c r="G848" s="141">
        <v>0</v>
      </c>
      <c r="H848" s="141">
        <v>0</v>
      </c>
      <c r="I848" s="81" t="str">
        <f t="shared" si="229"/>
        <v>-</v>
      </c>
      <c r="J848" s="141">
        <v>0</v>
      </c>
      <c r="K848" s="142">
        <f t="shared" si="231"/>
        <v>0</v>
      </c>
      <c r="L848" s="141">
        <v>0</v>
      </c>
      <c r="M848" s="83">
        <v>0</v>
      </c>
      <c r="N848" s="81" t="str">
        <f t="shared" si="230"/>
        <v>-</v>
      </c>
      <c r="O848" s="366"/>
    </row>
    <row r="849" spans="1:15" ht="11.1" customHeight="1" outlineLevel="1">
      <c r="A849" s="120"/>
      <c r="B849" s="76"/>
      <c r="C849" s="82" t="s">
        <v>135</v>
      </c>
      <c r="D849" s="111"/>
      <c r="E849" s="111"/>
      <c r="F849" s="79" t="s">
        <v>22</v>
      </c>
      <c r="G849" s="141">
        <v>0</v>
      </c>
      <c r="H849" s="141">
        <v>0</v>
      </c>
      <c r="I849" s="81" t="str">
        <f t="shared" si="229"/>
        <v>-</v>
      </c>
      <c r="J849" s="141">
        <v>0</v>
      </c>
      <c r="K849" s="142">
        <f t="shared" si="231"/>
        <v>0</v>
      </c>
      <c r="L849" s="141">
        <v>0</v>
      </c>
      <c r="M849" s="83">
        <v>0</v>
      </c>
      <c r="N849" s="81" t="str">
        <f t="shared" si="230"/>
        <v>-</v>
      </c>
      <c r="O849" s="366"/>
    </row>
    <row r="850" spans="1:15" ht="11.1" customHeight="1" outlineLevel="1">
      <c r="A850" s="120"/>
      <c r="B850" s="76" t="s">
        <v>12</v>
      </c>
      <c r="C850" s="82" t="s">
        <v>457</v>
      </c>
      <c r="D850" s="111"/>
      <c r="E850" s="111"/>
      <c r="F850" s="107" t="s">
        <v>45</v>
      </c>
      <c r="G850" s="141">
        <v>0</v>
      </c>
      <c r="H850" s="141">
        <v>0</v>
      </c>
      <c r="I850" s="81" t="str">
        <f t="shared" si="229"/>
        <v>-</v>
      </c>
      <c r="J850" s="141">
        <v>0</v>
      </c>
      <c r="K850" s="142">
        <f t="shared" si="231"/>
        <v>0</v>
      </c>
      <c r="L850" s="141">
        <v>0</v>
      </c>
      <c r="M850" s="83">
        <v>0</v>
      </c>
      <c r="N850" s="81" t="str">
        <f t="shared" si="230"/>
        <v>-</v>
      </c>
      <c r="O850" s="366"/>
    </row>
    <row r="851" spans="1:15" ht="11.1" customHeight="1" outlineLevel="1">
      <c r="A851" s="120"/>
      <c r="B851" s="76"/>
      <c r="C851" s="82" t="s">
        <v>209</v>
      </c>
      <c r="D851" s="111"/>
      <c r="E851" s="111"/>
      <c r="F851" s="107" t="s">
        <v>46</v>
      </c>
      <c r="G851" s="141">
        <v>0</v>
      </c>
      <c r="H851" s="141">
        <v>0</v>
      </c>
      <c r="I851" s="81" t="str">
        <f t="shared" si="229"/>
        <v>-</v>
      </c>
      <c r="J851" s="141">
        <v>0</v>
      </c>
      <c r="K851" s="142">
        <f t="shared" si="231"/>
        <v>0</v>
      </c>
      <c r="L851" s="141">
        <v>0</v>
      </c>
      <c r="M851" s="83">
        <v>0</v>
      </c>
      <c r="N851" s="81" t="str">
        <f t="shared" si="230"/>
        <v>-</v>
      </c>
      <c r="O851" s="366"/>
    </row>
    <row r="852" spans="1:15" ht="11.1" customHeight="1" outlineLevel="1">
      <c r="A852" s="120"/>
      <c r="B852" s="76"/>
      <c r="C852" s="82" t="s">
        <v>458</v>
      </c>
      <c r="D852" s="111"/>
      <c r="E852" s="111"/>
      <c r="F852" s="107"/>
      <c r="G852" s="142"/>
      <c r="H852" s="142"/>
      <c r="I852" s="152"/>
      <c r="J852" s="142"/>
      <c r="K852" s="142"/>
      <c r="L852" s="141"/>
      <c r="M852" s="89"/>
      <c r="N852" s="81"/>
      <c r="O852" s="356"/>
    </row>
    <row r="853" spans="1:15" ht="11.1" customHeight="1" outlineLevel="1">
      <c r="A853" s="120"/>
      <c r="B853" s="76" t="s">
        <v>23</v>
      </c>
      <c r="C853" s="82" t="s">
        <v>206</v>
      </c>
      <c r="D853" s="111"/>
      <c r="E853" s="111"/>
      <c r="F853" s="107"/>
      <c r="G853" s="142"/>
      <c r="H853" s="142"/>
      <c r="I853" s="152"/>
      <c r="J853" s="142"/>
      <c r="K853" s="142"/>
      <c r="L853" s="141"/>
      <c r="M853" s="89"/>
      <c r="N853" s="81"/>
      <c r="O853" s="356"/>
    </row>
    <row r="854" spans="1:15" ht="3.95" customHeight="1" outlineLevel="1">
      <c r="A854" s="121"/>
      <c r="B854" s="85"/>
      <c r="C854" s="86"/>
      <c r="D854" s="84"/>
      <c r="E854" s="84"/>
      <c r="F854" s="85"/>
      <c r="G854" s="143"/>
      <c r="H854" s="143"/>
      <c r="I854" s="85"/>
      <c r="J854" s="143"/>
      <c r="K854" s="143"/>
      <c r="L854" s="144"/>
      <c r="M854" s="87"/>
      <c r="N854" s="88"/>
      <c r="O854" s="222"/>
    </row>
    <row r="855" spans="1:15" ht="3.95" customHeight="1" outlineLevel="1">
      <c r="A855" s="157"/>
      <c r="B855" s="72"/>
      <c r="C855" s="73"/>
      <c r="D855" s="71"/>
      <c r="E855" s="71"/>
      <c r="F855" s="72"/>
      <c r="G855" s="138"/>
      <c r="H855" s="138"/>
      <c r="I855" s="75"/>
      <c r="J855" s="138"/>
      <c r="K855" s="138"/>
      <c r="L855" s="139"/>
      <c r="M855" s="74"/>
      <c r="N855" s="75"/>
      <c r="O855" s="208"/>
    </row>
    <row r="856" spans="1:15" ht="11.1" customHeight="1" outlineLevel="1">
      <c r="A856" s="370" t="s">
        <v>107</v>
      </c>
      <c r="B856" s="76" t="s">
        <v>9</v>
      </c>
      <c r="C856" s="151" t="s">
        <v>113</v>
      </c>
      <c r="D856" s="369" t="s">
        <v>198</v>
      </c>
      <c r="E856" s="369" t="s">
        <v>189</v>
      </c>
      <c r="F856" s="78" t="s">
        <v>28</v>
      </c>
      <c r="G856" s="140">
        <f>SUM(G857:G862)</f>
        <v>7537410</v>
      </c>
      <c r="H856" s="140">
        <f>SUM(H857:H862)</f>
        <v>4304223</v>
      </c>
      <c r="I856" s="39">
        <f t="shared" ref="I856:I862" si="232">IF(G856&gt;0,H856/G856*100,"-")</f>
        <v>57.104801251358225</v>
      </c>
      <c r="J856" s="140">
        <f>SUM(J857:J862)</f>
        <v>9570425</v>
      </c>
      <c r="K856" s="140">
        <f>SUM(K857:K862)</f>
        <v>-5499657</v>
      </c>
      <c r="L856" s="140">
        <f>SUM(L857:L862)</f>
        <v>4070768</v>
      </c>
      <c r="M856" s="38">
        <f>SUM(M857:M862)</f>
        <v>4070767.1999999997</v>
      </c>
      <c r="N856" s="39">
        <f t="shared" ref="N856:N862" si="233">IF(L856&gt;0,M856/L856*100,"-")</f>
        <v>99.999980347688691</v>
      </c>
      <c r="O856" s="366" t="s">
        <v>266</v>
      </c>
    </row>
    <row r="857" spans="1:15" ht="11.1" customHeight="1" outlineLevel="1">
      <c r="A857" s="370"/>
      <c r="B857" s="76" t="s">
        <v>10</v>
      </c>
      <c r="C857" s="151" t="s">
        <v>133</v>
      </c>
      <c r="D857" s="369"/>
      <c r="E857" s="369"/>
      <c r="F857" s="79" t="s">
        <v>15</v>
      </c>
      <c r="G857" s="141">
        <v>65145</v>
      </c>
      <c r="H857" s="141">
        <v>65145</v>
      </c>
      <c r="I857" s="81">
        <f t="shared" si="232"/>
        <v>100</v>
      </c>
      <c r="J857" s="141">
        <v>0</v>
      </c>
      <c r="K857" s="142">
        <f t="shared" ref="K857:K862" si="234">L857-J857</f>
        <v>65145</v>
      </c>
      <c r="L857" s="141">
        <v>65145</v>
      </c>
      <c r="M857" s="83">
        <v>65145</v>
      </c>
      <c r="N857" s="81">
        <f t="shared" si="233"/>
        <v>100</v>
      </c>
      <c r="O857" s="366"/>
    </row>
    <row r="858" spans="1:15" ht="11.1" customHeight="1" outlineLevel="1">
      <c r="A858" s="370"/>
      <c r="B858" s="76"/>
      <c r="C858" s="82" t="s">
        <v>134</v>
      </c>
      <c r="D858" s="369"/>
      <c r="E858" s="369"/>
      <c r="F858" s="79" t="s">
        <v>7</v>
      </c>
      <c r="G858" s="141">
        <v>5760930</v>
      </c>
      <c r="H858" s="141">
        <v>3342244</v>
      </c>
      <c r="I858" s="81">
        <f t="shared" si="232"/>
        <v>58.015702325839747</v>
      </c>
      <c r="J858" s="141">
        <v>9010930</v>
      </c>
      <c r="K858" s="142">
        <f t="shared" si="234"/>
        <v>-5668686</v>
      </c>
      <c r="L858" s="141">
        <v>3342244</v>
      </c>
      <c r="M858" s="83">
        <v>3342243.76</v>
      </c>
      <c r="N858" s="81">
        <f t="shared" si="233"/>
        <v>99.999992819195711</v>
      </c>
      <c r="O858" s="366"/>
    </row>
    <row r="859" spans="1:15" ht="11.1" customHeight="1" outlineLevel="1">
      <c r="A859" s="120"/>
      <c r="B859" s="76" t="s">
        <v>11</v>
      </c>
      <c r="C859" s="82" t="s">
        <v>210</v>
      </c>
      <c r="D859" s="111"/>
      <c r="E859" s="111"/>
      <c r="F859" s="79" t="s">
        <v>8</v>
      </c>
      <c r="G859" s="141">
        <v>1692950</v>
      </c>
      <c r="H859" s="141">
        <v>878449</v>
      </c>
      <c r="I859" s="81">
        <f t="shared" si="232"/>
        <v>51.888655896512006</v>
      </c>
      <c r="J859" s="141">
        <v>559495</v>
      </c>
      <c r="K859" s="142">
        <f t="shared" si="234"/>
        <v>85499</v>
      </c>
      <c r="L859" s="141">
        <v>644994</v>
      </c>
      <c r="M859" s="80">
        <v>644993.47</v>
      </c>
      <c r="N859" s="81">
        <f t="shared" si="233"/>
        <v>99.999917828692972</v>
      </c>
      <c r="O859" s="366"/>
    </row>
    <row r="860" spans="1:15" ht="11.1" customHeight="1" outlineLevel="1">
      <c r="A860" s="120"/>
      <c r="B860" s="76"/>
      <c r="C860" s="82" t="s">
        <v>135</v>
      </c>
      <c r="D860" s="111"/>
      <c r="E860" s="111"/>
      <c r="F860" s="79" t="s">
        <v>22</v>
      </c>
      <c r="G860" s="141">
        <v>0</v>
      </c>
      <c r="H860" s="141">
        <v>0</v>
      </c>
      <c r="I860" s="81" t="str">
        <f t="shared" si="232"/>
        <v>-</v>
      </c>
      <c r="J860" s="141">
        <v>0</v>
      </c>
      <c r="K860" s="142">
        <f t="shared" si="234"/>
        <v>0</v>
      </c>
      <c r="L860" s="141">
        <v>0</v>
      </c>
      <c r="M860" s="83">
        <v>0</v>
      </c>
      <c r="N860" s="81" t="str">
        <f t="shared" si="233"/>
        <v>-</v>
      </c>
      <c r="O860" s="366"/>
    </row>
    <row r="861" spans="1:15" ht="11.1" customHeight="1" outlineLevel="1">
      <c r="A861" s="120"/>
      <c r="B861" s="76" t="s">
        <v>12</v>
      </c>
      <c r="C861" s="82" t="s">
        <v>459</v>
      </c>
      <c r="D861" s="111"/>
      <c r="E861" s="111"/>
      <c r="F861" s="107" t="s">
        <v>45</v>
      </c>
      <c r="G861" s="141">
        <v>0</v>
      </c>
      <c r="H861" s="141">
        <v>0</v>
      </c>
      <c r="I861" s="81" t="str">
        <f t="shared" si="232"/>
        <v>-</v>
      </c>
      <c r="J861" s="141">
        <v>0</v>
      </c>
      <c r="K861" s="142">
        <f t="shared" si="234"/>
        <v>0</v>
      </c>
      <c r="L861" s="141">
        <v>0</v>
      </c>
      <c r="M861" s="83">
        <v>0</v>
      </c>
      <c r="N861" s="81" t="str">
        <f t="shared" si="233"/>
        <v>-</v>
      </c>
      <c r="O861" s="366"/>
    </row>
    <row r="862" spans="1:15" ht="11.1" customHeight="1" outlineLevel="1">
      <c r="A862" s="120"/>
      <c r="B862" s="76"/>
      <c r="C862" s="82" t="s">
        <v>460</v>
      </c>
      <c r="D862" s="111"/>
      <c r="E862" s="111"/>
      <c r="F862" s="107" t="s">
        <v>46</v>
      </c>
      <c r="G862" s="142">
        <v>18385</v>
      </c>
      <c r="H862" s="142">
        <v>18385</v>
      </c>
      <c r="I862" s="81">
        <f t="shared" si="232"/>
        <v>100</v>
      </c>
      <c r="J862" s="142">
        <v>0</v>
      </c>
      <c r="K862" s="142">
        <f t="shared" si="234"/>
        <v>18385</v>
      </c>
      <c r="L862" s="141">
        <v>18385</v>
      </c>
      <c r="M862" s="89">
        <v>18384.97</v>
      </c>
      <c r="N862" s="81">
        <f t="shared" si="233"/>
        <v>99.999836823497418</v>
      </c>
      <c r="O862" s="366"/>
    </row>
    <row r="863" spans="1:15" ht="11.1" customHeight="1" outlineLevel="1">
      <c r="A863" s="120"/>
      <c r="B863" s="76" t="s">
        <v>23</v>
      </c>
      <c r="C863" s="82" t="s">
        <v>206</v>
      </c>
      <c r="D863" s="111"/>
      <c r="E863" s="111"/>
      <c r="F863" s="107"/>
      <c r="G863" s="142"/>
      <c r="H863" s="142"/>
      <c r="I863" s="152"/>
      <c r="J863" s="142"/>
      <c r="K863" s="142"/>
      <c r="L863" s="141"/>
      <c r="M863" s="89"/>
      <c r="N863" s="81"/>
      <c r="O863" s="356"/>
    </row>
    <row r="864" spans="1:15" ht="3.95" customHeight="1" outlineLevel="1">
      <c r="A864" s="121"/>
      <c r="B864" s="85"/>
      <c r="C864" s="86"/>
      <c r="D864" s="84"/>
      <c r="E864" s="84"/>
      <c r="F864" s="85"/>
      <c r="G864" s="143"/>
      <c r="H864" s="143"/>
      <c r="I864" s="85"/>
      <c r="J864" s="143"/>
      <c r="K864" s="143"/>
      <c r="L864" s="144"/>
      <c r="M864" s="87"/>
      <c r="N864" s="88"/>
      <c r="O864" s="222"/>
    </row>
    <row r="865" spans="1:15" ht="3.95" customHeight="1" outlineLevel="1">
      <c r="A865" s="157"/>
      <c r="B865" s="72"/>
      <c r="C865" s="73"/>
      <c r="D865" s="71"/>
      <c r="E865" s="71"/>
      <c r="F865" s="72"/>
      <c r="G865" s="138"/>
      <c r="H865" s="138"/>
      <c r="I865" s="75"/>
      <c r="J865" s="138"/>
      <c r="K865" s="138"/>
      <c r="L865" s="139"/>
      <c r="M865" s="74"/>
      <c r="N865" s="75"/>
      <c r="O865" s="208"/>
    </row>
    <row r="866" spans="1:15" ht="11.1" customHeight="1" outlineLevel="1">
      <c r="A866" s="370" t="s">
        <v>108</v>
      </c>
      <c r="B866" s="76" t="s">
        <v>9</v>
      </c>
      <c r="C866" s="151" t="s">
        <v>113</v>
      </c>
      <c r="D866" s="369" t="s">
        <v>207</v>
      </c>
      <c r="E866" s="369" t="s">
        <v>189</v>
      </c>
      <c r="F866" s="78" t="s">
        <v>28</v>
      </c>
      <c r="G866" s="140">
        <f>SUM(G867:G872)</f>
        <v>11415429</v>
      </c>
      <c r="H866" s="307">
        <f>SUM(H867:H872)</f>
        <v>8416724</v>
      </c>
      <c r="I866" s="39">
        <f t="shared" ref="I866:I872" si="235">IF(G866&gt;0,H866/G866*100,"-")</f>
        <v>73.731123026563438</v>
      </c>
      <c r="J866" s="140">
        <f>SUM(J867:J872)</f>
        <v>2441770</v>
      </c>
      <c r="K866" s="140">
        <f>SUM(K867:K872)</f>
        <v>1943550</v>
      </c>
      <c r="L866" s="140">
        <f>SUM(L867:L872)</f>
        <v>4385320</v>
      </c>
      <c r="M866" s="38">
        <f>SUM(M867:M872)</f>
        <v>1386613.47</v>
      </c>
      <c r="N866" s="39">
        <f t="shared" ref="N866:N872" si="236">IF(L866&gt;0,M866/L866*100,"-")</f>
        <v>31.619436437933835</v>
      </c>
      <c r="O866" s="366" t="s">
        <v>267</v>
      </c>
    </row>
    <row r="867" spans="1:15" ht="11.1" customHeight="1" outlineLevel="1">
      <c r="A867" s="370"/>
      <c r="B867" s="76" t="s">
        <v>10</v>
      </c>
      <c r="C867" s="151" t="s">
        <v>133</v>
      </c>
      <c r="D867" s="369"/>
      <c r="E867" s="369"/>
      <c r="F867" s="79" t="s">
        <v>15</v>
      </c>
      <c r="G867" s="141">
        <v>128258</v>
      </c>
      <c r="H867" s="141">
        <v>128258</v>
      </c>
      <c r="I867" s="81">
        <f t="shared" si="235"/>
        <v>100</v>
      </c>
      <c r="J867" s="141">
        <v>0</v>
      </c>
      <c r="K867" s="142">
        <f t="shared" ref="K867:K872" si="237">L867-J867</f>
        <v>33223</v>
      </c>
      <c r="L867" s="141">
        <v>33223</v>
      </c>
      <c r="M867" s="83">
        <v>33223</v>
      </c>
      <c r="N867" s="81">
        <f t="shared" si="236"/>
        <v>100</v>
      </c>
      <c r="O867" s="366"/>
    </row>
    <row r="868" spans="1:15" ht="11.1" customHeight="1" outlineLevel="1">
      <c r="A868" s="370"/>
      <c r="B868" s="76"/>
      <c r="C868" s="82" t="s">
        <v>134</v>
      </c>
      <c r="D868" s="369"/>
      <c r="E868" s="369"/>
      <c r="F868" s="79" t="s">
        <v>7</v>
      </c>
      <c r="G868" s="141">
        <v>8925037</v>
      </c>
      <c r="H868" s="141">
        <v>6449802</v>
      </c>
      <c r="I868" s="81">
        <f t="shared" si="235"/>
        <v>72.266389483875528</v>
      </c>
      <c r="J868" s="141">
        <v>1860636</v>
      </c>
      <c r="K868" s="142">
        <f t="shared" si="237"/>
        <v>1709887</v>
      </c>
      <c r="L868" s="141">
        <v>3570523</v>
      </c>
      <c r="M868" s="83">
        <v>1095287.04</v>
      </c>
      <c r="N868" s="81">
        <f t="shared" si="236"/>
        <v>30.675815279722329</v>
      </c>
      <c r="O868" s="366"/>
    </row>
    <row r="869" spans="1:15" ht="11.1" customHeight="1" outlineLevel="1">
      <c r="A869" s="120"/>
      <c r="B869" s="76" t="s">
        <v>11</v>
      </c>
      <c r="C869" s="82" t="s">
        <v>210</v>
      </c>
      <c r="D869" s="111"/>
      <c r="E869" s="111"/>
      <c r="F869" s="79" t="s">
        <v>8</v>
      </c>
      <c r="G869" s="141">
        <v>2362134</v>
      </c>
      <c r="H869" s="141">
        <v>1838664</v>
      </c>
      <c r="I869" s="81">
        <f t="shared" si="235"/>
        <v>77.839106502848693</v>
      </c>
      <c r="J869" s="141">
        <v>581134</v>
      </c>
      <c r="K869" s="142">
        <f t="shared" si="237"/>
        <v>200440</v>
      </c>
      <c r="L869" s="141">
        <v>781574</v>
      </c>
      <c r="M869" s="80">
        <v>258103.43</v>
      </c>
      <c r="N869" s="81">
        <f t="shared" si="236"/>
        <v>33.02354351603303</v>
      </c>
      <c r="O869" s="366"/>
    </row>
    <row r="870" spans="1:15" ht="11.1" customHeight="1" outlineLevel="1">
      <c r="A870" s="120"/>
      <c r="B870" s="76"/>
      <c r="C870" s="82" t="s">
        <v>135</v>
      </c>
      <c r="D870" s="111"/>
      <c r="E870" s="111"/>
      <c r="F870" s="79" t="s">
        <v>22</v>
      </c>
      <c r="G870" s="141">
        <v>0</v>
      </c>
      <c r="H870" s="141">
        <v>0</v>
      </c>
      <c r="I870" s="81" t="str">
        <f t="shared" si="235"/>
        <v>-</v>
      </c>
      <c r="J870" s="141">
        <v>0</v>
      </c>
      <c r="K870" s="142">
        <f t="shared" si="237"/>
        <v>0</v>
      </c>
      <c r="L870" s="141">
        <v>0</v>
      </c>
      <c r="M870" s="83">
        <v>0</v>
      </c>
      <c r="N870" s="81" t="str">
        <f t="shared" si="236"/>
        <v>-</v>
      </c>
      <c r="O870" s="366"/>
    </row>
    <row r="871" spans="1:15" ht="11.1" customHeight="1" outlineLevel="1">
      <c r="A871" s="120"/>
      <c r="B871" s="76" t="s">
        <v>12</v>
      </c>
      <c r="C871" s="82" t="s">
        <v>461</v>
      </c>
      <c r="D871" s="111"/>
      <c r="E871" s="111"/>
      <c r="F871" s="107" t="s">
        <v>45</v>
      </c>
      <c r="G871" s="141">
        <v>0</v>
      </c>
      <c r="H871" s="141">
        <v>0</v>
      </c>
      <c r="I871" s="81" t="str">
        <f t="shared" si="235"/>
        <v>-</v>
      </c>
      <c r="J871" s="141">
        <v>0</v>
      </c>
      <c r="K871" s="142">
        <f t="shared" si="237"/>
        <v>0</v>
      </c>
      <c r="L871" s="141">
        <v>0</v>
      </c>
      <c r="M871" s="83">
        <v>0</v>
      </c>
      <c r="N871" s="81" t="str">
        <f t="shared" si="236"/>
        <v>-</v>
      </c>
      <c r="O871" s="366"/>
    </row>
    <row r="872" spans="1:15" ht="11.1" customHeight="1" outlineLevel="1">
      <c r="A872" s="120"/>
      <c r="B872" s="76"/>
      <c r="C872" s="82" t="s">
        <v>211</v>
      </c>
      <c r="D872" s="111"/>
      <c r="E872" s="111"/>
      <c r="F872" s="107" t="s">
        <v>46</v>
      </c>
      <c r="G872" s="141">
        <v>0</v>
      </c>
      <c r="H872" s="141">
        <v>0</v>
      </c>
      <c r="I872" s="81" t="str">
        <f t="shared" si="235"/>
        <v>-</v>
      </c>
      <c r="J872" s="141">
        <v>0</v>
      </c>
      <c r="K872" s="142">
        <f t="shared" si="237"/>
        <v>0</v>
      </c>
      <c r="L872" s="141">
        <v>0</v>
      </c>
      <c r="M872" s="83">
        <v>0</v>
      </c>
      <c r="N872" s="81" t="str">
        <f t="shared" si="236"/>
        <v>-</v>
      </c>
      <c r="O872" s="366"/>
    </row>
    <row r="873" spans="1:15" ht="11.1" customHeight="1" outlineLevel="1">
      <c r="A873" s="120"/>
      <c r="B873" s="76"/>
      <c r="C873" s="82" t="s">
        <v>212</v>
      </c>
      <c r="D873" s="111"/>
      <c r="E873" s="111"/>
      <c r="F873" s="107"/>
      <c r="G873" s="142"/>
      <c r="H873" s="142"/>
      <c r="I873" s="152"/>
      <c r="J873" s="142"/>
      <c r="K873" s="142"/>
      <c r="L873" s="141"/>
      <c r="M873" s="89"/>
      <c r="N873" s="81"/>
      <c r="O873" s="356"/>
    </row>
    <row r="874" spans="1:15" ht="11.1" customHeight="1" outlineLevel="1">
      <c r="A874" s="120"/>
      <c r="B874" s="76"/>
      <c r="C874" s="82" t="s">
        <v>462</v>
      </c>
      <c r="D874" s="111"/>
      <c r="E874" s="111"/>
      <c r="F874" s="107"/>
      <c r="G874" s="142"/>
      <c r="H874" s="142"/>
      <c r="I874" s="152"/>
      <c r="J874" s="142"/>
      <c r="K874" s="142"/>
      <c r="L874" s="141"/>
      <c r="M874" s="89"/>
      <c r="N874" s="81"/>
      <c r="O874" s="356"/>
    </row>
    <row r="875" spans="1:15" ht="11.1" customHeight="1" outlineLevel="1">
      <c r="A875" s="120"/>
      <c r="B875" s="76" t="s">
        <v>23</v>
      </c>
      <c r="C875" s="82" t="s">
        <v>206</v>
      </c>
      <c r="D875" s="111"/>
      <c r="E875" s="111"/>
      <c r="F875" s="107"/>
      <c r="G875" s="142"/>
      <c r="H875" s="142"/>
      <c r="I875" s="152"/>
      <c r="J875" s="142"/>
      <c r="K875" s="142"/>
      <c r="L875" s="141"/>
      <c r="M875" s="89"/>
      <c r="N875" s="81"/>
      <c r="O875" s="356"/>
    </row>
    <row r="876" spans="1:15" ht="3.95" customHeight="1" outlineLevel="1">
      <c r="A876" s="121"/>
      <c r="B876" s="85"/>
      <c r="C876" s="86"/>
      <c r="D876" s="84"/>
      <c r="E876" s="84"/>
      <c r="F876" s="85"/>
      <c r="G876" s="143"/>
      <c r="H876" s="143"/>
      <c r="I876" s="85"/>
      <c r="J876" s="143"/>
      <c r="K876" s="143"/>
      <c r="L876" s="144"/>
      <c r="M876" s="87"/>
      <c r="N876" s="88"/>
      <c r="O876" s="222"/>
    </row>
    <row r="877" spans="1:15" ht="3.95" customHeight="1" outlineLevel="1">
      <c r="A877" s="157"/>
      <c r="B877" s="72"/>
      <c r="C877" s="73"/>
      <c r="D877" s="71"/>
      <c r="E877" s="71"/>
      <c r="F877" s="72"/>
      <c r="G877" s="138"/>
      <c r="H877" s="138"/>
      <c r="I877" s="75"/>
      <c r="J877" s="138"/>
      <c r="K877" s="138"/>
      <c r="L877" s="139"/>
      <c r="M877" s="74"/>
      <c r="N877" s="75"/>
      <c r="O877" s="208"/>
    </row>
    <row r="878" spans="1:15" ht="11.1" customHeight="1" outlineLevel="1">
      <c r="A878" s="370" t="s">
        <v>109</v>
      </c>
      <c r="B878" s="76" t="s">
        <v>9</v>
      </c>
      <c r="C878" s="151" t="s">
        <v>113</v>
      </c>
      <c r="D878" s="369" t="s">
        <v>90</v>
      </c>
      <c r="E878" s="369" t="s">
        <v>189</v>
      </c>
      <c r="F878" s="78" t="s">
        <v>28</v>
      </c>
      <c r="G878" s="140">
        <f>SUM(G879:G884)</f>
        <v>2008899</v>
      </c>
      <c r="H878" s="140">
        <f>SUM(H879:H884)</f>
        <v>1984867</v>
      </c>
      <c r="I878" s="39">
        <f t="shared" ref="I878:I884" si="238">IF(G878&gt;0,H878/G878*100,"-")</f>
        <v>98.803722835244585</v>
      </c>
      <c r="J878" s="140">
        <f>SUM(J879:J884)</f>
        <v>521447</v>
      </c>
      <c r="K878" s="140">
        <f>SUM(K879:K884)</f>
        <v>80039</v>
      </c>
      <c r="L878" s="140">
        <f>SUM(L879:L884)</f>
        <v>601486</v>
      </c>
      <c r="M878" s="38">
        <f>SUM(M879:M884)</f>
        <v>577453.48</v>
      </c>
      <c r="N878" s="39">
        <f t="shared" ref="N878:N884" si="239">IF(L878&gt;0,M878/L878*100,"-")</f>
        <v>96.004475582141552</v>
      </c>
      <c r="O878" s="366" t="s">
        <v>514</v>
      </c>
    </row>
    <row r="879" spans="1:15" ht="11.1" customHeight="1" outlineLevel="1">
      <c r="A879" s="370"/>
      <c r="B879" s="76" t="s">
        <v>10</v>
      </c>
      <c r="C879" s="151" t="s">
        <v>133</v>
      </c>
      <c r="D879" s="369"/>
      <c r="E879" s="369"/>
      <c r="F879" s="79" t="s">
        <v>15</v>
      </c>
      <c r="G879" s="141">
        <v>1166986</v>
      </c>
      <c r="H879" s="141">
        <v>1142954</v>
      </c>
      <c r="I879" s="81">
        <f t="shared" si="238"/>
        <v>97.940677951577825</v>
      </c>
      <c r="J879" s="141">
        <v>0</v>
      </c>
      <c r="K879" s="142">
        <f t="shared" ref="K879:K884" si="240">L879-J879</f>
        <v>537486</v>
      </c>
      <c r="L879" s="141">
        <v>537486</v>
      </c>
      <c r="M879" s="83">
        <v>513453.48</v>
      </c>
      <c r="N879" s="81">
        <f t="shared" si="239"/>
        <v>95.528717027048131</v>
      </c>
      <c r="O879" s="366"/>
    </row>
    <row r="880" spans="1:15" ht="11.1" customHeight="1" outlineLevel="1">
      <c r="A880" s="370"/>
      <c r="B880" s="76"/>
      <c r="C880" s="82" t="s">
        <v>134</v>
      </c>
      <c r="D880" s="369"/>
      <c r="E880" s="369"/>
      <c r="F880" s="79" t="s">
        <v>7</v>
      </c>
      <c r="G880" s="141">
        <v>0</v>
      </c>
      <c r="H880" s="141">
        <v>0</v>
      </c>
      <c r="I880" s="81" t="str">
        <f t="shared" si="238"/>
        <v>-</v>
      </c>
      <c r="J880" s="141">
        <v>0</v>
      </c>
      <c r="K880" s="142">
        <f t="shared" si="240"/>
        <v>0</v>
      </c>
      <c r="L880" s="141">
        <v>0</v>
      </c>
      <c r="M880" s="83">
        <v>0</v>
      </c>
      <c r="N880" s="81" t="str">
        <f t="shared" si="239"/>
        <v>-</v>
      </c>
      <c r="O880" s="366"/>
    </row>
    <row r="881" spans="1:15" ht="11.1" customHeight="1" outlineLevel="1">
      <c r="A881" s="120"/>
      <c r="B881" s="76" t="s">
        <v>11</v>
      </c>
      <c r="C881" s="82" t="s">
        <v>210</v>
      </c>
      <c r="D881" s="111"/>
      <c r="E881" s="111"/>
      <c r="F881" s="79" t="s">
        <v>8</v>
      </c>
      <c r="G881" s="141">
        <v>841913</v>
      </c>
      <c r="H881" s="141">
        <v>841913</v>
      </c>
      <c r="I881" s="81">
        <f t="shared" si="238"/>
        <v>100</v>
      </c>
      <c r="J881" s="141">
        <v>521447</v>
      </c>
      <c r="K881" s="142">
        <f t="shared" si="240"/>
        <v>-457447</v>
      </c>
      <c r="L881" s="141">
        <v>64000</v>
      </c>
      <c r="M881" s="80">
        <v>64000</v>
      </c>
      <c r="N881" s="81">
        <f t="shared" si="239"/>
        <v>100</v>
      </c>
      <c r="O881" s="366"/>
    </row>
    <row r="882" spans="1:15" ht="11.1" customHeight="1" outlineLevel="1">
      <c r="A882" s="120"/>
      <c r="B882" s="76"/>
      <c r="C882" s="82" t="s">
        <v>135</v>
      </c>
      <c r="D882" s="111"/>
      <c r="E882" s="111"/>
      <c r="F882" s="79" t="s">
        <v>22</v>
      </c>
      <c r="G882" s="141">
        <v>0</v>
      </c>
      <c r="H882" s="141">
        <v>0</v>
      </c>
      <c r="I882" s="81" t="str">
        <f t="shared" si="238"/>
        <v>-</v>
      </c>
      <c r="J882" s="141">
        <v>0</v>
      </c>
      <c r="K882" s="142">
        <f t="shared" si="240"/>
        <v>0</v>
      </c>
      <c r="L882" s="141">
        <v>0</v>
      </c>
      <c r="M882" s="83">
        <v>0</v>
      </c>
      <c r="N882" s="81" t="str">
        <f t="shared" si="239"/>
        <v>-</v>
      </c>
      <c r="O882" s="366"/>
    </row>
    <row r="883" spans="1:15" ht="11.1" customHeight="1" outlineLevel="1">
      <c r="A883" s="120"/>
      <c r="B883" s="76" t="s">
        <v>12</v>
      </c>
      <c r="C883" s="82" t="s">
        <v>463</v>
      </c>
      <c r="D883" s="111"/>
      <c r="E883" s="111"/>
      <c r="F883" s="107" t="s">
        <v>45</v>
      </c>
      <c r="G883" s="141">
        <v>0</v>
      </c>
      <c r="H883" s="141">
        <v>0</v>
      </c>
      <c r="I883" s="81" t="str">
        <f t="shared" si="238"/>
        <v>-</v>
      </c>
      <c r="J883" s="141">
        <v>0</v>
      </c>
      <c r="K883" s="142">
        <f t="shared" si="240"/>
        <v>0</v>
      </c>
      <c r="L883" s="141">
        <v>0</v>
      </c>
      <c r="M883" s="83">
        <v>0</v>
      </c>
      <c r="N883" s="81" t="str">
        <f t="shared" si="239"/>
        <v>-</v>
      </c>
      <c r="O883" s="366"/>
    </row>
    <row r="884" spans="1:15" ht="11.1" customHeight="1" outlineLevel="1">
      <c r="A884" s="120"/>
      <c r="B884" s="76"/>
      <c r="C884" s="82" t="s">
        <v>464</v>
      </c>
      <c r="D884" s="111"/>
      <c r="E884" s="111"/>
      <c r="F884" s="107" t="s">
        <v>46</v>
      </c>
      <c r="G884" s="141">
        <v>0</v>
      </c>
      <c r="H884" s="141">
        <v>0</v>
      </c>
      <c r="I884" s="81" t="str">
        <f t="shared" si="238"/>
        <v>-</v>
      </c>
      <c r="J884" s="141">
        <v>0</v>
      </c>
      <c r="K884" s="142">
        <f t="shared" si="240"/>
        <v>0</v>
      </c>
      <c r="L884" s="141">
        <v>0</v>
      </c>
      <c r="M884" s="83">
        <v>0</v>
      </c>
      <c r="N884" s="81" t="str">
        <f t="shared" si="239"/>
        <v>-</v>
      </c>
      <c r="O884" s="366"/>
    </row>
    <row r="885" spans="1:15" ht="11.1" customHeight="1" outlineLevel="1">
      <c r="A885" s="120"/>
      <c r="B885" s="76" t="s">
        <v>23</v>
      </c>
      <c r="C885" s="82" t="s">
        <v>206</v>
      </c>
      <c r="D885" s="111"/>
      <c r="E885" s="111"/>
      <c r="F885" s="107"/>
      <c r="G885" s="142"/>
      <c r="H885" s="142"/>
      <c r="I885" s="152"/>
      <c r="J885" s="142"/>
      <c r="K885" s="142"/>
      <c r="L885" s="141"/>
      <c r="M885" s="89"/>
      <c r="N885" s="81"/>
      <c r="O885" s="356"/>
    </row>
    <row r="886" spans="1:15" ht="3.95" customHeight="1" outlineLevel="1">
      <c r="A886" s="121"/>
      <c r="B886" s="85"/>
      <c r="C886" s="86"/>
      <c r="D886" s="84"/>
      <c r="E886" s="84"/>
      <c r="F886" s="85"/>
      <c r="G886" s="143"/>
      <c r="H886" s="143"/>
      <c r="I886" s="85"/>
      <c r="J886" s="143"/>
      <c r="K886" s="143"/>
      <c r="L886" s="144"/>
      <c r="M886" s="87"/>
      <c r="N886" s="88"/>
      <c r="O886" s="222"/>
    </row>
    <row r="887" spans="1:15" ht="3.95" customHeight="1" outlineLevel="1">
      <c r="A887" s="157"/>
      <c r="B887" s="72"/>
      <c r="C887" s="73"/>
      <c r="D887" s="71"/>
      <c r="E887" s="71"/>
      <c r="F887" s="72"/>
      <c r="G887" s="138"/>
      <c r="H887" s="138"/>
      <c r="I887" s="75"/>
      <c r="J887" s="138"/>
      <c r="K887" s="138"/>
      <c r="L887" s="139"/>
      <c r="M887" s="74"/>
      <c r="N887" s="75"/>
      <c r="O887" s="208"/>
    </row>
    <row r="888" spans="1:15" ht="11.1" customHeight="1" outlineLevel="1">
      <c r="A888" s="370" t="s">
        <v>110</v>
      </c>
      <c r="B888" s="76" t="s">
        <v>9</v>
      </c>
      <c r="C888" s="151" t="s">
        <v>113</v>
      </c>
      <c r="D888" s="369" t="s">
        <v>90</v>
      </c>
      <c r="E888" s="369" t="s">
        <v>187</v>
      </c>
      <c r="F888" s="78" t="s">
        <v>28</v>
      </c>
      <c r="G888" s="140">
        <f>SUM(G889:G894)</f>
        <v>1876591</v>
      </c>
      <c r="H888" s="140">
        <f>SUM(H889:H894)</f>
        <v>1870547</v>
      </c>
      <c r="I888" s="39">
        <f t="shared" ref="I888:I894" si="241">IF(G888&gt;0,H888/G888*100,"-")</f>
        <v>99.677926623329213</v>
      </c>
      <c r="J888" s="140">
        <f>SUM(J889:J894)</f>
        <v>139692</v>
      </c>
      <c r="K888" s="140">
        <f>SUM(K889:K894)</f>
        <v>117633</v>
      </c>
      <c r="L888" s="140">
        <f>SUM(L889:L894)</f>
        <v>257325</v>
      </c>
      <c r="M888" s="38">
        <f>SUM(M889:M894)</f>
        <v>251280.94</v>
      </c>
      <c r="N888" s="39">
        <f t="shared" ref="N888:N894" si="242">IF(L888&gt;0,M888/L888*100,"-")</f>
        <v>97.651195958418342</v>
      </c>
      <c r="O888" s="366" t="s">
        <v>515</v>
      </c>
    </row>
    <row r="889" spans="1:15" ht="11.1" customHeight="1" outlineLevel="1">
      <c r="A889" s="370"/>
      <c r="B889" s="76" t="s">
        <v>10</v>
      </c>
      <c r="C889" s="151" t="s">
        <v>133</v>
      </c>
      <c r="D889" s="369"/>
      <c r="E889" s="369"/>
      <c r="F889" s="79" t="s">
        <v>15</v>
      </c>
      <c r="G889" s="141">
        <v>1235966</v>
      </c>
      <c r="H889" s="141">
        <v>1229922</v>
      </c>
      <c r="I889" s="81">
        <f t="shared" si="241"/>
        <v>99.510989784508624</v>
      </c>
      <c r="J889" s="141">
        <v>0</v>
      </c>
      <c r="K889" s="142">
        <f t="shared" ref="K889:K894" si="243">L889-J889</f>
        <v>117633</v>
      </c>
      <c r="L889" s="141">
        <v>117633</v>
      </c>
      <c r="M889" s="83">
        <v>111588.94</v>
      </c>
      <c r="N889" s="81">
        <f t="shared" si="242"/>
        <v>94.861935001232638</v>
      </c>
      <c r="O889" s="366"/>
    </row>
    <row r="890" spans="1:15" ht="11.1" customHeight="1" outlineLevel="1">
      <c r="A890" s="370"/>
      <c r="B890" s="76"/>
      <c r="C890" s="82" t="s">
        <v>134</v>
      </c>
      <c r="D890" s="369"/>
      <c r="E890" s="369"/>
      <c r="F890" s="79" t="s">
        <v>7</v>
      </c>
      <c r="G890" s="141">
        <v>0</v>
      </c>
      <c r="H890" s="141">
        <v>0</v>
      </c>
      <c r="I890" s="81" t="str">
        <f t="shared" si="241"/>
        <v>-</v>
      </c>
      <c r="J890" s="141">
        <v>0</v>
      </c>
      <c r="K890" s="142">
        <f t="shared" si="243"/>
        <v>0</v>
      </c>
      <c r="L890" s="141">
        <v>0</v>
      </c>
      <c r="M890" s="83">
        <v>0</v>
      </c>
      <c r="N890" s="81" t="str">
        <f t="shared" si="242"/>
        <v>-</v>
      </c>
      <c r="O890" s="366"/>
    </row>
    <row r="891" spans="1:15" ht="11.1" customHeight="1" outlineLevel="1">
      <c r="A891" s="120"/>
      <c r="B891" s="76" t="s">
        <v>11</v>
      </c>
      <c r="C891" s="82" t="s">
        <v>210</v>
      </c>
      <c r="D891" s="111"/>
      <c r="E891" s="111"/>
      <c r="F891" s="79" t="s">
        <v>8</v>
      </c>
      <c r="G891" s="141">
        <v>640625</v>
      </c>
      <c r="H891" s="141">
        <v>640625</v>
      </c>
      <c r="I891" s="81">
        <f t="shared" si="241"/>
        <v>100</v>
      </c>
      <c r="J891" s="141">
        <v>139692</v>
      </c>
      <c r="K891" s="142">
        <f t="shared" si="243"/>
        <v>0</v>
      </c>
      <c r="L891" s="141">
        <v>139692</v>
      </c>
      <c r="M891" s="80">
        <v>139692</v>
      </c>
      <c r="N891" s="81">
        <f t="shared" si="242"/>
        <v>100</v>
      </c>
      <c r="O891" s="366"/>
    </row>
    <row r="892" spans="1:15" ht="11.1" customHeight="1" outlineLevel="1">
      <c r="A892" s="120"/>
      <c r="B892" s="76"/>
      <c r="C892" s="82" t="s">
        <v>135</v>
      </c>
      <c r="D892" s="111"/>
      <c r="E892" s="111"/>
      <c r="F892" s="79" t="s">
        <v>22</v>
      </c>
      <c r="G892" s="141">
        <v>0</v>
      </c>
      <c r="H892" s="141">
        <v>0</v>
      </c>
      <c r="I892" s="81" t="str">
        <f t="shared" si="241"/>
        <v>-</v>
      </c>
      <c r="J892" s="141">
        <v>0</v>
      </c>
      <c r="K892" s="142">
        <f t="shared" si="243"/>
        <v>0</v>
      </c>
      <c r="L892" s="141">
        <v>0</v>
      </c>
      <c r="M892" s="83">
        <v>0</v>
      </c>
      <c r="N892" s="81" t="str">
        <f t="shared" si="242"/>
        <v>-</v>
      </c>
      <c r="O892" s="366"/>
    </row>
    <row r="893" spans="1:15" ht="11.1" customHeight="1" outlineLevel="1">
      <c r="A893" s="120"/>
      <c r="B893" s="76" t="s">
        <v>12</v>
      </c>
      <c r="C893" s="82" t="s">
        <v>463</v>
      </c>
      <c r="D893" s="111"/>
      <c r="E893" s="111"/>
      <c r="F893" s="107" t="s">
        <v>45</v>
      </c>
      <c r="G893" s="141">
        <v>0</v>
      </c>
      <c r="H893" s="141">
        <v>0</v>
      </c>
      <c r="I893" s="81" t="str">
        <f t="shared" si="241"/>
        <v>-</v>
      </c>
      <c r="J893" s="141">
        <v>0</v>
      </c>
      <c r="K893" s="142">
        <f t="shared" si="243"/>
        <v>0</v>
      </c>
      <c r="L893" s="141">
        <v>0</v>
      </c>
      <c r="M893" s="83">
        <v>0</v>
      </c>
      <c r="N893" s="81" t="str">
        <f t="shared" si="242"/>
        <v>-</v>
      </c>
      <c r="O893" s="366"/>
    </row>
    <row r="894" spans="1:15" ht="11.1" customHeight="1" outlineLevel="1">
      <c r="A894" s="120"/>
      <c r="B894" s="76"/>
      <c r="C894" s="82" t="s">
        <v>465</v>
      </c>
      <c r="D894" s="111"/>
      <c r="E894" s="111"/>
      <c r="F894" s="107" t="s">
        <v>46</v>
      </c>
      <c r="G894" s="141">
        <v>0</v>
      </c>
      <c r="H894" s="141">
        <v>0</v>
      </c>
      <c r="I894" s="81" t="str">
        <f t="shared" si="241"/>
        <v>-</v>
      </c>
      <c r="J894" s="141">
        <v>0</v>
      </c>
      <c r="K894" s="142">
        <f t="shared" si="243"/>
        <v>0</v>
      </c>
      <c r="L894" s="141">
        <v>0</v>
      </c>
      <c r="M894" s="83">
        <v>0</v>
      </c>
      <c r="N894" s="81" t="str">
        <f t="shared" si="242"/>
        <v>-</v>
      </c>
      <c r="O894" s="366"/>
    </row>
    <row r="895" spans="1:15" ht="11.1" customHeight="1" outlineLevel="1">
      <c r="A895" s="120"/>
      <c r="B895" s="76" t="s">
        <v>23</v>
      </c>
      <c r="C895" s="82" t="s">
        <v>206</v>
      </c>
      <c r="D895" s="111"/>
      <c r="E895" s="111"/>
      <c r="F895" s="107"/>
      <c r="G895" s="142"/>
      <c r="H895" s="142"/>
      <c r="I895" s="152"/>
      <c r="J895" s="142"/>
      <c r="K895" s="142"/>
      <c r="L895" s="141"/>
      <c r="M895" s="89"/>
      <c r="N895" s="81"/>
      <c r="O895" s="366"/>
    </row>
    <row r="896" spans="1:15" ht="10.5" hidden="1" customHeight="1" outlineLevel="1">
      <c r="A896" s="120"/>
      <c r="B896" s="76"/>
      <c r="C896" s="82"/>
      <c r="D896" s="90"/>
      <c r="E896" s="90"/>
      <c r="F896" s="107"/>
      <c r="G896" s="142"/>
      <c r="H896" s="142"/>
      <c r="I896" s="152"/>
      <c r="J896" s="142"/>
      <c r="K896" s="142"/>
      <c r="L896" s="141"/>
      <c r="M896" s="89"/>
      <c r="N896" s="81"/>
      <c r="O896" s="366"/>
    </row>
    <row r="897" spans="1:16" ht="3.95" customHeight="1" outlineLevel="1">
      <c r="A897" s="121"/>
      <c r="B897" s="85"/>
      <c r="C897" s="86"/>
      <c r="D897" s="84"/>
      <c r="E897" s="84"/>
      <c r="F897" s="85"/>
      <c r="G897" s="143"/>
      <c r="H897" s="143"/>
      <c r="I897" s="85"/>
      <c r="J897" s="143"/>
      <c r="K897" s="143"/>
      <c r="L897" s="144"/>
      <c r="M897" s="87"/>
      <c r="N897" s="88"/>
      <c r="O897" s="222"/>
    </row>
    <row r="898" spans="1:16" ht="3.95" customHeight="1">
      <c r="A898" s="59"/>
      <c r="B898" s="60"/>
      <c r="C898" s="61"/>
      <c r="D898" s="62"/>
      <c r="E898" s="62"/>
      <c r="F898" s="59"/>
      <c r="G898" s="134"/>
      <c r="H898" s="134"/>
      <c r="I898" s="59"/>
      <c r="J898" s="134"/>
      <c r="K898" s="134"/>
      <c r="L898" s="134"/>
      <c r="M898" s="63"/>
      <c r="N898" s="64"/>
      <c r="O898" s="219"/>
    </row>
    <row r="899" spans="1:16" ht="11.45" customHeight="1">
      <c r="A899" s="28" t="s">
        <v>91</v>
      </c>
      <c r="B899" s="390" t="s">
        <v>67</v>
      </c>
      <c r="C899" s="391"/>
      <c r="D899" s="29"/>
      <c r="E899" s="29"/>
      <c r="F899" s="30"/>
      <c r="G899" s="135">
        <f>SUM(G900:G905)</f>
        <v>19986245</v>
      </c>
      <c r="H899" s="135">
        <f>SUM(H900:H905)</f>
        <v>15568819</v>
      </c>
      <c r="I899" s="32">
        <f>IF(G899&gt;0,H899/G899*100,"-")</f>
        <v>77.89766912193862</v>
      </c>
      <c r="J899" s="135">
        <f>SUM(J900:J905)</f>
        <v>12270049</v>
      </c>
      <c r="K899" s="135">
        <f>SUM(K900:K905)</f>
        <v>58170</v>
      </c>
      <c r="L899" s="135">
        <f>SUM(L900:L905)</f>
        <v>12328219</v>
      </c>
      <c r="M899" s="31">
        <f>SUM(M900:M905)</f>
        <v>7910792.0300000003</v>
      </c>
      <c r="N899" s="32">
        <f t="shared" ref="N899:N905" si="244">IF(L899&gt;0,M899/L899*100,"-")</f>
        <v>64.168165977583627</v>
      </c>
      <c r="O899" s="220"/>
    </row>
    <row r="900" spans="1:16" ht="11.45" customHeight="1">
      <c r="A900" s="30"/>
      <c r="B900" s="33"/>
      <c r="C900" s="34"/>
      <c r="D900" s="29"/>
      <c r="E900" s="29"/>
      <c r="F900" s="35" t="s">
        <v>15</v>
      </c>
      <c r="G900" s="136">
        <f>G909</f>
        <v>6863826</v>
      </c>
      <c r="H900" s="136">
        <f>H909</f>
        <v>6863826</v>
      </c>
      <c r="I900" s="37">
        <f t="shared" ref="I900:I905" si="245">IF(G900&gt;0,H900/G900*100,"-")</f>
        <v>100</v>
      </c>
      <c r="J900" s="136">
        <f t="shared" ref="J900:M905" si="246">J909</f>
        <v>0</v>
      </c>
      <c r="K900" s="136">
        <f t="shared" si="246"/>
        <v>0</v>
      </c>
      <c r="L900" s="136">
        <f t="shared" si="246"/>
        <v>0</v>
      </c>
      <c r="M900" s="36">
        <f t="shared" si="246"/>
        <v>0</v>
      </c>
      <c r="N900" s="37" t="str">
        <f t="shared" si="244"/>
        <v>-</v>
      </c>
      <c r="O900" s="220"/>
    </row>
    <row r="901" spans="1:16" ht="11.45" customHeight="1">
      <c r="A901" s="30"/>
      <c r="B901" s="33"/>
      <c r="C901" s="34"/>
      <c r="D901" s="29"/>
      <c r="E901" s="29"/>
      <c r="F901" s="35" t="s">
        <v>7</v>
      </c>
      <c r="G901" s="136">
        <f t="shared" ref="G901:H905" si="247">G910</f>
        <v>10429542</v>
      </c>
      <c r="H901" s="136">
        <f t="shared" si="247"/>
        <v>6628160</v>
      </c>
      <c r="I901" s="37">
        <f t="shared" si="245"/>
        <v>63.55178396136666</v>
      </c>
      <c r="J901" s="136">
        <f t="shared" si="246"/>
        <v>10429542</v>
      </c>
      <c r="K901" s="136">
        <f t="shared" si="246"/>
        <v>0</v>
      </c>
      <c r="L901" s="136">
        <f t="shared" si="246"/>
        <v>10429542</v>
      </c>
      <c r="M901" s="36">
        <f t="shared" si="246"/>
        <v>6628159.9000000004</v>
      </c>
      <c r="N901" s="37">
        <f t="shared" si="244"/>
        <v>63.551783002551801</v>
      </c>
      <c r="O901" s="220"/>
    </row>
    <row r="902" spans="1:16" ht="11.45" customHeight="1">
      <c r="A902" s="30"/>
      <c r="B902" s="33"/>
      <c r="C902" s="34"/>
      <c r="D902" s="29"/>
      <c r="E902" s="29"/>
      <c r="F902" s="35" t="s">
        <v>8</v>
      </c>
      <c r="G902" s="136">
        <f t="shared" si="247"/>
        <v>2634707</v>
      </c>
      <c r="H902" s="136">
        <f t="shared" si="247"/>
        <v>2076833</v>
      </c>
      <c r="I902" s="37">
        <f t="shared" si="245"/>
        <v>78.825956738263486</v>
      </c>
      <c r="J902" s="136">
        <f t="shared" si="246"/>
        <v>1840507</v>
      </c>
      <c r="K902" s="136">
        <f t="shared" si="246"/>
        <v>0</v>
      </c>
      <c r="L902" s="136">
        <f t="shared" si="246"/>
        <v>1840507</v>
      </c>
      <c r="M902" s="36">
        <f t="shared" si="246"/>
        <v>1282632.1299999999</v>
      </c>
      <c r="N902" s="37">
        <f t="shared" si="244"/>
        <v>69.689065567259448</v>
      </c>
      <c r="O902" s="220"/>
    </row>
    <row r="903" spans="1:16" ht="11.45" customHeight="1">
      <c r="A903" s="30"/>
      <c r="B903" s="33"/>
      <c r="C903" s="34"/>
      <c r="D903" s="29"/>
      <c r="E903" s="29"/>
      <c r="F903" s="35" t="s">
        <v>22</v>
      </c>
      <c r="G903" s="136">
        <f t="shared" si="247"/>
        <v>0</v>
      </c>
      <c r="H903" s="136">
        <f t="shared" si="247"/>
        <v>0</v>
      </c>
      <c r="I903" s="37" t="str">
        <f t="shared" si="245"/>
        <v>-</v>
      </c>
      <c r="J903" s="136">
        <f t="shared" si="246"/>
        <v>0</v>
      </c>
      <c r="K903" s="136">
        <f t="shared" si="246"/>
        <v>0</v>
      </c>
      <c r="L903" s="136">
        <f t="shared" si="246"/>
        <v>0</v>
      </c>
      <c r="M903" s="36">
        <f t="shared" si="246"/>
        <v>0</v>
      </c>
      <c r="N903" s="37" t="str">
        <f t="shared" si="244"/>
        <v>-</v>
      </c>
      <c r="O903" s="220"/>
    </row>
    <row r="904" spans="1:16" ht="11.45" customHeight="1">
      <c r="A904" s="30"/>
      <c r="B904" s="33"/>
      <c r="C904" s="34"/>
      <c r="D904" s="29"/>
      <c r="E904" s="29"/>
      <c r="F904" s="35" t="s">
        <v>45</v>
      </c>
      <c r="G904" s="136">
        <f t="shared" si="247"/>
        <v>0</v>
      </c>
      <c r="H904" s="136">
        <f t="shared" si="247"/>
        <v>0</v>
      </c>
      <c r="I904" s="37" t="str">
        <f t="shared" si="245"/>
        <v>-</v>
      </c>
      <c r="J904" s="136">
        <f t="shared" si="246"/>
        <v>0</v>
      </c>
      <c r="K904" s="136">
        <f t="shared" si="246"/>
        <v>0</v>
      </c>
      <c r="L904" s="136">
        <f t="shared" si="246"/>
        <v>0</v>
      </c>
      <c r="M904" s="36">
        <f t="shared" si="246"/>
        <v>0</v>
      </c>
      <c r="N904" s="37" t="str">
        <f t="shared" si="244"/>
        <v>-</v>
      </c>
      <c r="O904" s="220"/>
    </row>
    <row r="905" spans="1:16" ht="11.45" customHeight="1">
      <c r="A905" s="30"/>
      <c r="B905" s="33"/>
      <c r="C905" s="34"/>
      <c r="D905" s="29"/>
      <c r="E905" s="29"/>
      <c r="F905" s="35" t="s">
        <v>46</v>
      </c>
      <c r="G905" s="136">
        <f t="shared" si="247"/>
        <v>58170</v>
      </c>
      <c r="H905" s="136">
        <f t="shared" si="247"/>
        <v>0</v>
      </c>
      <c r="I905" s="37">
        <f t="shared" si="245"/>
        <v>0</v>
      </c>
      <c r="J905" s="136">
        <f t="shared" si="246"/>
        <v>0</v>
      </c>
      <c r="K905" s="136">
        <f t="shared" si="246"/>
        <v>58170</v>
      </c>
      <c r="L905" s="136">
        <f t="shared" si="246"/>
        <v>58170</v>
      </c>
      <c r="M905" s="36">
        <f t="shared" si="246"/>
        <v>0</v>
      </c>
      <c r="N905" s="37">
        <f t="shared" si="244"/>
        <v>0</v>
      </c>
      <c r="O905" s="220"/>
    </row>
    <row r="906" spans="1:16" ht="3.95" customHeight="1">
      <c r="A906" s="65"/>
      <c r="B906" s="66"/>
      <c r="C906" s="67"/>
      <c r="D906" s="68"/>
      <c r="E906" s="68"/>
      <c r="F906" s="65"/>
      <c r="G906" s="137"/>
      <c r="H906" s="137"/>
      <c r="I906" s="70"/>
      <c r="J906" s="137"/>
      <c r="K906" s="137"/>
      <c r="L906" s="137"/>
      <c r="M906" s="69"/>
      <c r="N906" s="70"/>
      <c r="O906" s="221"/>
    </row>
    <row r="907" spans="1:16" s="15" customFormat="1" ht="3.95" customHeight="1" outlineLevel="1">
      <c r="A907" s="212"/>
      <c r="B907" s="72"/>
      <c r="C907" s="285"/>
      <c r="D907" s="201"/>
      <c r="E907" s="269"/>
      <c r="F907" s="274"/>
      <c r="G907" s="272"/>
      <c r="H907" s="272"/>
      <c r="I907" s="275"/>
      <c r="J907" s="272"/>
      <c r="K907" s="138"/>
      <c r="L907" s="139"/>
      <c r="M907" s="279"/>
      <c r="N907" s="75"/>
      <c r="O907" s="280"/>
      <c r="P907" s="180"/>
    </row>
    <row r="908" spans="1:16" s="15" customFormat="1" ht="11.1" customHeight="1" outlineLevel="1">
      <c r="A908" s="370" t="s">
        <v>1</v>
      </c>
      <c r="B908" s="76" t="s">
        <v>9</v>
      </c>
      <c r="C908" s="82" t="s">
        <v>251</v>
      </c>
      <c r="D908" s="369" t="s">
        <v>207</v>
      </c>
      <c r="E908" s="369" t="s">
        <v>214</v>
      </c>
      <c r="F908" s="276" t="s">
        <v>221</v>
      </c>
      <c r="G908" s="281">
        <f>SUM(G909:G914)</f>
        <v>19986245</v>
      </c>
      <c r="H908" s="281">
        <f>SUM(H909:H914)</f>
        <v>15568819</v>
      </c>
      <c r="I908" s="282">
        <f t="shared" ref="I908:I914" si="248">IF(G908&gt;0,H908/G908*100,"-")</f>
        <v>77.89766912193862</v>
      </c>
      <c r="J908" s="281">
        <f>SUM(J909:J914)</f>
        <v>12270049</v>
      </c>
      <c r="K908" s="281">
        <f>SUM(K909:K914)</f>
        <v>58170</v>
      </c>
      <c r="L908" s="283">
        <f>SUM(L909:L914)</f>
        <v>12328219</v>
      </c>
      <c r="M908" s="284">
        <f>SUM(M909:M914)</f>
        <v>7910792.0300000003</v>
      </c>
      <c r="N908" s="258">
        <f t="shared" ref="N908:N914" si="249">IF(L908&gt;0,M908/L908*100,"-")</f>
        <v>64.168165977583627</v>
      </c>
      <c r="O908" s="366" t="s">
        <v>253</v>
      </c>
      <c r="P908" s="180"/>
    </row>
    <row r="909" spans="1:16" s="15" customFormat="1" ht="11.1" customHeight="1" outlineLevel="1">
      <c r="A909" s="370"/>
      <c r="B909" s="76" t="s">
        <v>10</v>
      </c>
      <c r="C909" s="195" t="s">
        <v>252</v>
      </c>
      <c r="D909" s="369"/>
      <c r="E909" s="369"/>
      <c r="F909" s="79" t="s">
        <v>15</v>
      </c>
      <c r="G909" s="196">
        <v>6863826</v>
      </c>
      <c r="H909" s="196">
        <v>6863826</v>
      </c>
      <c r="I909" s="197">
        <f t="shared" si="248"/>
        <v>100</v>
      </c>
      <c r="J909" s="196">
        <v>0</v>
      </c>
      <c r="K909" s="142">
        <f t="shared" ref="K909:K914" si="250">L909-J909</f>
        <v>0</v>
      </c>
      <c r="L909" s="196">
        <v>0</v>
      </c>
      <c r="M909" s="199">
        <v>0</v>
      </c>
      <c r="N909" s="171" t="str">
        <f t="shared" si="249"/>
        <v>-</v>
      </c>
      <c r="O909" s="368"/>
      <c r="P909" s="180"/>
    </row>
    <row r="910" spans="1:16" s="15" customFormat="1" ht="11.1" customHeight="1" outlineLevel="1">
      <c r="A910" s="370"/>
      <c r="B910" s="76" t="s">
        <v>11</v>
      </c>
      <c r="C910" s="195" t="s">
        <v>271</v>
      </c>
      <c r="D910" s="369"/>
      <c r="E910" s="369"/>
      <c r="F910" s="79" t="s">
        <v>7</v>
      </c>
      <c r="G910" s="196">
        <v>10429542</v>
      </c>
      <c r="H910" s="316">
        <f>ROUNDUP(0+M910,0)</f>
        <v>6628160</v>
      </c>
      <c r="I910" s="197">
        <f t="shared" si="248"/>
        <v>63.55178396136666</v>
      </c>
      <c r="J910" s="196">
        <v>10429542</v>
      </c>
      <c r="K910" s="142">
        <f t="shared" si="250"/>
        <v>0</v>
      </c>
      <c r="L910" s="196">
        <v>10429542</v>
      </c>
      <c r="M910" s="199">
        <v>6628159.9000000004</v>
      </c>
      <c r="N910" s="171">
        <f t="shared" si="249"/>
        <v>63.551783002551801</v>
      </c>
      <c r="O910" s="368"/>
      <c r="P910" s="180"/>
    </row>
    <row r="911" spans="1:16" s="15" customFormat="1" ht="11.1" customHeight="1" outlineLevel="1">
      <c r="A911" s="120"/>
      <c r="B911" s="76"/>
      <c r="C911" s="82" t="s">
        <v>135</v>
      </c>
      <c r="D911" s="209"/>
      <c r="E911" s="209"/>
      <c r="F911" s="79" t="s">
        <v>8</v>
      </c>
      <c r="G911" s="196">
        <v>2634707</v>
      </c>
      <c r="H911" s="316">
        <f>ROUNDUP(794200+M911,0)</f>
        <v>2076833</v>
      </c>
      <c r="I911" s="197">
        <f t="shared" si="248"/>
        <v>78.825956738263486</v>
      </c>
      <c r="J911" s="196">
        <v>1840507</v>
      </c>
      <c r="K911" s="142">
        <f t="shared" si="250"/>
        <v>0</v>
      </c>
      <c r="L911" s="196">
        <v>1840507</v>
      </c>
      <c r="M911" s="199">
        <v>1282632.1299999999</v>
      </c>
      <c r="N911" s="171">
        <f t="shared" si="249"/>
        <v>69.689065567259448</v>
      </c>
      <c r="O911" s="368"/>
      <c r="P911" s="180"/>
    </row>
    <row r="912" spans="1:16" s="15" customFormat="1" ht="11.1" customHeight="1" outlineLevel="1">
      <c r="A912" s="120"/>
      <c r="B912" s="76" t="s">
        <v>12</v>
      </c>
      <c r="C912" s="82" t="s">
        <v>466</v>
      </c>
      <c r="D912" s="209"/>
      <c r="E912" s="209"/>
      <c r="F912" s="79" t="s">
        <v>22</v>
      </c>
      <c r="G912" s="198">
        <v>0</v>
      </c>
      <c r="H912" s="317">
        <v>0</v>
      </c>
      <c r="I912" s="197" t="str">
        <f t="shared" si="248"/>
        <v>-</v>
      </c>
      <c r="J912" s="198">
        <v>0</v>
      </c>
      <c r="K912" s="142">
        <f t="shared" si="250"/>
        <v>0</v>
      </c>
      <c r="L912" s="196">
        <v>0</v>
      </c>
      <c r="M912" s="199">
        <v>0</v>
      </c>
      <c r="N912" s="171" t="str">
        <f t="shared" si="249"/>
        <v>-</v>
      </c>
      <c r="O912" s="368"/>
      <c r="P912" s="180"/>
    </row>
    <row r="913" spans="1:16" s="15" customFormat="1" ht="11.1" customHeight="1" outlineLevel="1">
      <c r="A913" s="244"/>
      <c r="B913" s="76"/>
      <c r="C913" s="179" t="s">
        <v>467</v>
      </c>
      <c r="D913" s="209"/>
      <c r="E913" s="209"/>
      <c r="F913" s="107" t="s">
        <v>45</v>
      </c>
      <c r="G913" s="198">
        <v>0</v>
      </c>
      <c r="H913" s="317">
        <v>0</v>
      </c>
      <c r="I913" s="200" t="str">
        <f t="shared" si="248"/>
        <v>-</v>
      </c>
      <c r="J913" s="198">
        <v>0</v>
      </c>
      <c r="K913" s="142">
        <f t="shared" si="250"/>
        <v>0</v>
      </c>
      <c r="L913" s="196">
        <v>0</v>
      </c>
      <c r="M913" s="199">
        <v>0</v>
      </c>
      <c r="N913" s="171" t="str">
        <f t="shared" si="249"/>
        <v>-</v>
      </c>
      <c r="O913" s="368"/>
      <c r="P913" s="180"/>
    </row>
    <row r="914" spans="1:16" s="15" customFormat="1" ht="11.1" customHeight="1" outlineLevel="1">
      <c r="A914" s="244"/>
      <c r="B914" s="76" t="s">
        <v>23</v>
      </c>
      <c r="C914" s="82" t="s">
        <v>213</v>
      </c>
      <c r="D914" s="209"/>
      <c r="E914" s="209"/>
      <c r="F914" s="107" t="s">
        <v>46</v>
      </c>
      <c r="G914" s="198">
        <v>58170</v>
      </c>
      <c r="H914" s="317">
        <v>0</v>
      </c>
      <c r="I914" s="200">
        <f t="shared" si="248"/>
        <v>0</v>
      </c>
      <c r="J914" s="198">
        <v>0</v>
      </c>
      <c r="K914" s="142">
        <f t="shared" si="250"/>
        <v>58170</v>
      </c>
      <c r="L914" s="196">
        <v>58170</v>
      </c>
      <c r="M914" s="199">
        <v>0</v>
      </c>
      <c r="N914" s="171">
        <f t="shared" si="249"/>
        <v>0</v>
      </c>
      <c r="O914" s="368"/>
      <c r="P914" s="180"/>
    </row>
    <row r="915" spans="1:16" s="15" customFormat="1" ht="3.95" customHeight="1" outlineLevel="1">
      <c r="A915" s="310"/>
      <c r="B915" s="85"/>
      <c r="C915" s="185"/>
      <c r="D915" s="204"/>
      <c r="E915" s="204"/>
      <c r="F915" s="311"/>
      <c r="G915" s="312"/>
      <c r="H915" s="312"/>
      <c r="I915" s="313"/>
      <c r="J915" s="312"/>
      <c r="K915" s="312"/>
      <c r="L915" s="314"/>
      <c r="M915" s="315"/>
      <c r="N915" s="181"/>
      <c r="O915" s="204"/>
      <c r="P915" s="180"/>
    </row>
    <row r="916" spans="1:16" ht="3.95" customHeight="1">
      <c r="A916" s="59"/>
      <c r="B916" s="60"/>
      <c r="C916" s="61"/>
      <c r="D916" s="62"/>
      <c r="E916" s="62"/>
      <c r="F916" s="59"/>
      <c r="G916" s="134"/>
      <c r="H916" s="134"/>
      <c r="I916" s="59"/>
      <c r="J916" s="134"/>
      <c r="K916" s="134"/>
      <c r="L916" s="134"/>
      <c r="M916" s="63"/>
      <c r="N916" s="64"/>
      <c r="O916" s="219"/>
    </row>
    <row r="917" spans="1:16" ht="11.45" customHeight="1">
      <c r="A917" s="28" t="s">
        <v>92</v>
      </c>
      <c r="B917" s="387" t="s">
        <v>118</v>
      </c>
      <c r="C917" s="372"/>
      <c r="D917" s="29"/>
      <c r="E917" s="29"/>
      <c r="F917" s="30"/>
      <c r="G917" s="135">
        <f>SUM(G918:G923)</f>
        <v>45651</v>
      </c>
      <c r="H917" s="135">
        <f>SUM(H918:H923)</f>
        <v>32768</v>
      </c>
      <c r="I917" s="32">
        <f>IF(G917&gt;0,H917/G917*100,"-")</f>
        <v>71.779369564741188</v>
      </c>
      <c r="J917" s="135">
        <f>SUM(J918:J923)</f>
        <v>24001</v>
      </c>
      <c r="K917" s="135">
        <f>SUM(K918:K923)</f>
        <v>0</v>
      </c>
      <c r="L917" s="135">
        <f>SUM(L918:L923)</f>
        <v>24001</v>
      </c>
      <c r="M917" s="31">
        <f>SUM(M918:M923)</f>
        <v>11116.06</v>
      </c>
      <c r="N917" s="32">
        <f t="shared" ref="N917:N923" si="251">IF(L917&gt;0,M917/L917*100,"-")</f>
        <v>46.31498687554685</v>
      </c>
      <c r="O917" s="220"/>
    </row>
    <row r="918" spans="1:16" ht="11.45" customHeight="1">
      <c r="A918" s="30"/>
      <c r="B918" s="33"/>
      <c r="C918" s="34"/>
      <c r="D918" s="29"/>
      <c r="E918" s="29"/>
      <c r="F918" s="35" t="s">
        <v>15</v>
      </c>
      <c r="G918" s="136">
        <f t="shared" ref="G918:H923" si="252">G927</f>
        <v>4565</v>
      </c>
      <c r="H918" s="136">
        <f t="shared" si="252"/>
        <v>3277</v>
      </c>
      <c r="I918" s="37">
        <f t="shared" ref="I918:I923" si="253">IF(G918&gt;0,H918/G918*100,"-")</f>
        <v>71.785323110624304</v>
      </c>
      <c r="J918" s="136">
        <f t="shared" ref="J918:M923" si="254">J927</f>
        <v>2400</v>
      </c>
      <c r="K918" s="136">
        <f t="shared" si="254"/>
        <v>0</v>
      </c>
      <c r="L918" s="136">
        <f t="shared" si="254"/>
        <v>2400</v>
      </c>
      <c r="M918" s="36">
        <f t="shared" si="254"/>
        <v>1111.6099999999999</v>
      </c>
      <c r="N918" s="37">
        <f t="shared" si="251"/>
        <v>46.317083333333329</v>
      </c>
      <c r="O918" s="220"/>
    </row>
    <row r="919" spans="1:16" ht="11.45" customHeight="1">
      <c r="A919" s="30"/>
      <c r="B919" s="33"/>
      <c r="C919" s="34"/>
      <c r="D919" s="29"/>
      <c r="E919" s="29"/>
      <c r="F919" s="35" t="s">
        <v>7</v>
      </c>
      <c r="G919" s="136">
        <f t="shared" si="252"/>
        <v>37803</v>
      </c>
      <c r="H919" s="136">
        <f t="shared" si="252"/>
        <v>27134</v>
      </c>
      <c r="I919" s="37">
        <f t="shared" si="253"/>
        <v>71.777372166230194</v>
      </c>
      <c r="J919" s="136">
        <f t="shared" si="254"/>
        <v>19875</v>
      </c>
      <c r="K919" s="136">
        <f t="shared" si="254"/>
        <v>0</v>
      </c>
      <c r="L919" s="136">
        <f t="shared" si="254"/>
        <v>19875</v>
      </c>
      <c r="M919" s="36">
        <f t="shared" si="254"/>
        <v>9205.2099999999991</v>
      </c>
      <c r="N919" s="37">
        <f t="shared" si="251"/>
        <v>46.315522012578612</v>
      </c>
      <c r="O919" s="220"/>
    </row>
    <row r="920" spans="1:16" ht="11.45" customHeight="1">
      <c r="A920" s="30"/>
      <c r="B920" s="33"/>
      <c r="C920" s="34"/>
      <c r="D920" s="29"/>
      <c r="E920" s="29"/>
      <c r="F920" s="35" t="s">
        <v>8</v>
      </c>
      <c r="G920" s="136">
        <f t="shared" si="252"/>
        <v>0</v>
      </c>
      <c r="H920" s="136">
        <f t="shared" si="252"/>
        <v>0</v>
      </c>
      <c r="I920" s="37" t="str">
        <f t="shared" si="253"/>
        <v>-</v>
      </c>
      <c r="J920" s="136">
        <f t="shared" si="254"/>
        <v>0</v>
      </c>
      <c r="K920" s="136">
        <f t="shared" si="254"/>
        <v>0</v>
      </c>
      <c r="L920" s="136">
        <f t="shared" si="254"/>
        <v>0</v>
      </c>
      <c r="M920" s="36">
        <f t="shared" si="254"/>
        <v>0</v>
      </c>
      <c r="N920" s="37" t="str">
        <f t="shared" si="251"/>
        <v>-</v>
      </c>
      <c r="O920" s="220"/>
    </row>
    <row r="921" spans="1:16" ht="11.45" customHeight="1">
      <c r="A921" s="30"/>
      <c r="B921" s="33"/>
      <c r="C921" s="34"/>
      <c r="D921" s="29"/>
      <c r="E921" s="29"/>
      <c r="F921" s="35" t="s">
        <v>22</v>
      </c>
      <c r="G921" s="136">
        <f t="shared" si="252"/>
        <v>3283</v>
      </c>
      <c r="H921" s="136">
        <f t="shared" si="252"/>
        <v>2357</v>
      </c>
      <c r="I921" s="37">
        <f t="shared" si="253"/>
        <v>71.794090770636615</v>
      </c>
      <c r="J921" s="136">
        <f t="shared" si="254"/>
        <v>1726</v>
      </c>
      <c r="K921" s="136">
        <f t="shared" si="254"/>
        <v>0</v>
      </c>
      <c r="L921" s="136">
        <f t="shared" si="254"/>
        <v>1726</v>
      </c>
      <c r="M921" s="36">
        <f t="shared" si="254"/>
        <v>799.24</v>
      </c>
      <c r="N921" s="37">
        <f t="shared" si="251"/>
        <v>46.305909617612976</v>
      </c>
      <c r="O921" s="220"/>
    </row>
    <row r="922" spans="1:16" ht="11.45" customHeight="1">
      <c r="A922" s="30"/>
      <c r="B922" s="33"/>
      <c r="C922" s="34"/>
      <c r="D922" s="29"/>
      <c r="E922" s="29"/>
      <c r="F922" s="35" t="s">
        <v>45</v>
      </c>
      <c r="G922" s="136">
        <f t="shared" si="252"/>
        <v>0</v>
      </c>
      <c r="H922" s="136">
        <f t="shared" si="252"/>
        <v>0</v>
      </c>
      <c r="I922" s="37" t="str">
        <f t="shared" si="253"/>
        <v>-</v>
      </c>
      <c r="J922" s="136">
        <f t="shared" si="254"/>
        <v>0</v>
      </c>
      <c r="K922" s="136">
        <f t="shared" si="254"/>
        <v>0</v>
      </c>
      <c r="L922" s="136">
        <f t="shared" si="254"/>
        <v>0</v>
      </c>
      <c r="M922" s="36">
        <f t="shared" si="254"/>
        <v>0</v>
      </c>
      <c r="N922" s="37" t="str">
        <f t="shared" si="251"/>
        <v>-</v>
      </c>
      <c r="O922" s="220"/>
    </row>
    <row r="923" spans="1:16" ht="11.45" customHeight="1">
      <c r="A923" s="30"/>
      <c r="B923" s="33"/>
      <c r="C923" s="34"/>
      <c r="D923" s="29"/>
      <c r="E923" s="29"/>
      <c r="F923" s="35" t="s">
        <v>46</v>
      </c>
      <c r="G923" s="136">
        <f t="shared" si="252"/>
        <v>0</v>
      </c>
      <c r="H923" s="136">
        <f t="shared" si="252"/>
        <v>0</v>
      </c>
      <c r="I923" s="37" t="str">
        <f t="shared" si="253"/>
        <v>-</v>
      </c>
      <c r="J923" s="136">
        <f t="shared" si="254"/>
        <v>0</v>
      </c>
      <c r="K923" s="136">
        <f t="shared" si="254"/>
        <v>0</v>
      </c>
      <c r="L923" s="136">
        <f t="shared" si="254"/>
        <v>0</v>
      </c>
      <c r="M923" s="36">
        <f t="shared" si="254"/>
        <v>0</v>
      </c>
      <c r="N923" s="37" t="str">
        <f t="shared" si="251"/>
        <v>-</v>
      </c>
      <c r="O923" s="220"/>
    </row>
    <row r="924" spans="1:16" ht="3.95" customHeight="1">
      <c r="A924" s="65"/>
      <c r="B924" s="66"/>
      <c r="C924" s="67"/>
      <c r="D924" s="68"/>
      <c r="E924" s="68"/>
      <c r="F924" s="65"/>
      <c r="G924" s="137"/>
      <c r="H924" s="137"/>
      <c r="I924" s="70"/>
      <c r="J924" s="137"/>
      <c r="K924" s="137"/>
      <c r="L924" s="137"/>
      <c r="M924" s="69"/>
      <c r="N924" s="70"/>
      <c r="O924" s="221"/>
    </row>
    <row r="925" spans="1:16" s="95" customFormat="1" ht="3.95" customHeight="1" outlineLevel="1">
      <c r="A925" s="157"/>
      <c r="B925" s="72"/>
      <c r="C925" s="73"/>
      <c r="D925" s="71"/>
      <c r="E925" s="71"/>
      <c r="F925" s="72"/>
      <c r="G925" s="138"/>
      <c r="H925" s="138"/>
      <c r="I925" s="75"/>
      <c r="J925" s="138"/>
      <c r="K925" s="138"/>
      <c r="L925" s="139"/>
      <c r="M925" s="74"/>
      <c r="N925" s="75"/>
      <c r="O925" s="208"/>
    </row>
    <row r="926" spans="1:16" s="95" customFormat="1" ht="11.1" customHeight="1" outlineLevel="1">
      <c r="A926" s="370" t="s">
        <v>1</v>
      </c>
      <c r="B926" s="76" t="s">
        <v>9</v>
      </c>
      <c r="C926" s="77" t="s">
        <v>119</v>
      </c>
      <c r="D926" s="369" t="s">
        <v>54</v>
      </c>
      <c r="E926" s="369" t="s">
        <v>132</v>
      </c>
      <c r="F926" s="78" t="s">
        <v>28</v>
      </c>
      <c r="G926" s="140">
        <f>SUM(G927:G932)</f>
        <v>45651</v>
      </c>
      <c r="H926" s="140">
        <f>SUM(H927:H932)</f>
        <v>32768</v>
      </c>
      <c r="I926" s="39">
        <f t="shared" ref="I926:I932" si="255">IF(G926&gt;0,H926/G926*100,"-")</f>
        <v>71.779369564741188</v>
      </c>
      <c r="J926" s="140">
        <f>SUM(J927:J932)</f>
        <v>24001</v>
      </c>
      <c r="K926" s="140">
        <f>SUM(K927:K932)</f>
        <v>0</v>
      </c>
      <c r="L926" s="140">
        <f>SUM(L927:L932)</f>
        <v>24001</v>
      </c>
      <c r="M926" s="38">
        <f>SUM(M927:M932)</f>
        <v>11116.06</v>
      </c>
      <c r="N926" s="39">
        <f t="shared" ref="N926:N932" si="256">IF(L926&gt;0,M926/L926*100,"-")</f>
        <v>46.31498687554685</v>
      </c>
      <c r="O926" s="366" t="s">
        <v>270</v>
      </c>
    </row>
    <row r="927" spans="1:16" s="95" customFormat="1" ht="11.1" customHeight="1" outlineLevel="1">
      <c r="A927" s="370"/>
      <c r="B927" s="76" t="s">
        <v>10</v>
      </c>
      <c r="C927" s="77" t="s">
        <v>124</v>
      </c>
      <c r="D927" s="369"/>
      <c r="E927" s="369"/>
      <c r="F927" s="79" t="s">
        <v>15</v>
      </c>
      <c r="G927" s="141">
        <v>4565</v>
      </c>
      <c r="H927" s="141">
        <v>3277</v>
      </c>
      <c r="I927" s="81">
        <f t="shared" si="255"/>
        <v>71.785323110624304</v>
      </c>
      <c r="J927" s="141">
        <v>2400</v>
      </c>
      <c r="K927" s="142">
        <f t="shared" ref="K927:K932" si="257">L927-J927</f>
        <v>0</v>
      </c>
      <c r="L927" s="141">
        <v>2400</v>
      </c>
      <c r="M927" s="80">
        <v>1111.6099999999999</v>
      </c>
      <c r="N927" s="81">
        <f t="shared" si="256"/>
        <v>46.317083333333329</v>
      </c>
      <c r="O927" s="366"/>
    </row>
    <row r="928" spans="1:16" s="95" customFormat="1" ht="11.1" customHeight="1" outlineLevel="1">
      <c r="A928" s="370"/>
      <c r="B928" s="76" t="s">
        <v>11</v>
      </c>
      <c r="C928" s="82" t="s">
        <v>125</v>
      </c>
      <c r="D928" s="369"/>
      <c r="E928" s="369"/>
      <c r="F928" s="79" t="s">
        <v>7</v>
      </c>
      <c r="G928" s="141">
        <v>37803</v>
      </c>
      <c r="H928" s="141">
        <v>27134</v>
      </c>
      <c r="I928" s="81">
        <f t="shared" si="255"/>
        <v>71.777372166230194</v>
      </c>
      <c r="J928" s="141">
        <v>19875</v>
      </c>
      <c r="K928" s="142">
        <f t="shared" si="257"/>
        <v>0</v>
      </c>
      <c r="L928" s="141">
        <v>19875</v>
      </c>
      <c r="M928" s="83">
        <v>9205.2099999999991</v>
      </c>
      <c r="N928" s="81">
        <f t="shared" si="256"/>
        <v>46.315522012578612</v>
      </c>
      <c r="O928" s="366"/>
    </row>
    <row r="929" spans="1:15" s="95" customFormat="1" ht="11.1" customHeight="1" outlineLevel="1">
      <c r="A929" s="120"/>
      <c r="B929" s="76" t="s">
        <v>12</v>
      </c>
      <c r="C929" s="82" t="s">
        <v>425</v>
      </c>
      <c r="D929" s="111"/>
      <c r="E929" s="111"/>
      <c r="F929" s="79" t="s">
        <v>8</v>
      </c>
      <c r="G929" s="141">
        <v>0</v>
      </c>
      <c r="H929" s="141">
        <v>0</v>
      </c>
      <c r="I929" s="81" t="str">
        <f t="shared" si="255"/>
        <v>-</v>
      </c>
      <c r="J929" s="141">
        <v>0</v>
      </c>
      <c r="K929" s="142">
        <f t="shared" si="257"/>
        <v>0</v>
      </c>
      <c r="L929" s="141">
        <v>0</v>
      </c>
      <c r="M929" s="83">
        <v>0</v>
      </c>
      <c r="N929" s="81" t="str">
        <f t="shared" si="256"/>
        <v>-</v>
      </c>
      <c r="O929" s="366"/>
    </row>
    <row r="930" spans="1:15" s="95" customFormat="1" ht="11.1" customHeight="1" outlineLevel="1">
      <c r="A930" s="120"/>
      <c r="B930" s="76" t="s">
        <v>23</v>
      </c>
      <c r="C930" s="82" t="s">
        <v>126</v>
      </c>
      <c r="D930" s="111"/>
      <c r="E930" s="111"/>
      <c r="F930" s="79" t="s">
        <v>22</v>
      </c>
      <c r="G930" s="141">
        <v>3283</v>
      </c>
      <c r="H930" s="141">
        <v>2357</v>
      </c>
      <c r="I930" s="81">
        <f t="shared" si="255"/>
        <v>71.794090770636615</v>
      </c>
      <c r="J930" s="141">
        <v>1726</v>
      </c>
      <c r="K930" s="142">
        <f t="shared" si="257"/>
        <v>0</v>
      </c>
      <c r="L930" s="141">
        <v>1726</v>
      </c>
      <c r="M930" s="83">
        <v>799.24</v>
      </c>
      <c r="N930" s="81">
        <f t="shared" si="256"/>
        <v>46.305909617612976</v>
      </c>
      <c r="O930" s="366"/>
    </row>
    <row r="931" spans="1:15" s="95" customFormat="1" ht="11.1" customHeight="1" outlineLevel="1">
      <c r="A931" s="120"/>
      <c r="B931" s="76"/>
      <c r="C931" s="82" t="s">
        <v>127</v>
      </c>
      <c r="D931" s="111"/>
      <c r="E931" s="111"/>
      <c r="F931" s="107" t="s">
        <v>45</v>
      </c>
      <c r="G931" s="141">
        <v>0</v>
      </c>
      <c r="H931" s="141">
        <v>0</v>
      </c>
      <c r="I931" s="81" t="str">
        <f t="shared" si="255"/>
        <v>-</v>
      </c>
      <c r="J931" s="141">
        <v>0</v>
      </c>
      <c r="K931" s="142">
        <f t="shared" si="257"/>
        <v>0</v>
      </c>
      <c r="L931" s="141">
        <v>0</v>
      </c>
      <c r="M931" s="83">
        <v>0</v>
      </c>
      <c r="N931" s="81" t="str">
        <f t="shared" si="256"/>
        <v>-</v>
      </c>
      <c r="O931" s="366"/>
    </row>
    <row r="932" spans="1:15" s="95" customFormat="1" ht="11.1" customHeight="1" outlineLevel="1">
      <c r="A932" s="120"/>
      <c r="B932" s="76"/>
      <c r="C932" s="82" t="s">
        <v>128</v>
      </c>
      <c r="D932" s="111"/>
      <c r="E932" s="111"/>
      <c r="F932" s="107" t="s">
        <v>46</v>
      </c>
      <c r="G932" s="141">
        <v>0</v>
      </c>
      <c r="H932" s="141">
        <v>0</v>
      </c>
      <c r="I932" s="81" t="str">
        <f t="shared" si="255"/>
        <v>-</v>
      </c>
      <c r="J932" s="141">
        <v>0</v>
      </c>
      <c r="K932" s="142">
        <f t="shared" si="257"/>
        <v>0</v>
      </c>
      <c r="L932" s="141">
        <v>0</v>
      </c>
      <c r="M932" s="83">
        <v>0</v>
      </c>
      <c r="N932" s="81" t="str">
        <f t="shared" si="256"/>
        <v>-</v>
      </c>
      <c r="O932" s="366"/>
    </row>
    <row r="933" spans="1:15" s="95" customFormat="1" ht="11.1" customHeight="1" outlineLevel="1">
      <c r="A933" s="120"/>
      <c r="B933" s="76"/>
      <c r="C933" s="82" t="s">
        <v>129</v>
      </c>
      <c r="D933" s="111"/>
      <c r="E933" s="111"/>
      <c r="F933" s="107"/>
      <c r="G933" s="142"/>
      <c r="H933" s="142"/>
      <c r="I933" s="81"/>
      <c r="J933" s="142"/>
      <c r="K933" s="142"/>
      <c r="L933" s="141"/>
      <c r="M933" s="89"/>
      <c r="N933" s="81"/>
      <c r="O933" s="356"/>
    </row>
    <row r="934" spans="1:15" s="95" customFormat="1" ht="11.1" customHeight="1" outlineLevel="1">
      <c r="A934" s="120"/>
      <c r="B934" s="76"/>
      <c r="C934" s="82" t="s">
        <v>130</v>
      </c>
      <c r="D934" s="111"/>
      <c r="E934" s="111"/>
      <c r="F934" s="107"/>
      <c r="G934" s="142"/>
      <c r="H934" s="142"/>
      <c r="I934" s="81"/>
      <c r="J934" s="142"/>
      <c r="K934" s="142"/>
      <c r="L934" s="141"/>
      <c r="M934" s="89"/>
      <c r="N934" s="81"/>
      <c r="O934" s="356"/>
    </row>
    <row r="935" spans="1:15" s="95" customFormat="1" ht="3.95" customHeight="1" outlineLevel="1">
      <c r="A935" s="121"/>
      <c r="B935" s="85"/>
      <c r="C935" s="86"/>
      <c r="D935" s="84"/>
      <c r="E935" s="84"/>
      <c r="F935" s="85"/>
      <c r="G935" s="143"/>
      <c r="H935" s="143"/>
      <c r="I935" s="88"/>
      <c r="J935" s="143"/>
      <c r="K935" s="143"/>
      <c r="L935" s="144"/>
      <c r="M935" s="87"/>
      <c r="N935" s="88"/>
      <c r="O935" s="222"/>
    </row>
    <row r="936" spans="1:15" ht="3.95" customHeight="1">
      <c r="A936" s="59"/>
      <c r="B936" s="60"/>
      <c r="C936" s="61"/>
      <c r="D936" s="62"/>
      <c r="E936" s="62"/>
      <c r="F936" s="59"/>
      <c r="G936" s="134"/>
      <c r="H936" s="134"/>
      <c r="I936" s="59"/>
      <c r="J936" s="134"/>
      <c r="K936" s="134"/>
      <c r="L936" s="134"/>
      <c r="M936" s="63"/>
      <c r="N936" s="64"/>
      <c r="O936" s="219"/>
    </row>
    <row r="937" spans="1:15" ht="11.45" customHeight="1">
      <c r="A937" s="28" t="s">
        <v>94</v>
      </c>
      <c r="B937" s="387" t="s">
        <v>215</v>
      </c>
      <c r="C937" s="372"/>
      <c r="D937" s="29"/>
      <c r="E937" s="29"/>
      <c r="F937" s="30"/>
      <c r="G937" s="135">
        <f>SUM(G938:G943)</f>
        <v>5894206</v>
      </c>
      <c r="H937" s="135">
        <f>SUM(H938:H943)</f>
        <v>5894206</v>
      </c>
      <c r="I937" s="32">
        <f>IF(G937&gt;0,H937/G937*100,"-")</f>
        <v>100</v>
      </c>
      <c r="J937" s="135">
        <f>SUM(J938:J943)</f>
        <v>5823140</v>
      </c>
      <c r="K937" s="135">
        <f>SUM(K938:K943)</f>
        <v>1</v>
      </c>
      <c r="L937" s="135">
        <f>SUM(L938:L943)</f>
        <v>5823141</v>
      </c>
      <c r="M937" s="31">
        <f>SUM(M938:M943)</f>
        <v>5823139.8199999994</v>
      </c>
      <c r="N937" s="32">
        <f t="shared" ref="N937:N943" si="258">IF(L937&gt;0,M937/L937*100,"-")</f>
        <v>99.999979736022183</v>
      </c>
      <c r="O937" s="220"/>
    </row>
    <row r="938" spans="1:15" ht="11.45" customHeight="1">
      <c r="A938" s="30"/>
      <c r="B938" s="33"/>
      <c r="C938" s="34"/>
      <c r="D938" s="29"/>
      <c r="E938" s="29"/>
      <c r="F938" s="35" t="s">
        <v>15</v>
      </c>
      <c r="G938" s="136">
        <f t="shared" ref="G938:H943" si="259">G947</f>
        <v>71065</v>
      </c>
      <c r="H938" s="136">
        <f t="shared" si="259"/>
        <v>71065</v>
      </c>
      <c r="I938" s="37">
        <f t="shared" ref="I938:I943" si="260">IF(G938&gt;0,H938/G938*100,"-")</f>
        <v>100</v>
      </c>
      <c r="J938" s="136">
        <f t="shared" ref="J938:M943" si="261">J947</f>
        <v>113064</v>
      </c>
      <c r="K938" s="136">
        <f t="shared" si="261"/>
        <v>-113064</v>
      </c>
      <c r="L938" s="136">
        <f t="shared" si="261"/>
        <v>0</v>
      </c>
      <c r="M938" s="36">
        <f t="shared" si="261"/>
        <v>0</v>
      </c>
      <c r="N938" s="37" t="str">
        <f t="shared" si="258"/>
        <v>-</v>
      </c>
      <c r="O938" s="220"/>
    </row>
    <row r="939" spans="1:15" ht="11.45" customHeight="1">
      <c r="A939" s="30"/>
      <c r="B939" s="33"/>
      <c r="C939" s="34"/>
      <c r="D939" s="29"/>
      <c r="E939" s="29"/>
      <c r="F939" s="35" t="s">
        <v>7</v>
      </c>
      <c r="G939" s="136">
        <f t="shared" si="259"/>
        <v>4734261</v>
      </c>
      <c r="H939" s="136">
        <f t="shared" si="259"/>
        <v>4734261</v>
      </c>
      <c r="I939" s="37">
        <f t="shared" si="260"/>
        <v>100</v>
      </c>
      <c r="J939" s="136">
        <f t="shared" si="261"/>
        <v>4095356</v>
      </c>
      <c r="K939" s="136">
        <f t="shared" si="261"/>
        <v>638905</v>
      </c>
      <c r="L939" s="136">
        <f t="shared" si="261"/>
        <v>4734261</v>
      </c>
      <c r="M939" s="36">
        <f t="shared" si="261"/>
        <v>4734260.0199999996</v>
      </c>
      <c r="N939" s="37">
        <f t="shared" si="258"/>
        <v>99.99997929983158</v>
      </c>
      <c r="O939" s="220"/>
    </row>
    <row r="940" spans="1:15" ht="11.45" customHeight="1">
      <c r="A940" s="30"/>
      <c r="B940" s="33"/>
      <c r="C940" s="34"/>
      <c r="D940" s="29"/>
      <c r="E940" s="29"/>
      <c r="F940" s="35" t="s">
        <v>8</v>
      </c>
      <c r="G940" s="136">
        <f t="shared" si="259"/>
        <v>1088880</v>
      </c>
      <c r="H940" s="136">
        <f t="shared" si="259"/>
        <v>1088880</v>
      </c>
      <c r="I940" s="37">
        <f t="shared" si="260"/>
        <v>100</v>
      </c>
      <c r="J940" s="136">
        <f t="shared" si="261"/>
        <v>1614720</v>
      </c>
      <c r="K940" s="136">
        <f t="shared" si="261"/>
        <v>-525840</v>
      </c>
      <c r="L940" s="136">
        <f t="shared" si="261"/>
        <v>1088880</v>
      </c>
      <c r="M940" s="36">
        <f t="shared" si="261"/>
        <v>1088879.8</v>
      </c>
      <c r="N940" s="37">
        <f t="shared" si="258"/>
        <v>99.999981632503136</v>
      </c>
      <c r="O940" s="220"/>
    </row>
    <row r="941" spans="1:15" ht="11.45" customHeight="1">
      <c r="A941" s="30"/>
      <c r="B941" s="33"/>
      <c r="C941" s="34"/>
      <c r="D941" s="29"/>
      <c r="E941" s="29"/>
      <c r="F941" s="35" t="s">
        <v>22</v>
      </c>
      <c r="G941" s="136">
        <f t="shared" si="259"/>
        <v>0</v>
      </c>
      <c r="H941" s="136">
        <f t="shared" si="259"/>
        <v>0</v>
      </c>
      <c r="I941" s="37" t="str">
        <f t="shared" si="260"/>
        <v>-</v>
      </c>
      <c r="J941" s="136">
        <f t="shared" si="261"/>
        <v>0</v>
      </c>
      <c r="K941" s="136">
        <f t="shared" si="261"/>
        <v>0</v>
      </c>
      <c r="L941" s="136">
        <f t="shared" si="261"/>
        <v>0</v>
      </c>
      <c r="M941" s="36">
        <f t="shared" si="261"/>
        <v>0</v>
      </c>
      <c r="N941" s="37" t="str">
        <f t="shared" si="258"/>
        <v>-</v>
      </c>
      <c r="O941" s="220"/>
    </row>
    <row r="942" spans="1:15" ht="11.45" customHeight="1">
      <c r="A942" s="30"/>
      <c r="B942" s="33"/>
      <c r="C942" s="34"/>
      <c r="D942" s="29"/>
      <c r="E942" s="29"/>
      <c r="F942" s="35" t="s">
        <v>45</v>
      </c>
      <c r="G942" s="136">
        <f t="shared" si="259"/>
        <v>0</v>
      </c>
      <c r="H942" s="136">
        <f t="shared" si="259"/>
        <v>0</v>
      </c>
      <c r="I942" s="37" t="str">
        <f t="shared" si="260"/>
        <v>-</v>
      </c>
      <c r="J942" s="136">
        <f t="shared" si="261"/>
        <v>0</v>
      </c>
      <c r="K942" s="136">
        <f t="shared" si="261"/>
        <v>0</v>
      </c>
      <c r="L942" s="136">
        <f t="shared" si="261"/>
        <v>0</v>
      </c>
      <c r="M942" s="36">
        <f t="shared" si="261"/>
        <v>0</v>
      </c>
      <c r="N942" s="37" t="str">
        <f t="shared" si="258"/>
        <v>-</v>
      </c>
      <c r="O942" s="220"/>
    </row>
    <row r="943" spans="1:15" ht="11.45" customHeight="1">
      <c r="A943" s="30"/>
      <c r="B943" s="33"/>
      <c r="C943" s="34"/>
      <c r="D943" s="29"/>
      <c r="E943" s="29"/>
      <c r="F943" s="35" t="s">
        <v>46</v>
      </c>
      <c r="G943" s="136">
        <f t="shared" si="259"/>
        <v>0</v>
      </c>
      <c r="H943" s="136">
        <f t="shared" si="259"/>
        <v>0</v>
      </c>
      <c r="I943" s="37" t="str">
        <f t="shared" si="260"/>
        <v>-</v>
      </c>
      <c r="J943" s="136">
        <f t="shared" si="261"/>
        <v>0</v>
      </c>
      <c r="K943" s="136">
        <f t="shared" si="261"/>
        <v>0</v>
      </c>
      <c r="L943" s="136">
        <f t="shared" si="261"/>
        <v>0</v>
      </c>
      <c r="M943" s="36">
        <f t="shared" si="261"/>
        <v>0</v>
      </c>
      <c r="N943" s="37" t="str">
        <f t="shared" si="258"/>
        <v>-</v>
      </c>
      <c r="O943" s="220"/>
    </row>
    <row r="944" spans="1:15" ht="3.95" customHeight="1">
      <c r="A944" s="65"/>
      <c r="B944" s="66"/>
      <c r="C944" s="67"/>
      <c r="D944" s="68"/>
      <c r="E944" s="68"/>
      <c r="F944" s="65"/>
      <c r="G944" s="137"/>
      <c r="H944" s="137"/>
      <c r="I944" s="70"/>
      <c r="J944" s="137"/>
      <c r="K944" s="137"/>
      <c r="L944" s="137"/>
      <c r="M944" s="69"/>
      <c r="N944" s="70"/>
      <c r="O944" s="221"/>
    </row>
    <row r="945" spans="1:15" s="95" customFormat="1" ht="3.95" customHeight="1" outlineLevel="1">
      <c r="A945" s="157"/>
      <c r="B945" s="72"/>
      <c r="C945" s="73"/>
      <c r="D945" s="71"/>
      <c r="E945" s="71"/>
      <c r="F945" s="72"/>
      <c r="G945" s="138"/>
      <c r="H945" s="138"/>
      <c r="I945" s="75"/>
      <c r="J945" s="138"/>
      <c r="K945" s="138"/>
      <c r="L945" s="139"/>
      <c r="M945" s="74"/>
      <c r="N945" s="75"/>
      <c r="O945" s="208"/>
    </row>
    <row r="946" spans="1:15" s="95" customFormat="1" ht="11.1" customHeight="1" outlineLevel="1">
      <c r="A946" s="370" t="s">
        <v>1</v>
      </c>
      <c r="B946" s="76" t="s">
        <v>9</v>
      </c>
      <c r="C946" s="77" t="s">
        <v>119</v>
      </c>
      <c r="D946" s="369" t="s">
        <v>61</v>
      </c>
      <c r="E946" s="369" t="s">
        <v>218</v>
      </c>
      <c r="F946" s="78" t="s">
        <v>28</v>
      </c>
      <c r="G946" s="140">
        <f>SUM(G947:G952)</f>
        <v>5894206</v>
      </c>
      <c r="H946" s="140">
        <f>SUM(H947:H952)</f>
        <v>5894206</v>
      </c>
      <c r="I946" s="39">
        <f t="shared" ref="I946:I952" si="262">IF(G946&gt;0,H946/G946*100,"-")</f>
        <v>100</v>
      </c>
      <c r="J946" s="140">
        <f>SUM(J947:J952)</f>
        <v>5823140</v>
      </c>
      <c r="K946" s="140">
        <f>SUM(K947:K952)</f>
        <v>1</v>
      </c>
      <c r="L946" s="140">
        <f>SUM(L947:L952)</f>
        <v>5823141</v>
      </c>
      <c r="M946" s="38">
        <f>SUM(M947:M952)</f>
        <v>5823139.8199999994</v>
      </c>
      <c r="N946" s="39">
        <f t="shared" ref="N946:N952" si="263">IF(L946&gt;0,M946/L946*100,"-")</f>
        <v>99.999979736022183</v>
      </c>
      <c r="O946" s="366" t="s">
        <v>469</v>
      </c>
    </row>
    <row r="947" spans="1:15" s="95" customFormat="1" ht="11.1" customHeight="1" outlineLevel="1">
      <c r="A947" s="370"/>
      <c r="B947" s="76" t="s">
        <v>10</v>
      </c>
      <c r="C947" s="77" t="s">
        <v>120</v>
      </c>
      <c r="D947" s="369"/>
      <c r="E947" s="369"/>
      <c r="F947" s="79" t="s">
        <v>15</v>
      </c>
      <c r="G947" s="141">
        <v>71065</v>
      </c>
      <c r="H947" s="141">
        <v>71065</v>
      </c>
      <c r="I947" s="81">
        <f t="shared" si="262"/>
        <v>100</v>
      </c>
      <c r="J947" s="141">
        <v>113064</v>
      </c>
      <c r="K947" s="142">
        <f t="shared" ref="K947:K952" si="264">L947-J947</f>
        <v>-113064</v>
      </c>
      <c r="L947" s="141">
        <v>0</v>
      </c>
      <c r="M947" s="80">
        <v>0</v>
      </c>
      <c r="N947" s="81" t="str">
        <f t="shared" si="263"/>
        <v>-</v>
      </c>
      <c r="O947" s="366"/>
    </row>
    <row r="948" spans="1:15" s="95" customFormat="1" ht="11.1" customHeight="1" outlineLevel="1">
      <c r="A948" s="370"/>
      <c r="B948" s="76" t="s">
        <v>11</v>
      </c>
      <c r="C948" s="82" t="s">
        <v>121</v>
      </c>
      <c r="D948" s="369"/>
      <c r="E948" s="369"/>
      <c r="F948" s="79" t="s">
        <v>7</v>
      </c>
      <c r="G948" s="141">
        <v>4734261</v>
      </c>
      <c r="H948" s="194">
        <v>4734261</v>
      </c>
      <c r="I948" s="81">
        <f t="shared" si="262"/>
        <v>100</v>
      </c>
      <c r="J948" s="141">
        <v>4095356</v>
      </c>
      <c r="K948" s="142">
        <f t="shared" si="264"/>
        <v>638905</v>
      </c>
      <c r="L948" s="141">
        <v>4734261</v>
      </c>
      <c r="M948" s="83">
        <v>4734260.0199999996</v>
      </c>
      <c r="N948" s="81">
        <f t="shared" si="263"/>
        <v>99.99997929983158</v>
      </c>
      <c r="O948" s="366"/>
    </row>
    <row r="949" spans="1:15" s="95" customFormat="1" ht="11.1" customHeight="1" outlineLevel="1">
      <c r="A949" s="120"/>
      <c r="B949" s="76" t="s">
        <v>12</v>
      </c>
      <c r="C949" s="82" t="s">
        <v>423</v>
      </c>
      <c r="D949" s="111"/>
      <c r="E949" s="111"/>
      <c r="F949" s="79" t="s">
        <v>8</v>
      </c>
      <c r="G949" s="141">
        <v>1088880</v>
      </c>
      <c r="H949" s="194">
        <v>1088880</v>
      </c>
      <c r="I949" s="81">
        <f t="shared" si="262"/>
        <v>100</v>
      </c>
      <c r="J949" s="141">
        <v>1614720</v>
      </c>
      <c r="K949" s="142">
        <f t="shared" si="264"/>
        <v>-525840</v>
      </c>
      <c r="L949" s="141">
        <v>1088880</v>
      </c>
      <c r="M949" s="80">
        <v>1088879.8</v>
      </c>
      <c r="N949" s="81">
        <f t="shared" si="263"/>
        <v>99.999981632503136</v>
      </c>
      <c r="O949" s="366"/>
    </row>
    <row r="950" spans="1:15" s="95" customFormat="1" ht="11.1" customHeight="1" outlineLevel="1">
      <c r="A950" s="120"/>
      <c r="B950" s="76"/>
      <c r="C950" s="82" t="s">
        <v>216</v>
      </c>
      <c r="D950" s="111"/>
      <c r="E950" s="111"/>
      <c r="F950" s="79" t="s">
        <v>22</v>
      </c>
      <c r="G950" s="141">
        <v>0</v>
      </c>
      <c r="H950" s="141">
        <v>0</v>
      </c>
      <c r="I950" s="81" t="str">
        <f t="shared" si="262"/>
        <v>-</v>
      </c>
      <c r="J950" s="141">
        <v>0</v>
      </c>
      <c r="K950" s="142">
        <f t="shared" si="264"/>
        <v>0</v>
      </c>
      <c r="L950" s="141">
        <v>0</v>
      </c>
      <c r="M950" s="83">
        <v>0</v>
      </c>
      <c r="N950" s="81" t="str">
        <f t="shared" si="263"/>
        <v>-</v>
      </c>
      <c r="O950" s="366"/>
    </row>
    <row r="951" spans="1:15" s="95" customFormat="1" ht="11.1" customHeight="1" outlineLevel="1">
      <c r="A951" s="120"/>
      <c r="B951" s="76"/>
      <c r="C951" s="82" t="s">
        <v>468</v>
      </c>
      <c r="D951" s="111"/>
      <c r="E951" s="111"/>
      <c r="F951" s="107" t="s">
        <v>45</v>
      </c>
      <c r="G951" s="141">
        <v>0</v>
      </c>
      <c r="H951" s="141">
        <v>0</v>
      </c>
      <c r="I951" s="81" t="str">
        <f t="shared" si="262"/>
        <v>-</v>
      </c>
      <c r="J951" s="141">
        <v>0</v>
      </c>
      <c r="K951" s="142">
        <f t="shared" si="264"/>
        <v>0</v>
      </c>
      <c r="L951" s="141">
        <v>0</v>
      </c>
      <c r="M951" s="83">
        <v>0</v>
      </c>
      <c r="N951" s="81" t="str">
        <f t="shared" si="263"/>
        <v>-</v>
      </c>
      <c r="O951" s="366"/>
    </row>
    <row r="952" spans="1:15" s="95" customFormat="1" ht="11.1" customHeight="1" outlineLevel="1">
      <c r="A952" s="120"/>
      <c r="B952" s="76" t="s">
        <v>23</v>
      </c>
      <c r="C952" s="82" t="s">
        <v>217</v>
      </c>
      <c r="D952" s="111"/>
      <c r="E952" s="111"/>
      <c r="F952" s="107" t="s">
        <v>46</v>
      </c>
      <c r="G952" s="141">
        <v>0</v>
      </c>
      <c r="H952" s="141">
        <v>0</v>
      </c>
      <c r="I952" s="81" t="str">
        <f t="shared" si="262"/>
        <v>-</v>
      </c>
      <c r="J952" s="141">
        <v>0</v>
      </c>
      <c r="K952" s="142">
        <f t="shared" si="264"/>
        <v>0</v>
      </c>
      <c r="L952" s="141">
        <v>0</v>
      </c>
      <c r="M952" s="83">
        <v>0</v>
      </c>
      <c r="N952" s="81" t="str">
        <f t="shared" si="263"/>
        <v>-</v>
      </c>
      <c r="O952" s="366"/>
    </row>
    <row r="953" spans="1:15" s="95" customFormat="1" ht="3.95" customHeight="1" outlineLevel="1">
      <c r="A953" s="121"/>
      <c r="B953" s="85"/>
      <c r="C953" s="86"/>
      <c r="D953" s="84"/>
      <c r="E953" s="84"/>
      <c r="F953" s="85"/>
      <c r="G953" s="143"/>
      <c r="H953" s="143"/>
      <c r="I953" s="88"/>
      <c r="J953" s="143"/>
      <c r="K953" s="143"/>
      <c r="L953" s="144"/>
      <c r="M953" s="87"/>
      <c r="N953" s="88"/>
      <c r="O953" s="222"/>
    </row>
    <row r="954" spans="1:15">
      <c r="G954" s="249"/>
      <c r="H954" s="249"/>
      <c r="J954" s="249"/>
      <c r="K954" s="249"/>
      <c r="L954" s="249"/>
      <c r="O954" s="223"/>
    </row>
    <row r="955" spans="1:15">
      <c r="G955" s="249"/>
      <c r="H955" s="180"/>
      <c r="J955" s="249"/>
      <c r="K955" s="249"/>
      <c r="L955" s="249"/>
      <c r="O955" s="223"/>
    </row>
    <row r="956" spans="1:15">
      <c r="G956" s="249"/>
      <c r="H956" s="180"/>
      <c r="J956" s="249"/>
      <c r="K956" s="249"/>
      <c r="L956" s="249"/>
      <c r="O956" s="223"/>
    </row>
    <row r="957" spans="1:15">
      <c r="G957" s="249"/>
      <c r="H957" s="180"/>
      <c r="J957" s="249"/>
      <c r="K957" s="249"/>
      <c r="L957" s="249"/>
      <c r="O957" s="223"/>
    </row>
    <row r="958" spans="1:15">
      <c r="O958" s="223"/>
    </row>
    <row r="959" spans="1:15">
      <c r="O959" s="223"/>
    </row>
  </sheetData>
  <mergeCells count="331">
    <mergeCell ref="O845:O851"/>
    <mergeCell ref="O856:O862"/>
    <mergeCell ref="O866:O872"/>
    <mergeCell ref="O878:O884"/>
    <mergeCell ref="O771:O777"/>
    <mergeCell ref="O793:O799"/>
    <mergeCell ref="O803:O809"/>
    <mergeCell ref="O814:O820"/>
    <mergeCell ref="O824:O830"/>
    <mergeCell ref="O835:O841"/>
    <mergeCell ref="D793:D795"/>
    <mergeCell ref="E793:E795"/>
    <mergeCell ref="E762:E764"/>
    <mergeCell ref="D752:D754"/>
    <mergeCell ref="E752:E754"/>
    <mergeCell ref="D743:D745"/>
    <mergeCell ref="E743:E745"/>
    <mergeCell ref="O733:O739"/>
    <mergeCell ref="O752:O758"/>
    <mergeCell ref="D733:D735"/>
    <mergeCell ref="E733:E735"/>
    <mergeCell ref="D845:D847"/>
    <mergeCell ref="E845:E847"/>
    <mergeCell ref="D835:D837"/>
    <mergeCell ref="E835:E837"/>
    <mergeCell ref="D824:D826"/>
    <mergeCell ref="E824:E826"/>
    <mergeCell ref="D814:D816"/>
    <mergeCell ref="E814:E816"/>
    <mergeCell ref="D803:D805"/>
    <mergeCell ref="E803:E805"/>
    <mergeCell ref="A856:A858"/>
    <mergeCell ref="A866:A868"/>
    <mergeCell ref="A878:A880"/>
    <mergeCell ref="O888:O896"/>
    <mergeCell ref="D888:D890"/>
    <mergeCell ref="E888:E890"/>
    <mergeCell ref="D878:D880"/>
    <mergeCell ref="E878:E880"/>
    <mergeCell ref="D866:D868"/>
    <mergeCell ref="E866:E868"/>
    <mergeCell ref="E856:E858"/>
    <mergeCell ref="A296:A298"/>
    <mergeCell ref="D296:D298"/>
    <mergeCell ref="E296:E298"/>
    <mergeCell ref="A305:A307"/>
    <mergeCell ref="A533:A535"/>
    <mergeCell ref="D533:D535"/>
    <mergeCell ref="E533:E535"/>
    <mergeCell ref="O546:O553"/>
    <mergeCell ref="O559:O566"/>
    <mergeCell ref="A559:A561"/>
    <mergeCell ref="D559:D561"/>
    <mergeCell ref="E559:E561"/>
    <mergeCell ref="O533:O541"/>
    <mergeCell ref="D305:D307"/>
    <mergeCell ref="E305:E307"/>
    <mergeCell ref="D314:D316"/>
    <mergeCell ref="E314:E316"/>
    <mergeCell ref="A323:A325"/>
    <mergeCell ref="D323:D325"/>
    <mergeCell ref="E323:E325"/>
    <mergeCell ref="A336:A338"/>
    <mergeCell ref="D336:D338"/>
    <mergeCell ref="E336:E338"/>
    <mergeCell ref="A314:A316"/>
    <mergeCell ref="A276:A278"/>
    <mergeCell ref="D276:D278"/>
    <mergeCell ref="E276:E278"/>
    <mergeCell ref="A285:A287"/>
    <mergeCell ref="D285:D287"/>
    <mergeCell ref="E285:E287"/>
    <mergeCell ref="O40:O46"/>
    <mergeCell ref="D49:D51"/>
    <mergeCell ref="E49:E51"/>
    <mergeCell ref="O49:O62"/>
    <mergeCell ref="D65:D67"/>
    <mergeCell ref="E75:E77"/>
    <mergeCell ref="O65:O72"/>
    <mergeCell ref="O117:O123"/>
    <mergeCell ref="E126:E128"/>
    <mergeCell ref="E133:E135"/>
    <mergeCell ref="E141:E143"/>
    <mergeCell ref="A248:A250"/>
    <mergeCell ref="D248:D250"/>
    <mergeCell ref="E248:E250"/>
    <mergeCell ref="O225:O231"/>
    <mergeCell ref="O239:O245"/>
    <mergeCell ref="O248:O254"/>
    <mergeCell ref="A258:A260"/>
    <mergeCell ref="A521:A523"/>
    <mergeCell ref="D521:D523"/>
    <mergeCell ref="E521:E523"/>
    <mergeCell ref="A587:A589"/>
    <mergeCell ref="B572:C572"/>
    <mergeCell ref="B569:C569"/>
    <mergeCell ref="B571:C571"/>
    <mergeCell ref="A646:A648"/>
    <mergeCell ref="E630:E632"/>
    <mergeCell ref="E638:E640"/>
    <mergeCell ref="A546:A548"/>
    <mergeCell ref="D546:D548"/>
    <mergeCell ref="B613:C613"/>
    <mergeCell ref="B573:C573"/>
    <mergeCell ref="E546:E548"/>
    <mergeCell ref="A601:A603"/>
    <mergeCell ref="A622:A624"/>
    <mergeCell ref="D714:D716"/>
    <mergeCell ref="E714:E716"/>
    <mergeCell ref="A482:A484"/>
    <mergeCell ref="D482:D484"/>
    <mergeCell ref="E482:E484"/>
    <mergeCell ref="A664:A666"/>
    <mergeCell ref="O664:O670"/>
    <mergeCell ref="O622:O628"/>
    <mergeCell ref="O686:O692"/>
    <mergeCell ref="A686:A688"/>
    <mergeCell ref="D664:D666"/>
    <mergeCell ref="E664:E666"/>
    <mergeCell ref="D686:D688"/>
    <mergeCell ref="E686:E688"/>
    <mergeCell ref="B501:C501"/>
    <mergeCell ref="B655:C655"/>
    <mergeCell ref="B677:C677"/>
    <mergeCell ref="A510:A512"/>
    <mergeCell ref="D510:D512"/>
    <mergeCell ref="E510:E512"/>
    <mergeCell ref="O510:O516"/>
    <mergeCell ref="E622:E626"/>
    <mergeCell ref="D568:D576"/>
    <mergeCell ref="D646:D648"/>
    <mergeCell ref="A454:A456"/>
    <mergeCell ref="A464:A466"/>
    <mergeCell ref="D408:D410"/>
    <mergeCell ref="O426:O432"/>
    <mergeCell ref="O444:O450"/>
    <mergeCell ref="A426:A428"/>
    <mergeCell ref="D426:D428"/>
    <mergeCell ref="A492:A494"/>
    <mergeCell ref="D492:D494"/>
    <mergeCell ref="E492:E494"/>
    <mergeCell ref="O473:O479"/>
    <mergeCell ref="A473:A475"/>
    <mergeCell ref="D473:D475"/>
    <mergeCell ref="E473:E475"/>
    <mergeCell ref="D464:D466"/>
    <mergeCell ref="O482:O488"/>
    <mergeCell ref="E426:E428"/>
    <mergeCell ref="A435:A437"/>
    <mergeCell ref="A444:A446"/>
    <mergeCell ref="O417:O423"/>
    <mergeCell ref="O399:O405"/>
    <mergeCell ref="A381:A383"/>
    <mergeCell ref="A408:A410"/>
    <mergeCell ref="D390:D392"/>
    <mergeCell ref="A399:A401"/>
    <mergeCell ref="D399:D401"/>
    <mergeCell ref="E399:E401"/>
    <mergeCell ref="A417:A419"/>
    <mergeCell ref="D417:D419"/>
    <mergeCell ref="E417:E419"/>
    <mergeCell ref="O305:O311"/>
    <mergeCell ref="O314:O320"/>
    <mergeCell ref="D381:D383"/>
    <mergeCell ref="E381:E383"/>
    <mergeCell ref="A390:A392"/>
    <mergeCell ref="E390:E392"/>
    <mergeCell ref="O323:O329"/>
    <mergeCell ref="O336:O342"/>
    <mergeCell ref="E345:E347"/>
    <mergeCell ref="A354:A356"/>
    <mergeCell ref="D354:D356"/>
    <mergeCell ref="E354:E356"/>
    <mergeCell ref="O345:O351"/>
    <mergeCell ref="O354:O360"/>
    <mergeCell ref="A345:A347"/>
    <mergeCell ref="D345:D347"/>
    <mergeCell ref="D372:D374"/>
    <mergeCell ref="E372:E374"/>
    <mergeCell ref="A363:A365"/>
    <mergeCell ref="D363:D365"/>
    <mergeCell ref="E363:E365"/>
    <mergeCell ref="A372:A374"/>
    <mergeCell ref="O381:O387"/>
    <mergeCell ref="A225:A227"/>
    <mergeCell ref="D267:D269"/>
    <mergeCell ref="E267:E269"/>
    <mergeCell ref="D239:D241"/>
    <mergeCell ref="E239:E241"/>
    <mergeCell ref="O258:O264"/>
    <mergeCell ref="O267:O273"/>
    <mergeCell ref="A239:A241"/>
    <mergeCell ref="E225:E227"/>
    <mergeCell ref="D225:D227"/>
    <mergeCell ref="A267:A269"/>
    <mergeCell ref="D258:D260"/>
    <mergeCell ref="E258:E260"/>
    <mergeCell ref="O172:O179"/>
    <mergeCell ref="O182:O190"/>
    <mergeCell ref="O212:O218"/>
    <mergeCell ref="O202:O208"/>
    <mergeCell ref="B899:C899"/>
    <mergeCell ref="B917:C917"/>
    <mergeCell ref="D444:D446"/>
    <mergeCell ref="E444:E446"/>
    <mergeCell ref="D454:D456"/>
    <mergeCell ref="E454:E456"/>
    <mergeCell ref="O276:O282"/>
    <mergeCell ref="D435:D437"/>
    <mergeCell ref="E435:E437"/>
    <mergeCell ref="O408:O414"/>
    <mergeCell ref="O435:O441"/>
    <mergeCell ref="O390:O396"/>
    <mergeCell ref="O285:O291"/>
    <mergeCell ref="O296:O302"/>
    <mergeCell ref="E408:E410"/>
    <mergeCell ref="O363:O369"/>
    <mergeCell ref="O372:O378"/>
    <mergeCell ref="O454:O460"/>
    <mergeCell ref="O492:O498"/>
    <mergeCell ref="O464:O470"/>
    <mergeCell ref="A908:A910"/>
    <mergeCell ref="D908:D910"/>
    <mergeCell ref="E908:E910"/>
    <mergeCell ref="A888:A890"/>
    <mergeCell ref="D856:D858"/>
    <mergeCell ref="E464:E466"/>
    <mergeCell ref="D705:D707"/>
    <mergeCell ref="E705:E707"/>
    <mergeCell ref="E601:E603"/>
    <mergeCell ref="A705:A707"/>
    <mergeCell ref="B696:C696"/>
    <mergeCell ref="D724:D726"/>
    <mergeCell ref="E724:E726"/>
    <mergeCell ref="A752:A754"/>
    <mergeCell ref="A762:A764"/>
    <mergeCell ref="A771:A773"/>
    <mergeCell ref="A782:A784"/>
    <mergeCell ref="D782:D784"/>
    <mergeCell ref="E782:E784"/>
    <mergeCell ref="D771:D773"/>
    <mergeCell ref="E771:E773"/>
    <mergeCell ref="D762:D764"/>
    <mergeCell ref="A793:A795"/>
    <mergeCell ref="A733:A735"/>
    <mergeCell ref="O946:O952"/>
    <mergeCell ref="B937:C937"/>
    <mergeCell ref="O762:O768"/>
    <mergeCell ref="O705:O711"/>
    <mergeCell ref="O743:O749"/>
    <mergeCell ref="A714:A716"/>
    <mergeCell ref="A724:A726"/>
    <mergeCell ref="O724:O730"/>
    <mergeCell ref="O714:O721"/>
    <mergeCell ref="A743:A745"/>
    <mergeCell ref="O908:O914"/>
    <mergeCell ref="O782:O790"/>
    <mergeCell ref="A946:A948"/>
    <mergeCell ref="D946:D948"/>
    <mergeCell ref="E946:E948"/>
    <mergeCell ref="A926:A928"/>
    <mergeCell ref="D926:D928"/>
    <mergeCell ref="E926:E928"/>
    <mergeCell ref="O926:O932"/>
    <mergeCell ref="A803:A805"/>
    <mergeCell ref="A814:A816"/>
    <mergeCell ref="A824:A826"/>
    <mergeCell ref="A835:A837"/>
    <mergeCell ref="A845:A847"/>
    <mergeCell ref="D182:D184"/>
    <mergeCell ref="E182:E184"/>
    <mergeCell ref="E202:E204"/>
    <mergeCell ref="D40:D42"/>
    <mergeCell ref="E40:E42"/>
    <mergeCell ref="E148:E150"/>
    <mergeCell ref="E155:E157"/>
    <mergeCell ref="A212:A214"/>
    <mergeCell ref="D212:D214"/>
    <mergeCell ref="E212:E214"/>
    <mergeCell ref="B193:C193"/>
    <mergeCell ref="A202:A204"/>
    <mergeCell ref="D202:D204"/>
    <mergeCell ref="E117:E121"/>
    <mergeCell ref="A172:A174"/>
    <mergeCell ref="D172:D174"/>
    <mergeCell ref="E172:E174"/>
    <mergeCell ref="A182:A184"/>
    <mergeCell ref="A117:A119"/>
    <mergeCell ref="D117:D119"/>
    <mergeCell ref="B163:C163"/>
    <mergeCell ref="A93:A95"/>
    <mergeCell ref="E109:E111"/>
    <mergeCell ref="B14:C14"/>
    <mergeCell ref="B15:C15"/>
    <mergeCell ref="B16:C16"/>
    <mergeCell ref="B17:C17"/>
    <mergeCell ref="B22:C22"/>
    <mergeCell ref="B84:C84"/>
    <mergeCell ref="E102:E104"/>
    <mergeCell ref="D93:D95"/>
    <mergeCell ref="B31:C31"/>
    <mergeCell ref="J9:O9"/>
    <mergeCell ref="A6:O6"/>
    <mergeCell ref="A7:O7"/>
    <mergeCell ref="B11:C11"/>
    <mergeCell ref="B13:C13"/>
    <mergeCell ref="A9:A10"/>
    <mergeCell ref="F9:I9"/>
    <mergeCell ref="E9:E10"/>
    <mergeCell ref="B9:C10"/>
    <mergeCell ref="D9:D10"/>
    <mergeCell ref="O601:O610"/>
    <mergeCell ref="O646:O652"/>
    <mergeCell ref="O521:O530"/>
    <mergeCell ref="B578:C578"/>
    <mergeCell ref="D587:D589"/>
    <mergeCell ref="E587:E589"/>
    <mergeCell ref="O587:O598"/>
    <mergeCell ref="D601:D603"/>
    <mergeCell ref="B570:C570"/>
    <mergeCell ref="D622:D624"/>
    <mergeCell ref="E646:E648"/>
    <mergeCell ref="O93:O99"/>
    <mergeCell ref="O75:O81"/>
    <mergeCell ref="E93:E97"/>
    <mergeCell ref="A40:A42"/>
    <mergeCell ref="A49:A51"/>
    <mergeCell ref="A65:A67"/>
    <mergeCell ref="A75:A77"/>
    <mergeCell ref="E65:E67"/>
    <mergeCell ref="D75:D77"/>
  </mergeCells>
  <printOptions horizontalCentered="1"/>
  <pageMargins left="0.23622047244094491" right="0.23622047244094491" top="0.39370078740157483" bottom="0.59055118110236227" header="0.31496062992125984" footer="0.23622047244094491"/>
  <pageSetup paperSize="9" scale="69" firstPageNumber="107" orientation="landscape" useFirstPageNumber="1" r:id="rId1"/>
  <headerFooter>
    <oddFooter>&amp;C&amp;P</oddFooter>
  </headerFooter>
  <rowBreaks count="12" manualBreakCount="12">
    <brk id="73" max="14" man="1"/>
    <brk id="139" max="14" man="1"/>
    <brk id="210" max="14" man="1"/>
    <brk id="283" max="14" man="1"/>
    <brk id="352" max="14" man="1"/>
    <brk id="424" max="14" man="1"/>
    <brk id="567" max="14" man="1"/>
    <brk id="636" max="14" man="1"/>
    <brk id="722" max="14" man="1"/>
    <brk id="791" max="14" man="1"/>
    <brk id="864" max="14" man="1"/>
    <brk id="9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3" sqref="D3"/>
    </sheetView>
  </sheetViews>
  <sheetFormatPr defaultRowHeight="12.75"/>
  <cols>
    <col min="1" max="1" width="18.85546875" customWidth="1"/>
    <col min="2" max="8" width="14.7109375" style="319" customWidth="1"/>
    <col min="9" max="9" width="12.7109375" style="319" customWidth="1"/>
  </cols>
  <sheetData>
    <row r="1" spans="1:8">
      <c r="B1" s="320" t="s">
        <v>478</v>
      </c>
      <c r="C1" s="320" t="s">
        <v>479</v>
      </c>
      <c r="D1" s="320" t="s">
        <v>480</v>
      </c>
      <c r="E1" s="320" t="s">
        <v>481</v>
      </c>
      <c r="F1" s="320" t="s">
        <v>484</v>
      </c>
      <c r="G1" s="320" t="s">
        <v>482</v>
      </c>
      <c r="H1" s="320" t="s">
        <v>483</v>
      </c>
    </row>
    <row r="2" spans="1:8">
      <c r="A2" s="318" t="s">
        <v>470</v>
      </c>
      <c r="B2" s="319">
        <f>SUM(C2:H2)</f>
        <v>10715186</v>
      </c>
      <c r="C2" s="319">
        <f t="shared" ref="C2:H2" si="0">SUM(C3:C9)</f>
        <v>999962</v>
      </c>
      <c r="D2" s="319">
        <f t="shared" si="0"/>
        <v>9096756</v>
      </c>
      <c r="E2" s="319">
        <f t="shared" si="0"/>
        <v>0</v>
      </c>
      <c r="F2" s="319">
        <f t="shared" si="0"/>
        <v>618468</v>
      </c>
      <c r="G2" s="319">
        <f t="shared" si="0"/>
        <v>0</v>
      </c>
      <c r="H2" s="319">
        <f t="shared" si="0"/>
        <v>0</v>
      </c>
    </row>
    <row r="3" spans="1:8">
      <c r="A3" s="318" t="s">
        <v>471</v>
      </c>
      <c r="B3" s="319">
        <f>SUM(C3:H3)</f>
        <v>7126252</v>
      </c>
      <c r="C3" s="319">
        <f>'przedsiewziecia UE'!L50+'przedsiewziecia UE'!L66+'przedsiewziecia UE'!L76+'przedsiewziecia UE'!L118+'przedsiewziecia UE'!L173+'przedsiewziecia UE'!L183+'przedsiewziecia UE'!L203+'przedsiewziecia UE'!L213+'przedsiewziecia UE'!L226+'przedsiewziecia UE'!L240+'przedsiewziecia UE'!L249+'przedsiewziecia UE'!L259+'przedsiewziecia UE'!L268+'przedsiewziecia UE'!L277+'przedsiewziecia UE'!L286+'przedsiewziecia UE'!L297+'przedsiewziecia UE'!L306+'przedsiewziecia UE'!L315+'przedsiewziecia UE'!L324+'przedsiewziecia UE'!L337+'przedsiewziecia UE'!L346</f>
        <v>314313</v>
      </c>
      <c r="D3" s="319">
        <f>'przedsiewziecia UE'!L51+'przedsiewziecia UE'!L67+'przedsiewziecia UE'!L77+'przedsiewziecia UE'!L119+'przedsiewziecia UE'!L174+'przedsiewziecia UE'!L184+'przedsiewziecia UE'!L204+'przedsiewziecia UE'!L214+'przedsiewziecia UE'!L227+'przedsiewziecia UE'!L241+'przedsiewziecia UE'!L250+'przedsiewziecia UE'!L260+'przedsiewziecia UE'!L269+'przedsiewziecia UE'!L278+'przedsiewziecia UE'!L287+'przedsiewziecia UE'!L298+'przedsiewziecia UE'!L307+'przedsiewziecia UE'!L316+'przedsiewziecia UE'!L325+'przedsiewziecia UE'!L338+'przedsiewziecia UE'!L347</f>
        <v>6357396</v>
      </c>
      <c r="E3" s="319">
        <f>'przedsiewziecia UE'!L52+'przedsiewziecia UE'!L68+'przedsiewziecia UE'!L78+'przedsiewziecia UE'!L120+'przedsiewziecia UE'!L175+'przedsiewziecia UE'!L185+'przedsiewziecia UE'!L205+'przedsiewziecia UE'!L215+'przedsiewziecia UE'!L228+'przedsiewziecia UE'!L242+'przedsiewziecia UE'!L251+'przedsiewziecia UE'!L261+'przedsiewziecia UE'!L270+'przedsiewziecia UE'!L279+'przedsiewziecia UE'!L288+'przedsiewziecia UE'!L299+'przedsiewziecia UE'!L308+'przedsiewziecia UE'!L317+'przedsiewziecia UE'!L326+'przedsiewziecia UE'!L339+'przedsiewziecia UE'!L348</f>
        <v>0</v>
      </c>
      <c r="F3" s="319">
        <f>'przedsiewziecia UE'!L53+'przedsiewziecia UE'!L69+'przedsiewziecia UE'!L79+'przedsiewziecia UE'!L121+'przedsiewziecia UE'!L176+'przedsiewziecia UE'!L186+'przedsiewziecia UE'!L206+'przedsiewziecia UE'!L216+'przedsiewziecia UE'!L229+'przedsiewziecia UE'!L243+'przedsiewziecia UE'!L252+'przedsiewziecia UE'!L262+'przedsiewziecia UE'!L271+'przedsiewziecia UE'!L280+'przedsiewziecia UE'!L289+'przedsiewziecia UE'!L300+'przedsiewziecia UE'!L309+'przedsiewziecia UE'!L318+'przedsiewziecia UE'!L327+'przedsiewziecia UE'!L340+'przedsiewziecia UE'!L349</f>
        <v>454543</v>
      </c>
      <c r="G3" s="319">
        <f>'przedsiewziecia UE'!L54+'przedsiewziecia UE'!L70+'przedsiewziecia UE'!L80+'przedsiewziecia UE'!L122+'przedsiewziecia UE'!L177+'przedsiewziecia UE'!L187+'przedsiewziecia UE'!L207+'przedsiewziecia UE'!L217+'przedsiewziecia UE'!L230+'przedsiewziecia UE'!L244+'przedsiewziecia UE'!L253+'przedsiewziecia UE'!L263+'przedsiewziecia UE'!L272+'przedsiewziecia UE'!L281+'przedsiewziecia UE'!L290+'przedsiewziecia UE'!L301+'przedsiewziecia UE'!L310+'przedsiewziecia UE'!L319+'przedsiewziecia UE'!L328+'przedsiewziecia UE'!L341+'przedsiewziecia UE'!L350</f>
        <v>0</v>
      </c>
      <c r="H3" s="319">
        <f>'przedsiewziecia UE'!L55+'przedsiewziecia UE'!L71+'przedsiewziecia UE'!L81+'przedsiewziecia UE'!L123+'przedsiewziecia UE'!L178+'przedsiewziecia UE'!L188+'przedsiewziecia UE'!L208+'przedsiewziecia UE'!L218+'przedsiewziecia UE'!L231+'przedsiewziecia UE'!L245+'przedsiewziecia UE'!L254+'przedsiewziecia UE'!L264+'przedsiewziecia UE'!L273+'przedsiewziecia UE'!L282+'przedsiewziecia UE'!L291+'przedsiewziecia UE'!L302+'przedsiewziecia UE'!L311+'przedsiewziecia UE'!L320+'przedsiewziecia UE'!L329+'przedsiewziecia UE'!L342+'przedsiewziecia UE'!L351</f>
        <v>0</v>
      </c>
    </row>
    <row r="4" spans="1:8">
      <c r="A4" s="318" t="s">
        <v>472</v>
      </c>
      <c r="B4" s="319">
        <f t="shared" ref="B4:B9" si="1">SUM(C4:H4)</f>
        <v>1195012</v>
      </c>
      <c r="C4" s="319">
        <f>'przedsiewziecia UE'!L41+'przedsiewziecia UE'!L94</f>
        <v>144851</v>
      </c>
      <c r="D4" s="319">
        <f>'przedsiewziecia UE'!L42+'przedsiewziecia UE'!L95</f>
        <v>892638</v>
      </c>
      <c r="E4" s="319">
        <f>'przedsiewziecia UE'!L43+'przedsiewziecia UE'!L96</f>
        <v>0</v>
      </c>
      <c r="F4" s="319">
        <f>'przedsiewziecia UE'!L44+'przedsiewziecia UE'!L97</f>
        <v>157523</v>
      </c>
      <c r="G4" s="319">
        <f>'przedsiewziecia UE'!L45+'przedsiewziecia UE'!L98</f>
        <v>0</v>
      </c>
      <c r="H4" s="319">
        <f>'przedsiewziecia UE'!L46+'przedsiewziecia UE'!L99</f>
        <v>0</v>
      </c>
    </row>
    <row r="5" spans="1:8">
      <c r="A5" s="318" t="s">
        <v>473</v>
      </c>
      <c r="B5" s="319">
        <f t="shared" si="1"/>
        <v>197745</v>
      </c>
      <c r="C5" s="319">
        <f>'przedsiewziecia UE'!L511+'przedsiewziecia UE'!L522</f>
        <v>67625</v>
      </c>
      <c r="D5" s="319">
        <f>'przedsiewziecia UE'!L512+'przedsiewziecia UE'!L523</f>
        <v>123718</v>
      </c>
      <c r="E5" s="319">
        <f>'przedsiewziecia UE'!L531+'przedsiewziecia UE'!L524</f>
        <v>0</v>
      </c>
      <c r="F5" s="319">
        <f>'przedsiewziecia UE'!L514+'przedsiewziecia UE'!L525</f>
        <v>6402</v>
      </c>
      <c r="G5" s="319">
        <f>'przedsiewziecia UE'!L515+'przedsiewziecia UE'!L526</f>
        <v>0</v>
      </c>
      <c r="H5" s="319">
        <f>'przedsiewziecia UE'!L516+'przedsiewziecia UE'!L527</f>
        <v>0</v>
      </c>
    </row>
    <row r="6" spans="1:8">
      <c r="A6" s="318" t="s">
        <v>474</v>
      </c>
      <c r="B6" s="319">
        <f t="shared" si="1"/>
        <v>315584</v>
      </c>
      <c r="C6" s="319">
        <f>'przedsiewziecia UE'!L493+'przedsiewziecia UE'!L534+'przedsiewziecia UE'!L547</f>
        <v>54153</v>
      </c>
      <c r="D6" s="319">
        <f>'przedsiewziecia UE'!L494+'przedsiewziecia UE'!L535+'przedsiewziecia UE'!L548</f>
        <v>261431</v>
      </c>
      <c r="E6" s="319">
        <f>'przedsiewziecia UE'!L495+'przedsiewziecia UE'!L536+'przedsiewziecia UE'!L549</f>
        <v>0</v>
      </c>
      <c r="F6" s="319">
        <f>'przedsiewziecia UE'!L496+'przedsiewziecia UE'!L537+'przedsiewziecia UE'!L550</f>
        <v>0</v>
      </c>
      <c r="G6" s="319">
        <f>'przedsiewziecia UE'!L497+'przedsiewziecia UE'!L538+'przedsiewziecia UE'!L551</f>
        <v>0</v>
      </c>
      <c r="H6" s="319">
        <f>'przedsiewziecia UE'!L498+'przedsiewziecia UE'!L539+'przedsiewziecia UE'!L552</f>
        <v>0</v>
      </c>
    </row>
    <row r="7" spans="1:8">
      <c r="A7" s="318" t="s">
        <v>145</v>
      </c>
      <c r="B7" s="319">
        <f t="shared" si="1"/>
        <v>44442</v>
      </c>
      <c r="C7" s="319">
        <f>'przedsiewziecia UE'!L560</f>
        <v>8891</v>
      </c>
      <c r="D7" s="319">
        <f>'przedsiewziecia UE'!L561</f>
        <v>35551</v>
      </c>
      <c r="E7" s="319">
        <f>'przedsiewziecia UE'!L562</f>
        <v>0</v>
      </c>
      <c r="F7" s="319">
        <f>'przedsiewziecia UE'!L563</f>
        <v>0</v>
      </c>
      <c r="G7" s="319">
        <f>'przedsiewziecia UE'!L564</f>
        <v>0</v>
      </c>
      <c r="H7" s="319">
        <f>'przedsiewziecia UE'!L565</f>
        <v>0</v>
      </c>
    </row>
    <row r="8" spans="1:8">
      <c r="A8" s="318" t="s">
        <v>104</v>
      </c>
      <c r="B8" s="319">
        <f t="shared" si="1"/>
        <v>538767</v>
      </c>
      <c r="C8" s="319">
        <f>'przedsiewziecia UE'!L355+'przedsiewziecia UE'!L364+'przedsiewziecia UE'!L373+'przedsiewziecia UE'!L382+'przedsiewziecia UE'!L391+'przedsiewziecia UE'!L400+'przedsiewziecia UE'!L409+'przedsiewziecia UE'!L418+'przedsiewziecia UE'!L427+'przedsiewziecia UE'!L436+'[1]Załącznik 9'!$G$32</f>
        <v>4400</v>
      </c>
      <c r="D8" s="319">
        <f>'przedsiewziecia UE'!L356+'przedsiewziecia UE'!L365+'przedsiewziecia UE'!L374+'przedsiewziecia UE'!L383+'przedsiewziecia UE'!L392+'przedsiewziecia UE'!L401+'przedsiewziecia UE'!L410+'przedsiewziecia UE'!L419+'przedsiewziecia UE'!L428+'przedsiewziecia UE'!L437</f>
        <v>534367</v>
      </c>
      <c r="E8" s="319">
        <f>'przedsiewziecia UE'!L357+'przedsiewziecia UE'!L366+'przedsiewziecia UE'!L375+'przedsiewziecia UE'!L384+'przedsiewziecia UE'!L393+'przedsiewziecia UE'!L402+'przedsiewziecia UE'!L411+'przedsiewziecia UE'!L420+'przedsiewziecia UE'!L429+'przedsiewziecia UE'!L438</f>
        <v>0</v>
      </c>
      <c r="F8" s="319">
        <f>'przedsiewziecia UE'!L358+'przedsiewziecia UE'!L367+'przedsiewziecia UE'!L376+'przedsiewziecia UE'!L385+'przedsiewziecia UE'!L394+'przedsiewziecia UE'!L403+'przedsiewziecia UE'!L412+'przedsiewziecia UE'!L421+'przedsiewziecia UE'!L430+'przedsiewziecia UE'!L439</f>
        <v>0</v>
      </c>
      <c r="G8" s="319">
        <f>'przedsiewziecia UE'!L359+'przedsiewziecia UE'!L368+'przedsiewziecia UE'!L377+'przedsiewziecia UE'!L386+'przedsiewziecia UE'!L395+'przedsiewziecia UE'!L404+'przedsiewziecia UE'!L413+'przedsiewziecia UE'!L422+'przedsiewziecia UE'!L431+'przedsiewziecia UE'!L440</f>
        <v>0</v>
      </c>
      <c r="H8" s="319">
        <f>'przedsiewziecia UE'!L360+'przedsiewziecia UE'!L369+'przedsiewziecia UE'!L378+'przedsiewziecia UE'!L387+'przedsiewziecia UE'!L396+'przedsiewziecia UE'!L405+'przedsiewziecia UE'!L414+'przedsiewziecia UE'!L423+'przedsiewziecia UE'!L432+'przedsiewziecia UE'!L441</f>
        <v>0</v>
      </c>
    </row>
    <row r="9" spans="1:8">
      <c r="A9" s="318" t="s">
        <v>476</v>
      </c>
      <c r="B9" s="319">
        <f t="shared" si="1"/>
        <v>1297384</v>
      </c>
      <c r="C9" s="319">
        <f>'przedsiewziecia UE'!L445+'przedsiewziecia UE'!L455+'przedsiewziecia UE'!L465+'przedsiewziecia UE'!L474+'przedsiewziecia UE'!L483</f>
        <v>405729</v>
      </c>
      <c r="D9" s="319">
        <f>'przedsiewziecia UE'!L446+'przedsiewziecia UE'!L456+'przedsiewziecia UE'!L466+'przedsiewziecia UE'!L475+'przedsiewziecia UE'!L484</f>
        <v>891655</v>
      </c>
      <c r="E9" s="319">
        <f>'przedsiewziecia UE'!L447+'przedsiewziecia UE'!L457+'przedsiewziecia UE'!L467+'przedsiewziecia UE'!L476+'przedsiewziecia UE'!L485</f>
        <v>0</v>
      </c>
      <c r="F9" s="319">
        <f>'przedsiewziecia UE'!L448+'przedsiewziecia UE'!L458+'przedsiewziecia UE'!L468+'przedsiewziecia UE'!L477+'przedsiewziecia UE'!L486</f>
        <v>0</v>
      </c>
      <c r="G9" s="319">
        <f>'przedsiewziecia UE'!L449+'przedsiewziecia UE'!L459+'przedsiewziecia UE'!L469+'przedsiewziecia UE'!L478+'przedsiewziecia UE'!L487</f>
        <v>0</v>
      </c>
      <c r="H9" s="319">
        <f>'przedsiewziecia UE'!L450+'przedsiewziecia UE'!L460+'przedsiewziecia UE'!L470+'przedsiewziecia UE'!L479+'przedsiewziecia UE'!L488</f>
        <v>0</v>
      </c>
    </row>
    <row r="11" spans="1:8">
      <c r="A11" s="318" t="s">
        <v>475</v>
      </c>
      <c r="B11" s="319">
        <f t="shared" ref="B11:B16" si="2">SUM(C11:H11)</f>
        <v>228487612</v>
      </c>
      <c r="C11" s="319">
        <f t="shared" ref="C11:H11" si="3">SUM(C12:C16)</f>
        <v>7113675</v>
      </c>
      <c r="D11" s="319">
        <f t="shared" si="3"/>
        <v>149906784</v>
      </c>
      <c r="E11" s="319">
        <f t="shared" si="3"/>
        <v>62984803</v>
      </c>
      <c r="F11" s="319">
        <f t="shared" si="3"/>
        <v>4392309</v>
      </c>
      <c r="G11" s="319">
        <f t="shared" si="3"/>
        <v>29735</v>
      </c>
      <c r="H11" s="319">
        <f t="shared" si="3"/>
        <v>4060306</v>
      </c>
    </row>
    <row r="12" spans="1:8">
      <c r="A12" s="318" t="s">
        <v>473</v>
      </c>
      <c r="B12" s="319">
        <f t="shared" si="2"/>
        <v>122453687</v>
      </c>
      <c r="C12" s="319">
        <f>'przedsiewziecia UE'!L665+'przedsiewziecia UE'!L715+'przedsiewziecia UE'!L725+'przedsiewziecia UE'!L734+'przedsiewziecia UE'!L927+'przedsiewziecia UE'!L947</f>
        <v>3261061</v>
      </c>
      <c r="D12" s="319">
        <f>'przedsiewziecia UE'!L666+'przedsiewziecia UE'!L716+'przedsiewziecia UE'!L726+'przedsiewziecia UE'!L735+'przedsiewziecia UE'!L928+'przedsiewziecia UE'!L948</f>
        <v>83798965</v>
      </c>
      <c r="E12" s="319">
        <f>'przedsiewziecia UE'!L667+'przedsiewziecia UE'!L717+'przedsiewziecia UE'!L727+'przedsiewziecia UE'!L736+'przedsiewziecia UE'!L929+'przedsiewziecia UE'!L949</f>
        <v>34343947</v>
      </c>
      <c r="F12" s="319">
        <f>'przedsiewziecia UE'!L668+'przedsiewziecia UE'!L718+'przedsiewziecia UE'!L728+'przedsiewziecia UE'!L737+'przedsiewziecia UE'!L930+'przedsiewziecia UE'!L950</f>
        <v>1726</v>
      </c>
      <c r="G12" s="319">
        <f>'przedsiewziecia UE'!L669+'przedsiewziecia UE'!L719+'przedsiewziecia UE'!L729+'przedsiewziecia UE'!L738+'przedsiewziecia UE'!L931+'przedsiewziecia UE'!L951</f>
        <v>0</v>
      </c>
      <c r="H12" s="319">
        <f>'przedsiewziecia UE'!L670+'przedsiewziecia UE'!L720+'przedsiewziecia UE'!L730+'przedsiewziecia UE'!L739+'przedsiewziecia UE'!L932+'przedsiewziecia UE'!L952</f>
        <v>1047988</v>
      </c>
    </row>
    <row r="13" spans="1:8">
      <c r="A13" s="318" t="s">
        <v>474</v>
      </c>
      <c r="B13" s="319">
        <f t="shared" si="2"/>
        <v>86948281</v>
      </c>
      <c r="C13" s="319">
        <f>'przedsiewziecia UE'!L588+'przedsiewziecia UE'!L602+'przedsiewziecia UE'!L647+'przedsiewziecia UE'!L744+'przedsiewziecia UE'!L753+'przedsiewziecia UE'!L763+'przedsiewziecia UE'!L772+'przedsiewziecia UE'!L783+'przedsiewziecia UE'!L794+'przedsiewziecia UE'!L804+'przedsiewziecia UE'!L815+'przedsiewziecia UE'!L825+'przedsiewziecia UE'!L836+'przedsiewziecia UE'!L846+'przedsiewziecia UE'!L857+'przedsiewziecia UE'!L867+'przedsiewziecia UE'!L879+'przedsiewziecia UE'!L889+'przedsiewziecia UE'!L909</f>
        <v>3079746</v>
      </c>
      <c r="D13" s="319">
        <f>'przedsiewziecia UE'!L589+'przedsiewziecia UE'!L603+'przedsiewziecia UE'!L648+'przedsiewziecia UE'!L745+'przedsiewziecia UE'!L754+'przedsiewziecia UE'!L764+'przedsiewziecia UE'!L773+'przedsiewziecia UE'!L784+'przedsiewziecia UE'!L795+'przedsiewziecia UE'!L805+'przedsiewziecia UE'!L816+'przedsiewziecia UE'!L826+'przedsiewziecia UE'!L837+'przedsiewziecia UE'!L847+'przedsiewziecia UE'!L858+'przedsiewziecia UE'!L868+'przedsiewziecia UE'!L880+'przedsiewziecia UE'!L890+'przedsiewziecia UE'!L910</f>
        <v>52928156</v>
      </c>
      <c r="E13" s="319">
        <f>'przedsiewziecia UE'!L590+'przedsiewziecia UE'!L604+'przedsiewziecia UE'!L649+'przedsiewziecia UE'!L746+'przedsiewziecia UE'!L755+'przedsiewziecia UE'!L765+'przedsiewziecia UE'!L774+'przedsiewziecia UE'!L785+'przedsiewziecia UE'!L796+'przedsiewziecia UE'!L806+'przedsiewziecia UE'!L817+'przedsiewziecia UE'!L827+'przedsiewziecia UE'!L838+'przedsiewziecia UE'!L848+'przedsiewziecia UE'!L859+'przedsiewziecia UE'!L869+'przedsiewziecia UE'!L881+'przedsiewziecia UE'!L891+'przedsiewziecia UE'!L911</f>
        <v>25900341</v>
      </c>
      <c r="F13" s="319">
        <f>'przedsiewziecia UE'!L591+'przedsiewziecia UE'!L605+'przedsiewziecia UE'!L650+'przedsiewziecia UE'!L747+'przedsiewziecia UE'!L756+'przedsiewziecia UE'!L766+'przedsiewziecia UE'!L775+'przedsiewziecia UE'!L786+'przedsiewziecia UE'!L797+'przedsiewziecia UE'!L807+'przedsiewziecia UE'!L818+'przedsiewziecia UE'!L828+'przedsiewziecia UE'!L839+'przedsiewziecia UE'!L849+'przedsiewziecia UE'!L860+'przedsiewziecia UE'!L870+'przedsiewziecia UE'!L882+'przedsiewziecia UE'!L892+'przedsiewziecia UE'!L912</f>
        <v>2064759</v>
      </c>
      <c r="G13" s="319">
        <f>'przedsiewziecia UE'!L592+'przedsiewziecia UE'!L606+'przedsiewziecia UE'!L651+'przedsiewziecia UE'!L748+'przedsiewziecia UE'!L757+'przedsiewziecia UE'!L767+'przedsiewziecia UE'!L776+'przedsiewziecia UE'!L787+'przedsiewziecia UE'!L798+'przedsiewziecia UE'!L808+'przedsiewziecia UE'!L819+'przedsiewziecia UE'!L829+'przedsiewziecia UE'!L840+'przedsiewziecia UE'!L850+'przedsiewziecia UE'!L861+'przedsiewziecia UE'!L871+'przedsiewziecia UE'!L883+'przedsiewziecia UE'!L893+'przedsiewziecia UE'!L913</f>
        <v>0</v>
      </c>
      <c r="H13" s="319">
        <f>'przedsiewziecia UE'!L593+'przedsiewziecia UE'!L607+'przedsiewziecia UE'!L652+'przedsiewziecia UE'!L749+'przedsiewziecia UE'!L758+'przedsiewziecia UE'!L768+'przedsiewziecia UE'!L777+'przedsiewziecia UE'!L788+'przedsiewziecia UE'!L799+'przedsiewziecia UE'!L809+'przedsiewziecia UE'!L820+'przedsiewziecia UE'!L830+'przedsiewziecia UE'!L841+'przedsiewziecia UE'!L851+'przedsiewziecia UE'!L862+'przedsiewziecia UE'!L872+'przedsiewziecia UE'!L884+'przedsiewziecia UE'!L894+'przedsiewziecia UE'!L914</f>
        <v>2975279</v>
      </c>
    </row>
    <row r="14" spans="1:8">
      <c r="A14" s="318" t="s">
        <v>472</v>
      </c>
      <c r="B14" s="319">
        <f t="shared" si="2"/>
        <v>18255079</v>
      </c>
      <c r="C14" s="319">
        <f>'przedsiewziecia UE'!L623</f>
        <v>0</v>
      </c>
      <c r="D14" s="319">
        <f>'przedsiewziecia UE'!L624</f>
        <v>13130621</v>
      </c>
      <c r="E14" s="319">
        <f>'przedsiewziecia UE'!L625</f>
        <v>2740515</v>
      </c>
      <c r="F14" s="319">
        <f>'przedsiewziecia UE'!L626</f>
        <v>2317169</v>
      </c>
      <c r="G14" s="319">
        <f>'przedsiewziecia UE'!L627</f>
        <v>29735</v>
      </c>
      <c r="H14" s="319">
        <f>'przedsiewziecia UE'!L628</f>
        <v>37039</v>
      </c>
    </row>
    <row r="15" spans="1:8">
      <c r="A15" s="318" t="s">
        <v>477</v>
      </c>
      <c r="B15" s="319">
        <f t="shared" si="2"/>
        <v>772868</v>
      </c>
      <c r="C15" s="319">
        <f>'przedsiewziecia UE'!L706</f>
        <v>772868</v>
      </c>
      <c r="D15" s="319">
        <f>'przedsiewziecia UE'!L707</f>
        <v>0</v>
      </c>
      <c r="E15" s="319">
        <f>'przedsiewziecia UE'!L708</f>
        <v>0</v>
      </c>
      <c r="F15" s="319">
        <f>'przedsiewziecia UE'!L709</f>
        <v>0</v>
      </c>
      <c r="G15" s="319">
        <f>'przedsiewziecia UE'!L710</f>
        <v>0</v>
      </c>
      <c r="H15" s="319">
        <f>'przedsiewziecia UE'!L711</f>
        <v>0</v>
      </c>
    </row>
    <row r="16" spans="1:8">
      <c r="A16" s="318" t="s">
        <v>471</v>
      </c>
      <c r="B16" s="319">
        <f t="shared" si="2"/>
        <v>57697</v>
      </c>
      <c r="C16" s="319">
        <f>'[1]Załącznik 9'!$G$53+'[1]Załącznik 9'!$G$61</f>
        <v>0</v>
      </c>
      <c r="D16" s="319">
        <f>'[1]Załącznik 9'!$G$54+'[1]Załącznik 9'!$G$62</f>
        <v>49042</v>
      </c>
      <c r="E16" s="319">
        <f>'[1]Załącznik 9'!$G$55+'[1]Załącznik 9'!$G$63</f>
        <v>0</v>
      </c>
      <c r="F16" s="319">
        <f>'[1]Załącznik 9'!$G$56+'[1]Załącznik 9'!$G$64</f>
        <v>8655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>
      <selection activeCell="C13" sqref="C13:I17"/>
    </sheetView>
  </sheetViews>
  <sheetFormatPr defaultRowHeight="12.75"/>
  <cols>
    <col min="1" max="2" width="19.7109375" customWidth="1"/>
    <col min="3" max="9" width="14.7109375" customWidth="1"/>
  </cols>
  <sheetData>
    <row r="1" spans="1:13" s="323" customFormat="1">
      <c r="C1" s="324" t="s">
        <v>478</v>
      </c>
      <c r="D1" s="324" t="s">
        <v>479</v>
      </c>
      <c r="E1" s="324" t="s">
        <v>480</v>
      </c>
      <c r="F1" s="324" t="s">
        <v>481</v>
      </c>
      <c r="G1" s="324" t="s">
        <v>484</v>
      </c>
      <c r="H1" s="324" t="s">
        <v>482</v>
      </c>
      <c r="I1" s="324" t="s">
        <v>483</v>
      </c>
    </row>
    <row r="2" spans="1:13" s="321" customFormat="1">
      <c r="A2" s="321" t="s">
        <v>487</v>
      </c>
      <c r="C2" s="322">
        <f>SUM(D2:I2)</f>
        <v>8180492.0199999986</v>
      </c>
      <c r="D2" s="322">
        <f t="shared" ref="D2:I2" si="0">SUM(D3:D9)</f>
        <v>386766.9</v>
      </c>
      <c r="E2" s="322">
        <f t="shared" si="0"/>
        <v>7339863.3599999985</v>
      </c>
      <c r="F2" s="322">
        <f t="shared" si="0"/>
        <v>0</v>
      </c>
      <c r="G2" s="322">
        <f t="shared" si="0"/>
        <v>453861.75999999995</v>
      </c>
      <c r="H2" s="322">
        <f t="shared" si="0"/>
        <v>0</v>
      </c>
      <c r="I2" s="322">
        <f t="shared" si="0"/>
        <v>0</v>
      </c>
      <c r="M2" s="321">
        <f>SUM(M3:M9)</f>
        <v>45</v>
      </c>
    </row>
    <row r="3" spans="1:13">
      <c r="A3" s="318" t="s">
        <v>471</v>
      </c>
      <c r="B3" s="318"/>
      <c r="C3" s="319">
        <f>SUM(D3:I3)</f>
        <v>6621315.1899999995</v>
      </c>
      <c r="D3" s="319">
        <f>'przedsiewziecia UE'!M50+'przedsiewziecia UE'!M66+'przedsiewziecia UE'!M76+'przedsiewziecia UE'!M118+'przedsiewziecia UE'!M173+'przedsiewziecia UE'!M183+'przedsiewziecia UE'!M203+'przedsiewziecia UE'!M213+'przedsiewziecia UE'!M226+'przedsiewziecia UE'!M240+'przedsiewziecia UE'!M249+'przedsiewziecia UE'!M259+'przedsiewziecia UE'!M268+'przedsiewziecia UE'!M277+'przedsiewziecia UE'!M286+'przedsiewziecia UE'!M297+'przedsiewziecia UE'!M306+'przedsiewziecia UE'!M315+'przedsiewziecia UE'!M324+'przedsiewziecia UE'!M337+'przedsiewziecia UE'!M346</f>
        <v>307451.37</v>
      </c>
      <c r="E3" s="319">
        <f>'przedsiewziecia UE'!M51+'przedsiewziecia UE'!M67+'przedsiewziecia UE'!M77+'przedsiewziecia UE'!M119+'przedsiewziecia UE'!M174+'przedsiewziecia UE'!M184+'przedsiewziecia UE'!M204+'przedsiewziecia UE'!M214+'przedsiewziecia UE'!M227+'przedsiewziecia UE'!M241+'przedsiewziecia UE'!M250+'przedsiewziecia UE'!M260+'przedsiewziecia UE'!M269+'przedsiewziecia UE'!M278+'przedsiewziecia UE'!M287+'przedsiewziecia UE'!M298+'przedsiewziecia UE'!M307+'przedsiewziecia UE'!M316+'przedsiewziecia UE'!M325+'przedsiewziecia UE'!M338+'przedsiewziecia UE'!M347</f>
        <v>5896285.1599999992</v>
      </c>
      <c r="F3" s="319">
        <f>'przedsiewziecia UE'!M52+'przedsiewziecia UE'!M68+'przedsiewziecia UE'!M78+'przedsiewziecia UE'!M120+'przedsiewziecia UE'!M175+'przedsiewziecia UE'!M185+'przedsiewziecia UE'!M205+'przedsiewziecia UE'!M215+'przedsiewziecia UE'!M228+'przedsiewziecia UE'!M242+'przedsiewziecia UE'!M251+'przedsiewziecia UE'!M261+'przedsiewziecia UE'!M270+'przedsiewziecia UE'!M279+'przedsiewziecia UE'!M288+'przedsiewziecia UE'!M299+'przedsiewziecia UE'!M308+'przedsiewziecia UE'!M317+'przedsiewziecia UE'!M326+'przedsiewziecia UE'!M339+'przedsiewziecia UE'!M348</f>
        <v>0</v>
      </c>
      <c r="G3" s="319">
        <f>'przedsiewziecia UE'!M53+'przedsiewziecia UE'!M69+'przedsiewziecia UE'!M79+'przedsiewziecia UE'!M121+'przedsiewziecia UE'!M176+'przedsiewziecia UE'!M186+'przedsiewziecia UE'!M206+'przedsiewziecia UE'!M216+'przedsiewziecia UE'!M229+'przedsiewziecia UE'!M243+'przedsiewziecia UE'!M252+'przedsiewziecia UE'!M262+'przedsiewziecia UE'!M271+'przedsiewziecia UE'!M280+'przedsiewziecia UE'!M289+'przedsiewziecia UE'!M300+'przedsiewziecia UE'!M309+'przedsiewziecia UE'!M318+'przedsiewziecia UE'!M327+'przedsiewziecia UE'!M340+'przedsiewziecia UE'!M349</f>
        <v>417578.66</v>
      </c>
      <c r="H3" s="319">
        <f>'przedsiewziecia UE'!M54+'przedsiewziecia UE'!M70+'przedsiewziecia UE'!M80+'przedsiewziecia UE'!M122+'przedsiewziecia UE'!M177+'przedsiewziecia UE'!M187+'przedsiewziecia UE'!M207+'przedsiewziecia UE'!M217+'przedsiewziecia UE'!M230+'przedsiewziecia UE'!M244+'przedsiewziecia UE'!M253+'przedsiewziecia UE'!M263+'przedsiewziecia UE'!M272+'przedsiewziecia UE'!M281+'przedsiewziecia UE'!M290+'przedsiewziecia UE'!M301+'przedsiewziecia UE'!M310+'przedsiewziecia UE'!M319+'przedsiewziecia UE'!M328+'przedsiewziecia UE'!M341+'przedsiewziecia UE'!M350</f>
        <v>0</v>
      </c>
      <c r="I3" s="319">
        <f>'przedsiewziecia UE'!M55+'przedsiewziecia UE'!M71+'przedsiewziecia UE'!M81+'przedsiewziecia UE'!M123+'przedsiewziecia UE'!M178+'przedsiewziecia UE'!M188+'przedsiewziecia UE'!M208+'przedsiewziecia UE'!M218+'przedsiewziecia UE'!M231+'przedsiewziecia UE'!M245+'przedsiewziecia UE'!M254+'przedsiewziecia UE'!M264+'przedsiewziecia UE'!M273+'przedsiewziecia UE'!M282+'przedsiewziecia UE'!M291+'przedsiewziecia UE'!M302+'przedsiewziecia UE'!M311+'przedsiewziecia UE'!M320+'przedsiewziecia UE'!M329+'przedsiewziecia UE'!M342+'przedsiewziecia UE'!M351</f>
        <v>0</v>
      </c>
      <c r="M3">
        <v>21</v>
      </c>
    </row>
    <row r="4" spans="1:13">
      <c r="A4" s="318" t="s">
        <v>472</v>
      </c>
      <c r="B4" s="318"/>
      <c r="C4" s="319">
        <f t="shared" ref="C4:C9" si="1">SUM(D4:I4)</f>
        <v>220362.87000000002</v>
      </c>
      <c r="D4" s="319">
        <f>'przedsiewziecia UE'!M41+'przedsiewziecia UE'!M94</f>
        <v>8829.39</v>
      </c>
      <c r="E4" s="319">
        <f>'przedsiewziecia UE'!M42+'przedsiewziecia UE'!M95</f>
        <v>179803.5</v>
      </c>
      <c r="F4" s="319">
        <f>'przedsiewziecia UE'!M43+'przedsiewziecia UE'!M96</f>
        <v>0</v>
      </c>
      <c r="G4" s="319">
        <f>'przedsiewziecia UE'!M44+'przedsiewziecia UE'!M97</f>
        <v>31729.98</v>
      </c>
      <c r="H4" s="319">
        <f>'przedsiewziecia UE'!M45+'przedsiewziecia UE'!M98</f>
        <v>0</v>
      </c>
      <c r="I4" s="319">
        <f>'przedsiewziecia UE'!M46+'przedsiewziecia UE'!M99</f>
        <v>0</v>
      </c>
      <c r="M4">
        <v>2</v>
      </c>
    </row>
    <row r="5" spans="1:13">
      <c r="A5" s="318" t="s">
        <v>473</v>
      </c>
      <c r="B5" s="318"/>
      <c r="C5" s="319">
        <f t="shared" si="1"/>
        <v>89643.839999999997</v>
      </c>
      <c r="D5" s="319">
        <f>'przedsiewziecia UE'!M511+'przedsiewziecia UE'!M522</f>
        <v>7723.38</v>
      </c>
      <c r="E5" s="319">
        <f>'przedsiewziecia UE'!M512+'przedsiewziecia UE'!M523</f>
        <v>77367.34</v>
      </c>
      <c r="F5" s="319">
        <f>'przedsiewziecia UE'!M531+'przedsiewziecia UE'!M524</f>
        <v>0</v>
      </c>
      <c r="G5" s="319">
        <f>'przedsiewziecia UE'!M514+'przedsiewziecia UE'!M525</f>
        <v>4553.12</v>
      </c>
      <c r="H5" s="319">
        <f>'przedsiewziecia UE'!M515+'przedsiewziecia UE'!M526</f>
        <v>0</v>
      </c>
      <c r="I5" s="319">
        <f>'przedsiewziecia UE'!M516+'przedsiewziecia UE'!M527</f>
        <v>0</v>
      </c>
      <c r="M5">
        <v>2</v>
      </c>
    </row>
    <row r="6" spans="1:13">
      <c r="A6" s="318" t="s">
        <v>474</v>
      </c>
      <c r="B6" s="318"/>
      <c r="C6" s="319">
        <f t="shared" si="1"/>
        <v>199212.45</v>
      </c>
      <c r="D6" s="319">
        <f>'przedsiewziecia UE'!M493+'przedsiewziecia UE'!M534+'przedsiewziecia UE'!M547</f>
        <v>36689.69</v>
      </c>
      <c r="E6" s="319">
        <f>'przedsiewziecia UE'!M494+'przedsiewziecia UE'!M535+'przedsiewziecia UE'!M548</f>
        <v>162522.76</v>
      </c>
      <c r="F6" s="319">
        <f>'przedsiewziecia UE'!M495+'przedsiewziecia UE'!M536+'przedsiewziecia UE'!M549</f>
        <v>0</v>
      </c>
      <c r="G6" s="319">
        <f>'przedsiewziecia UE'!M496+'przedsiewziecia UE'!M537+'przedsiewziecia UE'!M550</f>
        <v>0</v>
      </c>
      <c r="H6" s="319">
        <f>'przedsiewziecia UE'!M497+'przedsiewziecia UE'!M538+'przedsiewziecia UE'!M551</f>
        <v>0</v>
      </c>
      <c r="I6" s="319">
        <f>'przedsiewziecia UE'!M498+'przedsiewziecia UE'!M539+'przedsiewziecia UE'!M552</f>
        <v>0</v>
      </c>
      <c r="M6">
        <v>3</v>
      </c>
    </row>
    <row r="7" spans="1:13">
      <c r="A7" s="318" t="s">
        <v>145</v>
      </c>
      <c r="B7" s="318"/>
      <c r="C7" s="319">
        <f t="shared" si="1"/>
        <v>34025.050000000003</v>
      </c>
      <c r="D7" s="319">
        <f>'przedsiewziecia UE'!M560</f>
        <v>6805.01</v>
      </c>
      <c r="E7" s="319">
        <f>'przedsiewziecia UE'!M561</f>
        <v>27220.04</v>
      </c>
      <c r="F7" s="319">
        <f>'przedsiewziecia UE'!M562</f>
        <v>0</v>
      </c>
      <c r="G7" s="319">
        <f>'przedsiewziecia UE'!M563</f>
        <v>0</v>
      </c>
      <c r="H7" s="319">
        <f>'przedsiewziecia UE'!M564</f>
        <v>0</v>
      </c>
      <c r="I7" s="319">
        <f>'przedsiewziecia UE'!M565</f>
        <v>0</v>
      </c>
      <c r="M7">
        <v>1</v>
      </c>
    </row>
    <row r="8" spans="1:13">
      <c r="A8" s="318" t="s">
        <v>104</v>
      </c>
      <c r="B8" s="318"/>
      <c r="C8" s="319">
        <f t="shared" si="1"/>
        <v>231335.94000000003</v>
      </c>
      <c r="D8" s="319">
        <f>'przedsiewziecia UE'!M355+'przedsiewziecia UE'!M364+'przedsiewziecia UE'!M373+'przedsiewziecia UE'!M382+'przedsiewziecia UE'!M391+'przedsiewziecia UE'!M400+'przedsiewziecia UE'!M409+'przedsiewziecia UE'!M418+'przedsiewziecia UE'!M427+'przedsiewziecia UE'!M436+'[1]Załącznik 9'!$I$32</f>
        <v>3533.26</v>
      </c>
      <c r="E8" s="319">
        <f>'przedsiewziecia UE'!M356+'przedsiewziecia UE'!M365+'przedsiewziecia UE'!M374+'przedsiewziecia UE'!M383+'przedsiewziecia UE'!M392+'przedsiewziecia UE'!M401+'przedsiewziecia UE'!M410+'przedsiewziecia UE'!M419+'przedsiewziecia UE'!M428+'przedsiewziecia UE'!M437</f>
        <v>227802.68000000002</v>
      </c>
      <c r="F8" s="319">
        <f>'przedsiewziecia UE'!M357+'przedsiewziecia UE'!M366+'przedsiewziecia UE'!M375+'przedsiewziecia UE'!M384+'przedsiewziecia UE'!M393+'przedsiewziecia UE'!M402+'przedsiewziecia UE'!M411+'przedsiewziecia UE'!M420+'przedsiewziecia UE'!M429+'przedsiewziecia UE'!M438</f>
        <v>0</v>
      </c>
      <c r="G8" s="319">
        <f>'przedsiewziecia UE'!M358+'przedsiewziecia UE'!M367+'przedsiewziecia UE'!M376+'przedsiewziecia UE'!M385+'przedsiewziecia UE'!M394+'przedsiewziecia UE'!M403+'przedsiewziecia UE'!M412+'przedsiewziecia UE'!M421+'przedsiewziecia UE'!M430+'przedsiewziecia UE'!M439</f>
        <v>0</v>
      </c>
      <c r="H8" s="319">
        <f>'przedsiewziecia UE'!M359+'przedsiewziecia UE'!M368+'przedsiewziecia UE'!M377+'przedsiewziecia UE'!M386+'przedsiewziecia UE'!M395+'przedsiewziecia UE'!M404+'przedsiewziecia UE'!M413+'przedsiewziecia UE'!M422+'przedsiewziecia UE'!M431+'przedsiewziecia UE'!M440</f>
        <v>0</v>
      </c>
      <c r="I8" s="319">
        <f>'przedsiewziecia UE'!M360+'przedsiewziecia UE'!M369+'przedsiewziecia UE'!M378+'przedsiewziecia UE'!M387+'przedsiewziecia UE'!M396+'przedsiewziecia UE'!M405+'przedsiewziecia UE'!M414+'przedsiewziecia UE'!M423+'przedsiewziecia UE'!M432+'przedsiewziecia UE'!M441</f>
        <v>0</v>
      </c>
      <c r="M8">
        <v>11</v>
      </c>
    </row>
    <row r="9" spans="1:13">
      <c r="A9" s="318" t="s">
        <v>476</v>
      </c>
      <c r="B9" s="318"/>
      <c r="C9" s="319">
        <f t="shared" si="1"/>
        <v>784596.68</v>
      </c>
      <c r="D9" s="319">
        <f>'przedsiewziecia UE'!M445+'przedsiewziecia UE'!M455+'przedsiewziecia UE'!M465+'przedsiewziecia UE'!M474+'przedsiewziecia UE'!M483</f>
        <v>15734.8</v>
      </c>
      <c r="E9" s="319">
        <f>'przedsiewziecia UE'!M446+'przedsiewziecia UE'!M456+'przedsiewziecia UE'!M466+'przedsiewziecia UE'!M475+'przedsiewziecia UE'!M484</f>
        <v>768861.88</v>
      </c>
      <c r="F9" s="319">
        <f>'przedsiewziecia UE'!M447+'przedsiewziecia UE'!M457+'przedsiewziecia UE'!M467+'przedsiewziecia UE'!M476+'przedsiewziecia UE'!M485</f>
        <v>0</v>
      </c>
      <c r="G9" s="319">
        <f>'przedsiewziecia UE'!M448+'przedsiewziecia UE'!M458+'przedsiewziecia UE'!M468+'przedsiewziecia UE'!M477+'przedsiewziecia UE'!M486</f>
        <v>0</v>
      </c>
      <c r="H9" s="319">
        <f>'przedsiewziecia UE'!M449+'przedsiewziecia UE'!M459+'przedsiewziecia UE'!M469+'przedsiewziecia UE'!M478+'przedsiewziecia UE'!M487</f>
        <v>0</v>
      </c>
      <c r="I9" s="319">
        <f>'przedsiewziecia UE'!M450+'przedsiewziecia UE'!M460+'przedsiewziecia UE'!M470+'przedsiewziecia UE'!M479+'przedsiewziecia UE'!M488</f>
        <v>0</v>
      </c>
      <c r="M9">
        <v>5</v>
      </c>
    </row>
    <row r="10" spans="1:13">
      <c r="A10" s="318"/>
      <c r="B10" s="318"/>
      <c r="C10" s="319"/>
      <c r="D10" s="319"/>
      <c r="E10" s="319"/>
      <c r="F10" s="319"/>
      <c r="G10" s="319"/>
      <c r="H10" s="319"/>
      <c r="I10" s="319"/>
    </row>
    <row r="11" spans="1:13">
      <c r="C11" s="319"/>
      <c r="D11" s="319"/>
      <c r="E11" s="319"/>
      <c r="F11" s="319"/>
      <c r="G11" s="319"/>
      <c r="H11" s="319"/>
      <c r="I11" s="319"/>
    </row>
    <row r="12" spans="1:13" s="321" customFormat="1">
      <c r="A12" s="321" t="s">
        <v>475</v>
      </c>
      <c r="C12" s="322">
        <f t="shared" ref="C12:C17" si="2">SUM(D12:I12)</f>
        <v>209837739.65000001</v>
      </c>
      <c r="D12" s="322">
        <f t="shared" ref="D12:I12" si="3">SUM(D13:D17)</f>
        <v>6244546.2599999998</v>
      </c>
      <c r="E12" s="322">
        <f t="shared" si="3"/>
        <v>136756462.41999999</v>
      </c>
      <c r="F12" s="322">
        <f t="shared" si="3"/>
        <v>58600803.039999999</v>
      </c>
      <c r="G12" s="322">
        <f t="shared" si="3"/>
        <v>4271909.3600000003</v>
      </c>
      <c r="H12" s="322">
        <f t="shared" si="3"/>
        <v>29119.02</v>
      </c>
      <c r="I12" s="322">
        <f t="shared" si="3"/>
        <v>3934899.5500000003</v>
      </c>
      <c r="M12" s="321">
        <f>SUM(M13:M17)</f>
        <v>29</v>
      </c>
    </row>
    <row r="13" spans="1:13">
      <c r="A13" s="318" t="s">
        <v>473</v>
      </c>
      <c r="B13" s="318"/>
      <c r="C13" s="319">
        <f t="shared" si="2"/>
        <v>114045625.22999999</v>
      </c>
      <c r="D13" s="319">
        <f>'przedsiewziecia UE'!M665+'przedsiewziecia UE'!M715+'przedsiewziecia UE'!M725+'przedsiewziecia UE'!M734+'przedsiewziecia UE'!M927+'przedsiewziecia UE'!M947</f>
        <v>3190739.4099999997</v>
      </c>
      <c r="E13" s="319">
        <f>'przedsiewziecia UE'!M666+'przedsiewziecia UE'!M716+'przedsiewziecia UE'!M726+'przedsiewziecia UE'!M735+'przedsiewziecia UE'!M928+'przedsiewziecia UE'!M948</f>
        <v>77759121.649999991</v>
      </c>
      <c r="F13" s="319">
        <f>'przedsiewziecia UE'!M667+'przedsiewziecia UE'!M717+'przedsiewziecia UE'!M727+'przedsiewziecia UE'!M736+'przedsiewziecia UE'!M929+'przedsiewziecia UE'!M949</f>
        <v>32081863.880000003</v>
      </c>
      <c r="G13" s="319">
        <f>'przedsiewziecia UE'!M668+'przedsiewziecia UE'!M718+'przedsiewziecia UE'!M728+'przedsiewziecia UE'!M737+'przedsiewziecia UE'!M930+'przedsiewziecia UE'!M950</f>
        <v>799.24</v>
      </c>
      <c r="H13" s="319">
        <f>'przedsiewziecia UE'!M669+'przedsiewziecia UE'!M719+'przedsiewziecia UE'!M729+'przedsiewziecia UE'!M738+'przedsiewziecia UE'!M931+'przedsiewziecia UE'!M951</f>
        <v>0</v>
      </c>
      <c r="I13" s="319">
        <f>'przedsiewziecia UE'!M670+'przedsiewziecia UE'!M720+'przedsiewziecia UE'!M730+'przedsiewziecia UE'!M739+'przedsiewziecia UE'!M932+'przedsiewziecia UE'!M952</f>
        <v>1013101.05</v>
      </c>
      <c r="M13">
        <v>6</v>
      </c>
    </row>
    <row r="14" spans="1:13">
      <c r="A14" s="318" t="s">
        <v>474</v>
      </c>
      <c r="B14" s="318"/>
      <c r="C14" s="319">
        <f t="shared" si="2"/>
        <v>78284046.530000001</v>
      </c>
      <c r="D14" s="319">
        <f>'przedsiewziecia UE'!M588+'przedsiewziecia UE'!M602+'przedsiewziecia UE'!M647+'przedsiewziecia UE'!M744+'przedsiewziecia UE'!M753+'przedsiewziecia UE'!M763+'przedsiewziecia UE'!M772+'przedsiewziecia UE'!M783+'przedsiewziecia UE'!M794+'przedsiewziecia UE'!M804+'przedsiewziecia UE'!M815+'przedsiewziecia UE'!M825+'przedsiewziecia UE'!M836+'przedsiewziecia UE'!M846+'przedsiewziecia UE'!M857+'przedsiewziecia UE'!M867+'przedsiewziecia UE'!M879+'przedsiewziecia UE'!M889+'przedsiewziecia UE'!M909</f>
        <v>2909646.9</v>
      </c>
      <c r="E14" s="319">
        <f>'przedsiewziecia UE'!M589+'przedsiewziecia UE'!M603+'przedsiewziecia UE'!M648+'przedsiewziecia UE'!M745+'przedsiewziecia UE'!M754+'przedsiewziecia UE'!M764+'przedsiewziecia UE'!M773+'przedsiewziecia UE'!M784+'przedsiewziecia UE'!M795+'przedsiewziecia UE'!M805+'przedsiewziecia UE'!M816+'przedsiewziecia UE'!M826+'przedsiewziecia UE'!M837+'przedsiewziecia UE'!M847+'przedsiewziecia UE'!M858+'przedsiewziecia UE'!M868+'przedsiewziecia UE'!M880+'przedsiewziecia UE'!M890+'przedsiewziecia UE'!M910</f>
        <v>46494683.209999993</v>
      </c>
      <c r="F14" s="319">
        <f>'przedsiewziecia UE'!M590+'przedsiewziecia UE'!M604+'przedsiewziecia UE'!M649+'przedsiewziecia UE'!M746+'przedsiewziecia UE'!M755+'przedsiewziecia UE'!M765+'przedsiewziecia UE'!M774+'przedsiewziecia UE'!M785+'przedsiewziecia UE'!M796+'przedsiewziecia UE'!M806+'przedsiewziecia UE'!M817+'przedsiewziecia UE'!M827+'przedsiewziecia UE'!M838+'przedsiewziecia UE'!M848+'przedsiewziecia UE'!M859+'przedsiewziecia UE'!M869+'przedsiewziecia UE'!M881+'przedsiewziecia UE'!M891+'przedsiewziecia UE'!M911</f>
        <v>23930197.759999998</v>
      </c>
      <c r="G14" s="319">
        <f>'przedsiewziecia UE'!M591+'przedsiewziecia UE'!M605+'przedsiewziecia UE'!M650+'przedsiewziecia UE'!M747+'przedsiewziecia UE'!M756+'przedsiewziecia UE'!M766+'przedsiewziecia UE'!M775+'przedsiewziecia UE'!M786+'przedsiewziecia UE'!M797+'przedsiewziecia UE'!M807+'przedsiewziecia UE'!M818+'przedsiewziecia UE'!M828+'przedsiewziecia UE'!M839+'przedsiewziecia UE'!M849+'przedsiewziecia UE'!M860+'przedsiewziecia UE'!M870+'przedsiewziecia UE'!M882+'przedsiewziecia UE'!M892+'przedsiewziecia UE'!M912</f>
        <v>2064758.76</v>
      </c>
      <c r="H14" s="319">
        <f>'przedsiewziecia UE'!M592+'przedsiewziecia UE'!M606+'przedsiewziecia UE'!M651+'przedsiewziecia UE'!M748+'przedsiewziecia UE'!M757+'przedsiewziecia UE'!M767+'przedsiewziecia UE'!M776+'przedsiewziecia UE'!M787+'przedsiewziecia UE'!M798+'przedsiewziecia UE'!M808+'przedsiewziecia UE'!M819+'przedsiewziecia UE'!M829+'przedsiewziecia UE'!M840+'przedsiewziecia UE'!M850+'przedsiewziecia UE'!M861+'przedsiewziecia UE'!M871+'przedsiewziecia UE'!M883+'przedsiewziecia UE'!M893+'przedsiewziecia UE'!M913</f>
        <v>0</v>
      </c>
      <c r="I14" s="319">
        <f>'przedsiewziecia UE'!M593+'przedsiewziecia UE'!M607+'przedsiewziecia UE'!M652+'przedsiewziecia UE'!M749+'przedsiewziecia UE'!M758+'przedsiewziecia UE'!M768+'przedsiewziecia UE'!M777+'przedsiewziecia UE'!M788+'przedsiewziecia UE'!M799+'przedsiewziecia UE'!M809+'przedsiewziecia UE'!M820+'przedsiewziecia UE'!M830+'przedsiewziecia UE'!M841+'przedsiewziecia UE'!M851+'przedsiewziecia UE'!M862+'przedsiewziecia UE'!M872+'przedsiewziecia UE'!M884+'przedsiewziecia UE'!M894+'przedsiewziecia UE'!M914</f>
        <v>2884759.9</v>
      </c>
      <c r="M14">
        <v>19</v>
      </c>
    </row>
    <row r="15" spans="1:13">
      <c r="A15" s="318" t="s">
        <v>472</v>
      </c>
      <c r="B15" s="318"/>
      <c r="C15" s="319">
        <f t="shared" si="2"/>
        <v>17324433.630000003</v>
      </c>
      <c r="D15" s="319">
        <f>'przedsiewziecia UE'!M623</f>
        <v>0</v>
      </c>
      <c r="E15" s="319">
        <f>'przedsiewziecia UE'!M624</f>
        <v>12469104.4</v>
      </c>
      <c r="F15" s="319">
        <f>'przedsiewziecia UE'!M625</f>
        <v>2588741.4</v>
      </c>
      <c r="G15" s="319">
        <f>'przedsiewziecia UE'!M626</f>
        <v>2200430.21</v>
      </c>
      <c r="H15" s="319">
        <f>'przedsiewziecia UE'!M627</f>
        <v>29119.02</v>
      </c>
      <c r="I15" s="319">
        <f>'przedsiewziecia UE'!M628</f>
        <v>37038.6</v>
      </c>
      <c r="M15">
        <v>1</v>
      </c>
    </row>
    <row r="16" spans="1:13">
      <c r="A16" s="318" t="s">
        <v>477</v>
      </c>
      <c r="B16" s="318"/>
      <c r="C16" s="319">
        <f t="shared" si="2"/>
        <v>144159.95000000001</v>
      </c>
      <c r="D16" s="319">
        <f>'przedsiewziecia UE'!M706</f>
        <v>144159.95000000001</v>
      </c>
      <c r="E16" s="319">
        <f>'przedsiewziecia UE'!M707</f>
        <v>0</v>
      </c>
      <c r="F16" s="319">
        <f>'przedsiewziecia UE'!M708</f>
        <v>0</v>
      </c>
      <c r="G16" s="319">
        <f>'przedsiewziecia UE'!M709</f>
        <v>0</v>
      </c>
      <c r="H16" s="319">
        <f>'przedsiewziecia UE'!M710</f>
        <v>0</v>
      </c>
      <c r="I16" s="319">
        <f>'przedsiewziecia UE'!M711</f>
        <v>0</v>
      </c>
      <c r="M16">
        <v>1</v>
      </c>
    </row>
    <row r="17" spans="1:13">
      <c r="A17" s="318" t="s">
        <v>471</v>
      </c>
      <c r="B17" s="318"/>
      <c r="C17" s="319">
        <f t="shared" si="2"/>
        <v>39474.31</v>
      </c>
      <c r="D17" s="319">
        <f>'[1]Załącznik 9'!$I$53+'[1]Załącznik 9'!$I$61</f>
        <v>0</v>
      </c>
      <c r="E17" s="319">
        <f>'[1]Załącznik 9'!$I$54+'[1]Załącznik 9'!$I$62</f>
        <v>33553.159999999996</v>
      </c>
      <c r="F17" s="319">
        <f>'[1]Załącznik 9'!$I$55+'[1]Załącznik 9'!$I$63</f>
        <v>0</v>
      </c>
      <c r="G17" s="319">
        <f>'[1]Załącznik 9'!$I$56+'[1]Załącznik 9'!$I$64</f>
        <v>5921.15</v>
      </c>
      <c r="H17" s="319"/>
      <c r="I17" s="319"/>
      <c r="M17">
        <v>2</v>
      </c>
    </row>
    <row r="20" spans="1:13" s="321" customFormat="1">
      <c r="A20" s="321" t="s">
        <v>478</v>
      </c>
      <c r="C20" s="322">
        <f>SUM(D20:I20)</f>
        <v>218018231.66999999</v>
      </c>
      <c r="D20" s="322">
        <f t="shared" ref="D20:I20" si="4">SUM(D21:D28)</f>
        <v>6631313.1599999983</v>
      </c>
      <c r="E20" s="322">
        <f t="shared" si="4"/>
        <v>144096325.77999997</v>
      </c>
      <c r="F20" s="322">
        <f t="shared" si="4"/>
        <v>58600803.039999999</v>
      </c>
      <c r="G20" s="322">
        <f t="shared" si="4"/>
        <v>4725771.12</v>
      </c>
      <c r="H20" s="322">
        <f t="shared" si="4"/>
        <v>29119.02</v>
      </c>
      <c r="I20" s="322">
        <f t="shared" si="4"/>
        <v>3934899.5500000003</v>
      </c>
    </row>
    <row r="21" spans="1:13">
      <c r="A21" t="s">
        <v>473</v>
      </c>
      <c r="C21" s="319">
        <f t="shared" ref="C21:C28" si="5">SUM(D21:I21)</f>
        <v>114135269.06999999</v>
      </c>
      <c r="D21" s="319">
        <f t="shared" ref="D21:I22" si="6">D5+D13</f>
        <v>3198462.7899999996</v>
      </c>
      <c r="E21" s="319">
        <f t="shared" si="6"/>
        <v>77836488.989999995</v>
      </c>
      <c r="F21" s="319">
        <f t="shared" si="6"/>
        <v>32081863.880000003</v>
      </c>
      <c r="G21" s="319">
        <f t="shared" si="6"/>
        <v>5352.36</v>
      </c>
      <c r="H21" s="319">
        <f t="shared" si="6"/>
        <v>0</v>
      </c>
      <c r="I21" s="319">
        <f t="shared" si="6"/>
        <v>1013101.05</v>
      </c>
    </row>
    <row r="22" spans="1:13">
      <c r="A22" t="s">
        <v>474</v>
      </c>
      <c r="C22" s="319">
        <f t="shared" si="5"/>
        <v>78483258.980000004</v>
      </c>
      <c r="D22" s="319">
        <f t="shared" si="6"/>
        <v>2946336.59</v>
      </c>
      <c r="E22" s="319">
        <f t="shared" si="6"/>
        <v>46657205.969999991</v>
      </c>
      <c r="F22" s="319">
        <f t="shared" si="6"/>
        <v>23930197.759999998</v>
      </c>
      <c r="G22" s="319">
        <f t="shared" si="6"/>
        <v>2064758.76</v>
      </c>
      <c r="H22" s="319">
        <f t="shared" si="6"/>
        <v>0</v>
      </c>
      <c r="I22" s="319">
        <f t="shared" si="6"/>
        <v>2884759.9</v>
      </c>
    </row>
    <row r="23" spans="1:13">
      <c r="A23" t="s">
        <v>472</v>
      </c>
      <c r="C23" s="319">
        <f t="shared" si="5"/>
        <v>17544796.500000004</v>
      </c>
      <c r="D23" s="319">
        <f t="shared" ref="D23:I23" si="7">D4+D15</f>
        <v>8829.39</v>
      </c>
      <c r="E23" s="319">
        <f t="shared" si="7"/>
        <v>12648907.9</v>
      </c>
      <c r="F23" s="319">
        <f t="shared" si="7"/>
        <v>2588741.4</v>
      </c>
      <c r="G23" s="319">
        <f t="shared" si="7"/>
        <v>2232160.19</v>
      </c>
      <c r="H23" s="319">
        <f t="shared" si="7"/>
        <v>29119.02</v>
      </c>
      <c r="I23" s="319">
        <f t="shared" si="7"/>
        <v>37038.6</v>
      </c>
    </row>
    <row r="24" spans="1:13">
      <c r="A24" t="s">
        <v>471</v>
      </c>
      <c r="C24" s="319">
        <f t="shared" si="5"/>
        <v>6660789.4999999991</v>
      </c>
      <c r="D24" s="319">
        <f t="shared" ref="D24:I24" si="8">D3+D17</f>
        <v>307451.37</v>
      </c>
      <c r="E24" s="319">
        <f t="shared" si="8"/>
        <v>5929838.3199999994</v>
      </c>
      <c r="F24" s="319">
        <f t="shared" si="8"/>
        <v>0</v>
      </c>
      <c r="G24" s="319">
        <f t="shared" si="8"/>
        <v>423499.81</v>
      </c>
      <c r="H24" s="319">
        <f t="shared" si="8"/>
        <v>0</v>
      </c>
      <c r="I24" s="319">
        <f t="shared" si="8"/>
        <v>0</v>
      </c>
    </row>
    <row r="25" spans="1:13">
      <c r="A25" t="s">
        <v>477</v>
      </c>
      <c r="C25" s="319">
        <f t="shared" si="5"/>
        <v>144159.95000000001</v>
      </c>
      <c r="D25" s="319">
        <f t="shared" ref="D25:I25" si="9">D16</f>
        <v>144159.95000000001</v>
      </c>
      <c r="E25" s="319">
        <f t="shared" si="9"/>
        <v>0</v>
      </c>
      <c r="F25" s="319">
        <f t="shared" si="9"/>
        <v>0</v>
      </c>
      <c r="G25" s="319">
        <f t="shared" si="9"/>
        <v>0</v>
      </c>
      <c r="H25" s="319">
        <f t="shared" si="9"/>
        <v>0</v>
      </c>
      <c r="I25" s="319">
        <f t="shared" si="9"/>
        <v>0</v>
      </c>
    </row>
    <row r="26" spans="1:13">
      <c r="A26" t="s">
        <v>145</v>
      </c>
      <c r="C26" s="319">
        <f t="shared" si="5"/>
        <v>34025.050000000003</v>
      </c>
      <c r="D26" s="319">
        <f t="shared" ref="D26:I28" si="10">D7</f>
        <v>6805.01</v>
      </c>
      <c r="E26" s="319">
        <f t="shared" si="10"/>
        <v>27220.04</v>
      </c>
      <c r="F26" s="319">
        <f t="shared" si="10"/>
        <v>0</v>
      </c>
      <c r="G26" s="319">
        <f t="shared" si="10"/>
        <v>0</v>
      </c>
      <c r="H26" s="319">
        <f t="shared" si="10"/>
        <v>0</v>
      </c>
      <c r="I26" s="319">
        <f t="shared" si="10"/>
        <v>0</v>
      </c>
    </row>
    <row r="27" spans="1:13">
      <c r="A27" t="s">
        <v>104</v>
      </c>
      <c r="C27" s="319">
        <f t="shared" si="5"/>
        <v>231335.94000000003</v>
      </c>
      <c r="D27" s="319">
        <f t="shared" si="10"/>
        <v>3533.26</v>
      </c>
      <c r="E27" s="319">
        <f t="shared" si="10"/>
        <v>227802.68000000002</v>
      </c>
      <c r="F27" s="319">
        <f t="shared" si="10"/>
        <v>0</v>
      </c>
      <c r="G27" s="319">
        <f t="shared" si="10"/>
        <v>0</v>
      </c>
      <c r="H27" s="319">
        <f t="shared" si="10"/>
        <v>0</v>
      </c>
      <c r="I27" s="319">
        <f t="shared" si="10"/>
        <v>0</v>
      </c>
    </row>
    <row r="28" spans="1:13">
      <c r="A28" t="s">
        <v>476</v>
      </c>
      <c r="C28" s="319">
        <f t="shared" si="5"/>
        <v>784596.68</v>
      </c>
      <c r="D28" s="319">
        <f t="shared" si="10"/>
        <v>15734.8</v>
      </c>
      <c r="E28" s="319">
        <f t="shared" si="10"/>
        <v>768861.88</v>
      </c>
      <c r="F28" s="319">
        <f t="shared" si="10"/>
        <v>0</v>
      </c>
      <c r="G28" s="319">
        <f t="shared" si="10"/>
        <v>0</v>
      </c>
      <c r="H28" s="319">
        <f t="shared" si="10"/>
        <v>0</v>
      </c>
      <c r="I28" s="319">
        <f t="shared" si="10"/>
        <v>0</v>
      </c>
    </row>
    <row r="30" spans="1:13">
      <c r="A30" s="321" t="s">
        <v>478</v>
      </c>
      <c r="B30" s="321"/>
      <c r="C30" s="326">
        <f>SUM(D30:I30)</f>
        <v>99.999999999999986</v>
      </c>
      <c r="D30" s="326">
        <f t="shared" ref="D30:I30" si="11">D20/$C20*100</f>
        <v>3.0416323943207582</v>
      </c>
      <c r="E30" s="326">
        <f t="shared" si="11"/>
        <v>66.093704492617476</v>
      </c>
      <c r="F30" s="326">
        <f t="shared" si="11"/>
        <v>26.878854392645575</v>
      </c>
      <c r="G30" s="326">
        <f t="shared" si="11"/>
        <v>2.1676036374577574</v>
      </c>
      <c r="H30" s="326">
        <f t="shared" si="11"/>
        <v>1.3356231621984517E-2</v>
      </c>
      <c r="I30" s="326">
        <f t="shared" si="11"/>
        <v>1.8048488513364338</v>
      </c>
    </row>
    <row r="31" spans="1:13">
      <c r="A31" t="s">
        <v>473</v>
      </c>
      <c r="C31" s="325">
        <f t="shared" ref="C31:C38" si="12">SUM(D31:I31)</f>
        <v>100</v>
      </c>
      <c r="D31" s="325">
        <f t="shared" ref="D31:I31" si="13">D21/$C21*100</f>
        <v>2.8023439345802559</v>
      </c>
      <c r="E31" s="325">
        <f t="shared" si="13"/>
        <v>68.196701706868808</v>
      </c>
      <c r="F31" s="325">
        <f t="shared" si="13"/>
        <v>28.108632976826787</v>
      </c>
      <c r="G31" s="325">
        <f t="shared" si="13"/>
        <v>4.6894882218373344E-3</v>
      </c>
      <c r="H31" s="325">
        <f t="shared" si="13"/>
        <v>0</v>
      </c>
      <c r="I31" s="325">
        <f t="shared" si="13"/>
        <v>0.88763189350231242</v>
      </c>
    </row>
    <row r="32" spans="1:13">
      <c r="A32" t="s">
        <v>474</v>
      </c>
      <c r="C32" s="325">
        <f t="shared" si="12"/>
        <v>99.999999999999986</v>
      </c>
      <c r="D32" s="325">
        <f t="shared" ref="D32:I32" si="14">D22/$C22*100</f>
        <v>3.7540956228013145</v>
      </c>
      <c r="E32" s="325">
        <f t="shared" si="14"/>
        <v>59.448609265690287</v>
      </c>
      <c r="F32" s="325">
        <f t="shared" si="14"/>
        <v>30.490830874006093</v>
      </c>
      <c r="G32" s="325">
        <f t="shared" si="14"/>
        <v>2.6308269901561623</v>
      </c>
      <c r="H32" s="325">
        <f t="shared" si="14"/>
        <v>0</v>
      </c>
      <c r="I32" s="325">
        <f t="shared" si="14"/>
        <v>3.6756372473461218</v>
      </c>
    </row>
    <row r="33" spans="1:9">
      <c r="A33" t="s">
        <v>472</v>
      </c>
      <c r="C33" s="325">
        <f t="shared" si="12"/>
        <v>99.999999999999972</v>
      </c>
      <c r="D33" s="325">
        <f t="shared" ref="D33:I33" si="15">D23/$C23*100</f>
        <v>5.0324835628614999E-2</v>
      </c>
      <c r="E33" s="325">
        <f t="shared" si="15"/>
        <v>72.094925124950848</v>
      </c>
      <c r="F33" s="325">
        <f t="shared" si="15"/>
        <v>14.755038053590416</v>
      </c>
      <c r="G33" s="325">
        <f t="shared" si="15"/>
        <v>12.722633687999741</v>
      </c>
      <c r="H33" s="325">
        <f t="shared" si="15"/>
        <v>0.16596955114298415</v>
      </c>
      <c r="I33" s="325">
        <f t="shared" si="15"/>
        <v>0.21110874668737248</v>
      </c>
    </row>
    <row r="34" spans="1:9">
      <c r="A34" t="s">
        <v>471</v>
      </c>
      <c r="C34" s="325">
        <f t="shared" si="12"/>
        <v>100</v>
      </c>
      <c r="D34" s="325">
        <f t="shared" ref="D34:I34" si="16">D24/$C24*100</f>
        <v>4.6158397589354836</v>
      </c>
      <c r="E34" s="325">
        <f t="shared" si="16"/>
        <v>89.026057947034658</v>
      </c>
      <c r="F34" s="325">
        <f t="shared" si="16"/>
        <v>0</v>
      </c>
      <c r="G34" s="325">
        <f t="shared" si="16"/>
        <v>6.3581022940298606</v>
      </c>
      <c r="H34" s="325">
        <f t="shared" si="16"/>
        <v>0</v>
      </c>
      <c r="I34" s="325">
        <f t="shared" si="16"/>
        <v>0</v>
      </c>
    </row>
    <row r="35" spans="1:9">
      <c r="A35" t="s">
        <v>477</v>
      </c>
      <c r="C35" s="325">
        <f t="shared" si="12"/>
        <v>100</v>
      </c>
      <c r="D35" s="325">
        <f t="shared" ref="D35:I35" si="17">D25/$C25*100</f>
        <v>100</v>
      </c>
      <c r="E35" s="325">
        <f t="shared" si="17"/>
        <v>0</v>
      </c>
      <c r="F35" s="325">
        <f t="shared" si="17"/>
        <v>0</v>
      </c>
      <c r="G35" s="325">
        <f t="shared" si="17"/>
        <v>0</v>
      </c>
      <c r="H35" s="325">
        <f t="shared" si="17"/>
        <v>0</v>
      </c>
      <c r="I35" s="325">
        <f t="shared" si="17"/>
        <v>0</v>
      </c>
    </row>
    <row r="36" spans="1:9">
      <c r="A36" t="s">
        <v>145</v>
      </c>
      <c r="C36" s="325">
        <f t="shared" si="12"/>
        <v>100</v>
      </c>
      <c r="D36" s="325">
        <f t="shared" ref="D36:I36" si="18">D26/$C26*100</f>
        <v>20</v>
      </c>
      <c r="E36" s="325">
        <f t="shared" si="18"/>
        <v>80</v>
      </c>
      <c r="F36" s="325">
        <f t="shared" si="18"/>
        <v>0</v>
      </c>
      <c r="G36" s="325">
        <f t="shared" si="18"/>
        <v>0</v>
      </c>
      <c r="H36" s="325">
        <f t="shared" si="18"/>
        <v>0</v>
      </c>
      <c r="I36" s="325">
        <f t="shared" si="18"/>
        <v>0</v>
      </c>
    </row>
    <row r="37" spans="1:9">
      <c r="A37" t="s">
        <v>104</v>
      </c>
      <c r="C37" s="325">
        <f t="shared" si="12"/>
        <v>100</v>
      </c>
      <c r="D37" s="325">
        <f t="shared" ref="D37:I37" si="19">D27/$C27*100</f>
        <v>1.5273286113692492</v>
      </c>
      <c r="E37" s="325">
        <f t="shared" si="19"/>
        <v>98.472671388630744</v>
      </c>
      <c r="F37" s="325">
        <f t="shared" si="19"/>
        <v>0</v>
      </c>
      <c r="G37" s="325">
        <f t="shared" si="19"/>
        <v>0</v>
      </c>
      <c r="H37" s="325">
        <f t="shared" si="19"/>
        <v>0</v>
      </c>
      <c r="I37" s="325">
        <f t="shared" si="19"/>
        <v>0</v>
      </c>
    </row>
    <row r="38" spans="1:9">
      <c r="A38" t="s">
        <v>476</v>
      </c>
      <c r="C38" s="325">
        <f t="shared" si="12"/>
        <v>100</v>
      </c>
      <c r="D38" s="325">
        <f t="shared" ref="D38:I38" si="20">D28/$C28*100</f>
        <v>2.0054634949513166</v>
      </c>
      <c r="E38" s="325">
        <f t="shared" si="20"/>
        <v>97.994536505048686</v>
      </c>
      <c r="F38" s="325">
        <f t="shared" si="20"/>
        <v>0</v>
      </c>
      <c r="G38" s="325">
        <f t="shared" si="20"/>
        <v>0</v>
      </c>
      <c r="H38" s="325">
        <f t="shared" si="20"/>
        <v>0</v>
      </c>
      <c r="I38" s="325">
        <f t="shared" si="20"/>
        <v>0</v>
      </c>
    </row>
    <row r="39" spans="1:9">
      <c r="D39" s="325"/>
      <c r="E39" s="325"/>
      <c r="F39" s="325"/>
      <c r="G39" s="325"/>
      <c r="H39" s="325"/>
      <c r="I39" s="325"/>
    </row>
    <row r="40" spans="1:9">
      <c r="D40" s="325"/>
      <c r="E40" s="325"/>
      <c r="F40" s="325"/>
      <c r="G40" s="325"/>
      <c r="H40" s="325"/>
      <c r="I40" s="325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8" sqref="D28"/>
    </sheetView>
  </sheetViews>
  <sheetFormatPr defaultRowHeight="12.75"/>
  <cols>
    <col min="1" max="1" width="17.5703125" style="1" customWidth="1"/>
    <col min="2" max="2" width="12.7109375" style="331" customWidth="1"/>
    <col min="3" max="6" width="12.7109375" style="1" customWidth="1"/>
    <col min="7" max="16384" width="9.140625" style="1"/>
  </cols>
  <sheetData>
    <row r="1" spans="1:6" s="335" customFormat="1" ht="15" customHeight="1">
      <c r="A1" s="396"/>
      <c r="B1" s="401" t="s">
        <v>490</v>
      </c>
      <c r="C1" s="397" t="s">
        <v>489</v>
      </c>
      <c r="D1" s="399" t="s">
        <v>488</v>
      </c>
      <c r="E1" s="399"/>
      <c r="F1" s="400"/>
    </row>
    <row r="2" spans="1:6" s="337" customFormat="1" ht="15" customHeight="1">
      <c r="A2" s="396"/>
      <c r="B2" s="402"/>
      <c r="C2" s="398"/>
      <c r="D2" s="336" t="s">
        <v>479</v>
      </c>
      <c r="E2" s="336" t="s">
        <v>480</v>
      </c>
      <c r="F2" s="336" t="s">
        <v>484</v>
      </c>
    </row>
    <row r="3" spans="1:6" ht="18" customHeight="1">
      <c r="A3" s="327" t="s">
        <v>487</v>
      </c>
      <c r="B3" s="332">
        <f>SUM(B4:B10)</f>
        <v>45</v>
      </c>
      <c r="C3" s="328">
        <f t="shared" ref="C3:C10" si="0">SUM(D3:F3)</f>
        <v>8180492.0199999986</v>
      </c>
      <c r="D3" s="328">
        <f>SUM(D4:D10)</f>
        <v>386766.9</v>
      </c>
      <c r="E3" s="328">
        <f>SUM(E4:E10)</f>
        <v>7339863.3599999985</v>
      </c>
      <c r="F3" s="328">
        <f>SUM(F4:F10)</f>
        <v>453861.75999999995</v>
      </c>
    </row>
    <row r="4" spans="1:6" ht="18" customHeight="1">
      <c r="A4" s="329" t="s">
        <v>471</v>
      </c>
      <c r="B4" s="333">
        <v>21</v>
      </c>
      <c r="C4" s="330">
        <f t="shared" si="0"/>
        <v>6621315.1899999995</v>
      </c>
      <c r="D4" s="330">
        <f>'przedsiewziecia UE'!M50+'przedsiewziecia UE'!M66+'przedsiewziecia UE'!M76+'przedsiewziecia UE'!M118+'przedsiewziecia UE'!M173+'przedsiewziecia UE'!M183+'przedsiewziecia UE'!M203+'przedsiewziecia UE'!M213+'przedsiewziecia UE'!M226+'przedsiewziecia UE'!M240+'przedsiewziecia UE'!M249+'przedsiewziecia UE'!M259+'przedsiewziecia UE'!M268+'przedsiewziecia UE'!M277+'przedsiewziecia UE'!M286+'przedsiewziecia UE'!M297+'przedsiewziecia UE'!M306+'przedsiewziecia UE'!M315+'przedsiewziecia UE'!M324+'przedsiewziecia UE'!M337+'przedsiewziecia UE'!M346</f>
        <v>307451.37</v>
      </c>
      <c r="E4" s="330">
        <f>'przedsiewziecia UE'!M51+'przedsiewziecia UE'!M67+'przedsiewziecia UE'!M77+'przedsiewziecia UE'!M119+'przedsiewziecia UE'!M174+'przedsiewziecia UE'!M184+'przedsiewziecia UE'!M204+'przedsiewziecia UE'!M214+'przedsiewziecia UE'!M227+'przedsiewziecia UE'!M241+'przedsiewziecia UE'!M250+'przedsiewziecia UE'!M260+'przedsiewziecia UE'!M269+'przedsiewziecia UE'!M278+'przedsiewziecia UE'!M287+'przedsiewziecia UE'!M298+'przedsiewziecia UE'!M307+'przedsiewziecia UE'!M316+'przedsiewziecia UE'!M325+'przedsiewziecia UE'!M338+'przedsiewziecia UE'!M347</f>
        <v>5896285.1599999992</v>
      </c>
      <c r="F4" s="330">
        <f>'przedsiewziecia UE'!M53+'przedsiewziecia UE'!M69+'przedsiewziecia UE'!M79+'przedsiewziecia UE'!M121+'przedsiewziecia UE'!M176+'przedsiewziecia UE'!M186+'przedsiewziecia UE'!M206+'przedsiewziecia UE'!M216+'przedsiewziecia UE'!M229+'przedsiewziecia UE'!M243+'przedsiewziecia UE'!M252+'przedsiewziecia UE'!M262+'przedsiewziecia UE'!M271+'przedsiewziecia UE'!M280+'przedsiewziecia UE'!M289+'przedsiewziecia UE'!M300+'przedsiewziecia UE'!M309+'przedsiewziecia UE'!M318+'przedsiewziecia UE'!M327+'przedsiewziecia UE'!M340+'przedsiewziecia UE'!M349</f>
        <v>417578.66</v>
      </c>
    </row>
    <row r="5" spans="1:6" ht="18" customHeight="1">
      <c r="A5" s="329" t="s">
        <v>476</v>
      </c>
      <c r="B5" s="333">
        <v>5</v>
      </c>
      <c r="C5" s="330">
        <f t="shared" si="0"/>
        <v>784596.68</v>
      </c>
      <c r="D5" s="330">
        <f>'przedsiewziecia UE'!M445+'przedsiewziecia UE'!M455+'przedsiewziecia UE'!M465+'przedsiewziecia UE'!M474+'przedsiewziecia UE'!M483</f>
        <v>15734.8</v>
      </c>
      <c r="E5" s="330">
        <f>'przedsiewziecia UE'!M446+'przedsiewziecia UE'!M456+'przedsiewziecia UE'!M466+'przedsiewziecia UE'!M475+'przedsiewziecia UE'!M484</f>
        <v>768861.88</v>
      </c>
      <c r="F5" s="330">
        <f>'przedsiewziecia UE'!M448+'przedsiewziecia UE'!M458+'przedsiewziecia UE'!M468+'przedsiewziecia UE'!M477+'przedsiewziecia UE'!M486</f>
        <v>0</v>
      </c>
    </row>
    <row r="6" spans="1:6" ht="18" customHeight="1">
      <c r="A6" s="329" t="s">
        <v>104</v>
      </c>
      <c r="B6" s="333">
        <v>11</v>
      </c>
      <c r="C6" s="330">
        <f t="shared" si="0"/>
        <v>231335.94000000003</v>
      </c>
      <c r="D6" s="330">
        <f>'przedsiewziecia UE'!M355+'przedsiewziecia UE'!M364+'przedsiewziecia UE'!M373+'przedsiewziecia UE'!M382+'przedsiewziecia UE'!M391+'przedsiewziecia UE'!M400+'przedsiewziecia UE'!M409+'przedsiewziecia UE'!M418+'przedsiewziecia UE'!M427+'przedsiewziecia UE'!M436+'[1]Załącznik 9'!$I$32</f>
        <v>3533.26</v>
      </c>
      <c r="E6" s="330">
        <f>'przedsiewziecia UE'!M356+'przedsiewziecia UE'!M365+'przedsiewziecia UE'!M374+'przedsiewziecia UE'!M383+'przedsiewziecia UE'!M392+'przedsiewziecia UE'!M401+'przedsiewziecia UE'!M410+'przedsiewziecia UE'!M419+'przedsiewziecia UE'!M428+'przedsiewziecia UE'!M437</f>
        <v>227802.68000000002</v>
      </c>
      <c r="F6" s="330">
        <f>'przedsiewziecia UE'!M358+'przedsiewziecia UE'!M367+'przedsiewziecia UE'!M376+'przedsiewziecia UE'!M385+'przedsiewziecia UE'!M394+'przedsiewziecia UE'!M403+'przedsiewziecia UE'!M412+'przedsiewziecia UE'!M421+'przedsiewziecia UE'!M430+'przedsiewziecia UE'!M439</f>
        <v>0</v>
      </c>
    </row>
    <row r="7" spans="1:6" ht="18" customHeight="1">
      <c r="A7" s="329" t="s">
        <v>472</v>
      </c>
      <c r="B7" s="333">
        <v>2</v>
      </c>
      <c r="C7" s="330">
        <f t="shared" si="0"/>
        <v>220362.87000000002</v>
      </c>
      <c r="D7" s="330">
        <f>'przedsiewziecia UE'!M41+'przedsiewziecia UE'!M94</f>
        <v>8829.39</v>
      </c>
      <c r="E7" s="330">
        <f>'przedsiewziecia UE'!M42+'przedsiewziecia UE'!M95</f>
        <v>179803.5</v>
      </c>
      <c r="F7" s="330">
        <f>'przedsiewziecia UE'!M44+'przedsiewziecia UE'!M97</f>
        <v>31729.98</v>
      </c>
    </row>
    <row r="8" spans="1:6" ht="18" customHeight="1">
      <c r="A8" s="329" t="s">
        <v>474</v>
      </c>
      <c r="B8" s="333">
        <v>3</v>
      </c>
      <c r="C8" s="330">
        <f t="shared" si="0"/>
        <v>199212.45</v>
      </c>
      <c r="D8" s="330">
        <f>'przedsiewziecia UE'!M493+'przedsiewziecia UE'!M534+'przedsiewziecia UE'!M547</f>
        <v>36689.69</v>
      </c>
      <c r="E8" s="330">
        <f>'przedsiewziecia UE'!M494+'przedsiewziecia UE'!M535+'przedsiewziecia UE'!M548</f>
        <v>162522.76</v>
      </c>
      <c r="F8" s="330">
        <f>'przedsiewziecia UE'!M496+'przedsiewziecia UE'!M537+'przedsiewziecia UE'!M550</f>
        <v>0</v>
      </c>
    </row>
    <row r="9" spans="1:6" ht="18" customHeight="1">
      <c r="A9" s="329" t="s">
        <v>473</v>
      </c>
      <c r="B9" s="333">
        <v>2</v>
      </c>
      <c r="C9" s="330">
        <f t="shared" si="0"/>
        <v>89643.839999999997</v>
      </c>
      <c r="D9" s="330">
        <f>'przedsiewziecia UE'!M511+'przedsiewziecia UE'!M522</f>
        <v>7723.38</v>
      </c>
      <c r="E9" s="330">
        <f>'przedsiewziecia UE'!M512+'przedsiewziecia UE'!M523</f>
        <v>77367.34</v>
      </c>
      <c r="F9" s="330">
        <f>'przedsiewziecia UE'!M514+'przedsiewziecia UE'!M525</f>
        <v>4553.12</v>
      </c>
    </row>
    <row r="10" spans="1:6" ht="18" customHeight="1">
      <c r="A10" s="329" t="s">
        <v>145</v>
      </c>
      <c r="B10" s="333">
        <v>1</v>
      </c>
      <c r="C10" s="330">
        <f t="shared" si="0"/>
        <v>34025.050000000003</v>
      </c>
      <c r="D10" s="330">
        <f>'przedsiewziecia UE'!M560</f>
        <v>6805.01</v>
      </c>
      <c r="E10" s="330">
        <f>'przedsiewziecia UE'!M561</f>
        <v>27220.04</v>
      </c>
      <c r="F10" s="330">
        <f>'przedsiewziecia UE'!M563</f>
        <v>0</v>
      </c>
    </row>
  </sheetData>
  <mergeCells count="4">
    <mergeCell ref="A1:A2"/>
    <mergeCell ref="C1:C2"/>
    <mergeCell ref="D1:F1"/>
    <mergeCell ref="B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I17"/>
  <sheetViews>
    <sheetView zoomScale="130" zoomScaleNormal="130" workbookViewId="0">
      <selection activeCell="E21" sqref="E21"/>
    </sheetView>
  </sheetViews>
  <sheetFormatPr defaultRowHeight="11.25"/>
  <cols>
    <col min="1" max="1" width="15.28515625" style="335" customWidth="1"/>
    <col min="2" max="2" width="7.42578125" style="338" customWidth="1"/>
    <col min="3" max="3" width="12.28515625" style="335" customWidth="1"/>
    <col min="4" max="4" width="10.7109375" style="335" customWidth="1"/>
    <col min="5" max="5" width="12.28515625" style="335" customWidth="1"/>
    <col min="6" max="6" width="11.7109375" style="335" customWidth="1"/>
    <col min="7" max="7" width="10.7109375" style="335" customWidth="1"/>
    <col min="8" max="8" width="8.7109375" style="335" customWidth="1"/>
    <col min="9" max="9" width="10.7109375" style="335" customWidth="1"/>
    <col min="10" max="16384" width="9.140625" style="335"/>
  </cols>
  <sheetData>
    <row r="10" spans="1:9" s="339" customFormat="1" ht="21" customHeight="1">
      <c r="A10" s="407"/>
      <c r="B10" s="403" t="s">
        <v>496</v>
      </c>
      <c r="C10" s="408" t="s">
        <v>489</v>
      </c>
      <c r="D10" s="405" t="s">
        <v>488</v>
      </c>
      <c r="E10" s="405"/>
      <c r="F10" s="405"/>
      <c r="G10" s="405"/>
      <c r="H10" s="405"/>
      <c r="I10" s="406"/>
    </row>
    <row r="11" spans="1:9" s="340" customFormat="1" ht="21" customHeight="1">
      <c r="A11" s="407"/>
      <c r="B11" s="404"/>
      <c r="C11" s="409"/>
      <c r="D11" s="346" t="s">
        <v>479</v>
      </c>
      <c r="E11" s="346" t="s">
        <v>480</v>
      </c>
      <c r="F11" s="346" t="s">
        <v>481</v>
      </c>
      <c r="G11" s="346" t="s">
        <v>484</v>
      </c>
      <c r="H11" s="346" t="s">
        <v>494</v>
      </c>
      <c r="I11" s="346" t="s">
        <v>495</v>
      </c>
    </row>
    <row r="12" spans="1:9" ht="33.75">
      <c r="A12" s="341" t="s">
        <v>492</v>
      </c>
      <c r="B12" s="342">
        <f>SUM(B13:B17)</f>
        <v>29</v>
      </c>
      <c r="C12" s="343">
        <f t="shared" ref="C12:C17" si="0">SUM(D12:I12)</f>
        <v>209837739.65000001</v>
      </c>
      <c r="D12" s="343">
        <f t="shared" ref="D12:I12" si="1">SUM(D13:D17)</f>
        <v>6244546.2599999998</v>
      </c>
      <c r="E12" s="343">
        <f t="shared" si="1"/>
        <v>136756462.41999999</v>
      </c>
      <c r="F12" s="343">
        <f t="shared" si="1"/>
        <v>58600803.039999999</v>
      </c>
      <c r="G12" s="343">
        <f t="shared" si="1"/>
        <v>4271909.3600000003</v>
      </c>
      <c r="H12" s="343">
        <f t="shared" si="1"/>
        <v>29119.02</v>
      </c>
      <c r="I12" s="343">
        <f t="shared" si="1"/>
        <v>3934899.5500000003</v>
      </c>
    </row>
    <row r="13" spans="1:9" ht="33.75">
      <c r="A13" s="344" t="s">
        <v>119</v>
      </c>
      <c r="B13" s="334">
        <v>6</v>
      </c>
      <c r="C13" s="345">
        <f t="shared" si="0"/>
        <v>114045625.22999999</v>
      </c>
      <c r="D13" s="345">
        <f>'przedsiewziecia UE'!M665+'przedsiewziecia UE'!M715+'przedsiewziecia UE'!M725+'przedsiewziecia UE'!M734+'przedsiewziecia UE'!M927+'przedsiewziecia UE'!M947</f>
        <v>3190739.4099999997</v>
      </c>
      <c r="E13" s="345">
        <f>'przedsiewziecia UE'!M666+'przedsiewziecia UE'!M716+'przedsiewziecia UE'!M726+'przedsiewziecia UE'!M735+'przedsiewziecia UE'!M928+'przedsiewziecia UE'!M948</f>
        <v>77759121.649999991</v>
      </c>
      <c r="F13" s="345">
        <f>'przedsiewziecia UE'!M667+'przedsiewziecia UE'!M717+'przedsiewziecia UE'!M727+'przedsiewziecia UE'!M736+'przedsiewziecia UE'!M929+'przedsiewziecia UE'!M949</f>
        <v>32081863.880000003</v>
      </c>
      <c r="G13" s="345">
        <f>'przedsiewziecia UE'!M668+'przedsiewziecia UE'!M718+'przedsiewziecia UE'!M728+'przedsiewziecia UE'!M737+'przedsiewziecia UE'!M930+'przedsiewziecia UE'!M950</f>
        <v>799.24</v>
      </c>
      <c r="H13" s="345">
        <f>'przedsiewziecia UE'!M669+'przedsiewziecia UE'!M719+'przedsiewziecia UE'!M729+'przedsiewziecia UE'!M738+'przedsiewziecia UE'!M931+'przedsiewziecia UE'!M951</f>
        <v>0</v>
      </c>
      <c r="I13" s="345">
        <f>'przedsiewziecia UE'!M670+'przedsiewziecia UE'!M720+'przedsiewziecia UE'!M730+'przedsiewziecia UE'!M739+'przedsiewziecia UE'!M932+'przedsiewziecia UE'!M952</f>
        <v>1013101.05</v>
      </c>
    </row>
    <row r="14" spans="1:9" ht="45">
      <c r="A14" s="344" t="s">
        <v>113</v>
      </c>
      <c r="B14" s="334">
        <v>19</v>
      </c>
      <c r="C14" s="345">
        <f t="shared" si="0"/>
        <v>78284046.530000001</v>
      </c>
      <c r="D14" s="345">
        <f>'przedsiewziecia UE'!M588+'przedsiewziecia UE'!M602+'przedsiewziecia UE'!M647+'przedsiewziecia UE'!M744+'przedsiewziecia UE'!M753+'przedsiewziecia UE'!M763+'przedsiewziecia UE'!M772+'przedsiewziecia UE'!M783+'przedsiewziecia UE'!M794+'przedsiewziecia UE'!M804+'przedsiewziecia UE'!M815+'przedsiewziecia UE'!M825+'przedsiewziecia UE'!M836+'przedsiewziecia UE'!M846+'przedsiewziecia UE'!M857+'przedsiewziecia UE'!M867+'przedsiewziecia UE'!M879+'przedsiewziecia UE'!M889+'przedsiewziecia UE'!M909</f>
        <v>2909646.9</v>
      </c>
      <c r="E14" s="345">
        <f>'przedsiewziecia UE'!M589+'przedsiewziecia UE'!M603+'przedsiewziecia UE'!M648+'przedsiewziecia UE'!M745+'przedsiewziecia UE'!M754+'przedsiewziecia UE'!M764+'przedsiewziecia UE'!M773+'przedsiewziecia UE'!M784+'przedsiewziecia UE'!M795+'przedsiewziecia UE'!M805+'przedsiewziecia UE'!M816+'przedsiewziecia UE'!M826+'przedsiewziecia UE'!M837+'przedsiewziecia UE'!M847+'przedsiewziecia UE'!M858+'przedsiewziecia UE'!M868+'przedsiewziecia UE'!M880+'przedsiewziecia UE'!M890+'przedsiewziecia UE'!M910</f>
        <v>46494683.209999993</v>
      </c>
      <c r="F14" s="345">
        <f>'przedsiewziecia UE'!M590+'przedsiewziecia UE'!M604+'przedsiewziecia UE'!M649+'przedsiewziecia UE'!M746+'przedsiewziecia UE'!M755+'przedsiewziecia UE'!M765+'przedsiewziecia UE'!M774+'przedsiewziecia UE'!M785+'przedsiewziecia UE'!M796+'przedsiewziecia UE'!M806+'przedsiewziecia UE'!M817+'przedsiewziecia UE'!M827+'przedsiewziecia UE'!M838+'przedsiewziecia UE'!M848+'przedsiewziecia UE'!M859+'przedsiewziecia UE'!M869+'przedsiewziecia UE'!M881+'przedsiewziecia UE'!M891+'przedsiewziecia UE'!M911</f>
        <v>23930197.759999998</v>
      </c>
      <c r="G14" s="345">
        <f>'przedsiewziecia UE'!M591+'przedsiewziecia UE'!M605+'przedsiewziecia UE'!M650+'przedsiewziecia UE'!M747+'przedsiewziecia UE'!M756+'przedsiewziecia UE'!M766+'przedsiewziecia UE'!M775+'przedsiewziecia UE'!M786+'przedsiewziecia UE'!M797+'przedsiewziecia UE'!M807+'przedsiewziecia UE'!M818+'przedsiewziecia UE'!M828+'przedsiewziecia UE'!M839+'przedsiewziecia UE'!M849+'przedsiewziecia UE'!M860+'przedsiewziecia UE'!M870+'przedsiewziecia UE'!M882+'przedsiewziecia UE'!M892+'przedsiewziecia UE'!M912</f>
        <v>2064758.76</v>
      </c>
      <c r="H14" s="345">
        <f>'przedsiewziecia UE'!M592+'przedsiewziecia UE'!M606+'przedsiewziecia UE'!M651+'przedsiewziecia UE'!M748+'przedsiewziecia UE'!M757+'przedsiewziecia UE'!M767+'przedsiewziecia UE'!M776+'przedsiewziecia UE'!M787+'przedsiewziecia UE'!M798+'przedsiewziecia UE'!M808+'przedsiewziecia UE'!M819+'przedsiewziecia UE'!M829+'przedsiewziecia UE'!M840+'przedsiewziecia UE'!M850+'przedsiewziecia UE'!M861+'przedsiewziecia UE'!M871+'przedsiewziecia UE'!M883+'przedsiewziecia UE'!M893+'przedsiewziecia UE'!M913</f>
        <v>0</v>
      </c>
      <c r="I14" s="345">
        <f>'przedsiewziecia UE'!M593+'przedsiewziecia UE'!M607+'przedsiewziecia UE'!M652+'przedsiewziecia UE'!M749+'przedsiewziecia UE'!M758+'przedsiewziecia UE'!M768+'przedsiewziecia UE'!M777+'przedsiewziecia UE'!M788+'przedsiewziecia UE'!M799+'przedsiewziecia UE'!M809+'przedsiewziecia UE'!M820+'przedsiewziecia UE'!M830+'przedsiewziecia UE'!M841+'przedsiewziecia UE'!M851+'przedsiewziecia UE'!M862+'przedsiewziecia UE'!M872+'przedsiewziecia UE'!M884+'przedsiewziecia UE'!M894+'przedsiewziecia UE'!M914</f>
        <v>2884759.9</v>
      </c>
    </row>
    <row r="15" spans="1:9" ht="33.75">
      <c r="A15" s="344" t="s">
        <v>50</v>
      </c>
      <c r="B15" s="334">
        <v>1</v>
      </c>
      <c r="C15" s="345">
        <f t="shared" si="0"/>
        <v>17324433.630000003</v>
      </c>
      <c r="D15" s="345">
        <f>'przedsiewziecia UE'!M623</f>
        <v>0</v>
      </c>
      <c r="E15" s="345">
        <f>'przedsiewziecia UE'!M624</f>
        <v>12469104.4</v>
      </c>
      <c r="F15" s="345">
        <f>'przedsiewziecia UE'!M625</f>
        <v>2588741.4</v>
      </c>
      <c r="G15" s="345">
        <f>'przedsiewziecia UE'!M626</f>
        <v>2200430.21</v>
      </c>
      <c r="H15" s="345">
        <f>'przedsiewziecia UE'!M627</f>
        <v>29119.02</v>
      </c>
      <c r="I15" s="345">
        <f>'przedsiewziecia UE'!M628</f>
        <v>37038.6</v>
      </c>
    </row>
    <row r="16" spans="1:9" ht="33.75">
      <c r="A16" s="344" t="s">
        <v>493</v>
      </c>
      <c r="B16" s="334">
        <v>1</v>
      </c>
      <c r="C16" s="345">
        <f t="shared" si="0"/>
        <v>144159.95000000001</v>
      </c>
      <c r="D16" s="345">
        <f>'przedsiewziecia UE'!M706</f>
        <v>144159.95000000001</v>
      </c>
      <c r="E16" s="345">
        <f>'przedsiewziecia UE'!M707</f>
        <v>0</v>
      </c>
      <c r="F16" s="345">
        <f>'przedsiewziecia UE'!M708</f>
        <v>0</v>
      </c>
      <c r="G16" s="345">
        <f>'przedsiewziecia UE'!M709</f>
        <v>0</v>
      </c>
      <c r="H16" s="345">
        <f>'przedsiewziecia UE'!M710</f>
        <v>0</v>
      </c>
      <c r="I16" s="345">
        <f>'przedsiewziecia UE'!M711</f>
        <v>0</v>
      </c>
    </row>
    <row r="17" spans="1:9" ht="22.5">
      <c r="A17" s="344" t="s">
        <v>57</v>
      </c>
      <c r="B17" s="334">
        <v>2</v>
      </c>
      <c r="C17" s="345">
        <f t="shared" si="0"/>
        <v>39474.31</v>
      </c>
      <c r="D17" s="345">
        <f>'[1]Załącznik 9'!$I$53+'[1]Załącznik 9'!$I$61</f>
        <v>0</v>
      </c>
      <c r="E17" s="345">
        <f>'[1]Załącznik 9'!$I$54+'[1]Załącznik 9'!$I$62</f>
        <v>33553.159999999996</v>
      </c>
      <c r="F17" s="345">
        <f>'[1]Załącznik 9'!$I$55+'[1]Załącznik 9'!$I$63</f>
        <v>0</v>
      </c>
      <c r="G17" s="345">
        <f>'[1]Załącznik 9'!$I$56+'[1]Załącznik 9'!$I$64</f>
        <v>5921.15</v>
      </c>
      <c r="H17" s="345">
        <v>0</v>
      </c>
      <c r="I17" s="345">
        <v>0</v>
      </c>
    </row>
  </sheetData>
  <mergeCells count="4">
    <mergeCell ref="B10:B11"/>
    <mergeCell ref="D10:I10"/>
    <mergeCell ref="A10:A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7" sqref="A7"/>
    </sheetView>
  </sheetViews>
  <sheetFormatPr defaultRowHeight="12.75"/>
  <cols>
    <col min="1" max="1" width="45.7109375" style="1" customWidth="1"/>
    <col min="2" max="2" width="13.7109375" style="331" customWidth="1"/>
    <col min="3" max="3" width="14.7109375" style="1" customWidth="1"/>
    <col min="4" max="16384" width="9.140625" style="1"/>
  </cols>
  <sheetData>
    <row r="1" spans="1:3" s="347" customFormat="1" ht="30.75" customHeight="1">
      <c r="A1" s="348"/>
      <c r="B1" s="349" t="s">
        <v>490</v>
      </c>
      <c r="C1" s="349" t="s">
        <v>489</v>
      </c>
    </row>
    <row r="2" spans="1:3" s="238" customFormat="1" ht="18" customHeight="1">
      <c r="A2" s="327" t="s">
        <v>501</v>
      </c>
      <c r="B2" s="332">
        <f>SUM(B3:B7)</f>
        <v>45</v>
      </c>
      <c r="C2" s="328">
        <f>SUM(C3:C7)</f>
        <v>8180492.0199999996</v>
      </c>
    </row>
    <row r="3" spans="1:3" ht="18" customHeight="1">
      <c r="A3" s="329" t="s">
        <v>499</v>
      </c>
      <c r="B3" s="350">
        <v>32</v>
      </c>
      <c r="C3" s="330">
        <f>'przedsiewziecia UE'!M193+'[1]Załącznik 9'!$I$31</f>
        <v>4397511.04</v>
      </c>
    </row>
    <row r="4" spans="1:3" ht="18" customHeight="1">
      <c r="A4" s="329" t="s">
        <v>497</v>
      </c>
      <c r="B4" s="350">
        <v>2</v>
      </c>
      <c r="C4" s="330">
        <f>'przedsiewziecia UE'!M84</f>
        <v>2828235.38</v>
      </c>
    </row>
    <row r="5" spans="1:3" ht="18" customHeight="1">
      <c r="A5" s="329" t="s">
        <v>498</v>
      </c>
      <c r="B5" s="350">
        <v>2</v>
      </c>
      <c r="C5" s="330">
        <f>'przedsiewziecia UE'!M163</f>
        <v>541411.82000000007</v>
      </c>
    </row>
    <row r="6" spans="1:3" ht="18" customHeight="1">
      <c r="A6" s="329" t="s">
        <v>504</v>
      </c>
      <c r="B6" s="350">
        <v>4</v>
      </c>
      <c r="C6" s="330">
        <f>'przedsiewziecia UE'!M31</f>
        <v>226604.96999999994</v>
      </c>
    </row>
    <row r="7" spans="1:3" ht="18" customHeight="1">
      <c r="A7" s="329" t="s">
        <v>500</v>
      </c>
      <c r="B7" s="350">
        <v>5</v>
      </c>
      <c r="C7" s="330">
        <f>'przedsiewziecia UE'!M501</f>
        <v>186728.81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9"/>
    </sheetView>
  </sheetViews>
  <sheetFormatPr defaultRowHeight="12.75"/>
  <cols>
    <col min="1" max="1" width="45.7109375" style="1" customWidth="1"/>
    <col min="2" max="2" width="13.7109375" style="1" customWidth="1"/>
    <col min="3" max="3" width="16.28515625" style="1" customWidth="1"/>
    <col min="4" max="16384" width="9.140625" style="1"/>
  </cols>
  <sheetData>
    <row r="1" spans="1:3" s="347" customFormat="1" ht="30.75" customHeight="1">
      <c r="A1" s="348"/>
      <c r="B1" s="349" t="s">
        <v>490</v>
      </c>
      <c r="C1" s="349" t="s">
        <v>489</v>
      </c>
    </row>
    <row r="2" spans="1:3" ht="18" customHeight="1">
      <c r="A2" s="327" t="s">
        <v>491</v>
      </c>
      <c r="B2" s="332">
        <f>SUM(B3:B9)</f>
        <v>29</v>
      </c>
      <c r="C2" s="328">
        <f>SUM(C3:C9)</f>
        <v>209837739.64999998</v>
      </c>
    </row>
    <row r="3" spans="1:3" ht="18" customHeight="1">
      <c r="A3" s="329" t="s">
        <v>505</v>
      </c>
      <c r="B3" s="350">
        <v>19</v>
      </c>
      <c r="C3" s="330">
        <f>'przedsiewziecia UE'!M696</f>
        <v>132042260.92999999</v>
      </c>
    </row>
    <row r="4" spans="1:3" ht="18" customHeight="1">
      <c r="A4" s="329" t="s">
        <v>504</v>
      </c>
      <c r="B4" s="350">
        <v>1</v>
      </c>
      <c r="C4" s="330">
        <f>'przedsiewziecia UE'!M655</f>
        <v>42908378.949999996</v>
      </c>
    </row>
    <row r="5" spans="1:3" ht="18" customHeight="1">
      <c r="A5" s="329" t="s">
        <v>503</v>
      </c>
      <c r="B5" s="350">
        <v>2</v>
      </c>
      <c r="C5" s="330">
        <f>'przedsiewziecia UE'!M613</f>
        <v>19784433.630000003</v>
      </c>
    </row>
    <row r="6" spans="1:3" ht="18" customHeight="1">
      <c r="A6" s="329" t="s">
        <v>499</v>
      </c>
      <c r="B6" s="350">
        <v>3</v>
      </c>
      <c r="C6" s="330">
        <f>'przedsiewziecia UE'!M899+'[1]Załącznik 9'!$I$45</f>
        <v>7950266.3399999999</v>
      </c>
    </row>
    <row r="7" spans="1:3" ht="18" customHeight="1">
      <c r="A7" s="351" t="s">
        <v>506</v>
      </c>
      <c r="B7" s="350">
        <v>1</v>
      </c>
      <c r="C7" s="330">
        <f>'przedsiewziecia UE'!M937</f>
        <v>5823139.8199999994</v>
      </c>
    </row>
    <row r="8" spans="1:3" ht="18" customHeight="1">
      <c r="A8" s="329" t="s">
        <v>502</v>
      </c>
      <c r="B8" s="350">
        <v>2</v>
      </c>
      <c r="C8" s="330">
        <f>'przedsiewziecia UE'!M578</f>
        <v>1318143.9200000002</v>
      </c>
    </row>
    <row r="9" spans="1:3" ht="18" customHeight="1">
      <c r="A9" s="329" t="s">
        <v>500</v>
      </c>
      <c r="B9" s="350">
        <v>1</v>
      </c>
      <c r="C9" s="330">
        <f>'przedsiewziecia UE'!M917</f>
        <v>11116.06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przedsiewziecia UE</vt:lpstr>
      <vt:lpstr>Arkusz1</vt:lpstr>
      <vt:lpstr>Arkusz2</vt:lpstr>
      <vt:lpstr>Arkusz3</vt:lpstr>
      <vt:lpstr>Arkusz4</vt:lpstr>
      <vt:lpstr>Arkusz5</vt:lpstr>
      <vt:lpstr>Arkusz6</vt:lpstr>
      <vt:lpstr>'przedsiewziecia UE'!Obszar_wydruku</vt:lpstr>
      <vt:lpstr>'przedsiewziecia UE'!Tytuły_wydruku</vt:lpstr>
    </vt:vector>
  </TitlesOfParts>
  <Company>ZOUM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dsalwa</dc:creator>
  <cp:lastModifiedBy>izygmunt</cp:lastModifiedBy>
  <cp:lastPrinted>2012-03-29T12:22:12Z</cp:lastPrinted>
  <dcterms:created xsi:type="dcterms:W3CDTF">2006-07-21T07:43:40Z</dcterms:created>
  <dcterms:modified xsi:type="dcterms:W3CDTF">2012-03-29T13:16:19Z</dcterms:modified>
</cp:coreProperties>
</file>