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85" windowWidth="14940" windowHeight="7875" tabRatio="703"/>
  </bookViews>
  <sheets>
    <sheet name="przedsiewziecia UE" sheetId="7" r:id="rId1"/>
    <sheet name="Arkusz1" sheetId="11" r:id="rId2"/>
    <sheet name="Arkusz1 (2)" sheetId="23" r:id="rId3"/>
    <sheet name="Arkusz2" sheetId="12" r:id="rId4"/>
    <sheet name="Arkusz3" sheetId="13" r:id="rId5"/>
    <sheet name="Arkusz4" sheetId="14" r:id="rId6"/>
    <sheet name="Arkusz5" sheetId="15" r:id="rId7"/>
    <sheet name="Arkusz6" sheetId="16" r:id="rId8"/>
    <sheet name="Arkusz3 (2)" sheetId="17" r:id="rId9"/>
    <sheet name="Arkusz4 (2)" sheetId="18" r:id="rId10"/>
    <sheet name="Arkusz7" sheetId="19" r:id="rId11"/>
    <sheet name="Arkusz8" sheetId="20" r:id="rId12"/>
    <sheet name="Arkusz9" sheetId="21" r:id="rId13"/>
    <sheet name="Arkusz10" sheetId="22" r:id="rId14"/>
    <sheet name="Arkusz11" sheetId="24" r:id="rId15"/>
    <sheet name="Arkusz12" sheetId="25" r:id="rId16"/>
  </sheets>
  <externalReferences>
    <externalReference r:id="rId17"/>
  </externalReferences>
  <definedNames>
    <definedName name="_xlnm.Print_Area" localSheetId="0">'przedsiewziecia UE'!$A$1:$O$1040</definedName>
    <definedName name="_xlnm.Print_Titles" localSheetId="0">'przedsiewziecia UE'!$7:$9</definedName>
  </definedNames>
  <calcPr calcId="145621"/>
</workbook>
</file>

<file path=xl/calcChain.xml><?xml version="1.0" encoding="utf-8"?>
<calcChain xmlns="http://schemas.openxmlformats.org/spreadsheetml/2006/main">
  <c r="B5" i="24" l="1"/>
  <c r="E17" i="12"/>
  <c r="D16" i="23"/>
  <c r="D16" i="11"/>
  <c r="O37" i="25"/>
  <c r="L37" i="25"/>
  <c r="O38" i="25"/>
  <c r="L38" i="25"/>
  <c r="M886" i="7"/>
  <c r="M876" i="7"/>
  <c r="M867" i="7"/>
  <c r="O26" i="25" l="1"/>
  <c r="P26" i="25" s="1"/>
  <c r="L26" i="25"/>
  <c r="G764" i="7"/>
  <c r="K768" i="7"/>
  <c r="K764" i="7"/>
  <c r="M889" i="7"/>
  <c r="M879" i="7"/>
  <c r="M870" i="7"/>
  <c r="O22" i="25"/>
  <c r="L22" i="25"/>
  <c r="O21" i="25"/>
  <c r="L21" i="25"/>
  <c r="M21" i="25" s="1"/>
  <c r="O19" i="25"/>
  <c r="L19" i="25"/>
  <c r="M19" i="25" s="1"/>
  <c r="I36" i="25"/>
  <c r="F36" i="25"/>
  <c r="I35" i="25"/>
  <c r="F35" i="25"/>
  <c r="G35" i="25" s="1"/>
  <c r="I34" i="25"/>
  <c r="J34" i="25" s="1"/>
  <c r="F34" i="25"/>
  <c r="H40" i="25"/>
  <c r="K40" i="25"/>
  <c r="N40" i="25"/>
  <c r="P38" i="25"/>
  <c r="P36" i="25"/>
  <c r="P35" i="25"/>
  <c r="P34" i="25"/>
  <c r="P31" i="25"/>
  <c r="P30" i="25"/>
  <c r="P29" i="25"/>
  <c r="P28" i="25"/>
  <c r="P27" i="25"/>
  <c r="P23" i="25"/>
  <c r="P22" i="25"/>
  <c r="P19" i="25"/>
  <c r="P18" i="25"/>
  <c r="M38" i="25"/>
  <c r="M37" i="25"/>
  <c r="M36" i="25"/>
  <c r="M35" i="25"/>
  <c r="M34" i="25"/>
  <c r="M31" i="25"/>
  <c r="M30" i="25"/>
  <c r="M29" i="25"/>
  <c r="M28" i="25"/>
  <c r="M27" i="25"/>
  <c r="M26" i="25"/>
  <c r="M23" i="25"/>
  <c r="M22" i="25"/>
  <c r="M18" i="25"/>
  <c r="J38" i="25"/>
  <c r="J36" i="25"/>
  <c r="J35" i="25"/>
  <c r="J26" i="25"/>
  <c r="J25" i="25"/>
  <c r="J22" i="25"/>
  <c r="J21" i="25"/>
  <c r="J20" i="25"/>
  <c r="G20" i="25"/>
  <c r="G21" i="25"/>
  <c r="G22" i="25"/>
  <c r="G25" i="25"/>
  <c r="G26" i="25"/>
  <c r="G34" i="25"/>
  <c r="G36" i="25"/>
  <c r="G38" i="25"/>
  <c r="E40" i="25"/>
  <c r="P21" i="25" l="1"/>
  <c r="P37" i="25"/>
  <c r="G6" i="17" l="1"/>
  <c r="G8" i="17"/>
  <c r="C9" i="16"/>
  <c r="G8" i="13"/>
  <c r="G6" i="13"/>
  <c r="G14" i="12"/>
  <c r="E14" i="12"/>
  <c r="D14" i="12"/>
  <c r="G17" i="12"/>
  <c r="D17" i="12"/>
  <c r="F13" i="23"/>
  <c r="D13" i="23"/>
  <c r="C13" i="23"/>
  <c r="F16" i="23"/>
  <c r="B16" i="23" s="1"/>
  <c r="C16" i="23"/>
  <c r="I28" i="12"/>
  <c r="I25" i="12"/>
  <c r="H21" i="12"/>
  <c r="H16" i="12"/>
  <c r="H25" i="12" s="1"/>
  <c r="G15" i="23"/>
  <c r="H14" i="12"/>
  <c r="H13" i="12"/>
  <c r="G16" i="12"/>
  <c r="G25" i="12" s="1"/>
  <c r="F15" i="23"/>
  <c r="B15" i="23" s="1"/>
  <c r="G13" i="12"/>
  <c r="F12" i="23"/>
  <c r="F16" i="12"/>
  <c r="F25" i="12" s="1"/>
  <c r="E15" i="23"/>
  <c r="F14" i="12"/>
  <c r="E13" i="23"/>
  <c r="F13" i="12"/>
  <c r="E12" i="23"/>
  <c r="E16" i="12"/>
  <c r="E25" i="12" s="1"/>
  <c r="D15" i="23"/>
  <c r="E13" i="12"/>
  <c r="D16" i="12"/>
  <c r="D25" i="12" s="1"/>
  <c r="C15" i="23"/>
  <c r="D13" i="12"/>
  <c r="G9" i="12"/>
  <c r="F9" i="12"/>
  <c r="E9" i="12"/>
  <c r="D9" i="12"/>
  <c r="F7" i="12"/>
  <c r="E7" i="12"/>
  <c r="I6" i="12"/>
  <c r="I22" i="12" s="1"/>
  <c r="H6" i="12"/>
  <c r="G10" i="17" s="1"/>
  <c r="G6" i="12"/>
  <c r="G22" i="12" s="1"/>
  <c r="F6" i="12"/>
  <c r="E6" i="12"/>
  <c r="I5" i="12"/>
  <c r="I21" i="12" s="1"/>
  <c r="H5" i="12"/>
  <c r="G7" i="13" s="1"/>
  <c r="G5" i="12"/>
  <c r="G21" i="12" s="1"/>
  <c r="F5" i="12"/>
  <c r="F21" i="12" s="1"/>
  <c r="E5" i="12"/>
  <c r="E21" i="12" s="1"/>
  <c r="D7" i="12"/>
  <c r="D26" i="12" s="1"/>
  <c r="D6" i="12"/>
  <c r="D22" i="12" s="1"/>
  <c r="D5" i="12"/>
  <c r="D21" i="12" s="1"/>
  <c r="G7" i="12"/>
  <c r="C5" i="23"/>
  <c r="F7" i="23"/>
  <c r="D7" i="23"/>
  <c r="C7" i="23"/>
  <c r="H15" i="23"/>
  <c r="H13" i="23"/>
  <c r="G13" i="23"/>
  <c r="H12" i="23"/>
  <c r="G12" i="23"/>
  <c r="D12" i="23"/>
  <c r="C12" i="23"/>
  <c r="F9" i="23"/>
  <c r="E9" i="23"/>
  <c r="D9" i="23"/>
  <c r="C9" i="23"/>
  <c r="B9" i="23" s="1"/>
  <c r="E7" i="23"/>
  <c r="H6" i="23"/>
  <c r="G6" i="23"/>
  <c r="F6" i="23"/>
  <c r="E6" i="23"/>
  <c r="B6" i="23" s="1"/>
  <c r="D6" i="23"/>
  <c r="C6" i="23"/>
  <c r="H5" i="23"/>
  <c r="G5" i="23"/>
  <c r="B5" i="23" s="1"/>
  <c r="F5" i="23"/>
  <c r="E5" i="23"/>
  <c r="D5" i="23"/>
  <c r="B12" i="23"/>
  <c r="F13" i="11"/>
  <c r="D13" i="11"/>
  <c r="C13" i="11"/>
  <c r="F16" i="11"/>
  <c r="F7" i="11"/>
  <c r="E7" i="11"/>
  <c r="C16" i="11"/>
  <c r="D7" i="11"/>
  <c r="C7" i="11"/>
  <c r="C15" i="11"/>
  <c r="E13" i="11"/>
  <c r="G7" i="17" l="1"/>
  <c r="F22" i="12"/>
  <c r="H22" i="12"/>
  <c r="E22" i="12"/>
  <c r="G10" i="13"/>
  <c r="B13" i="23"/>
  <c r="B7" i="23"/>
  <c r="H12" i="11"/>
  <c r="G12" i="11"/>
  <c r="F12" i="11"/>
  <c r="E12" i="11"/>
  <c r="D12" i="11"/>
  <c r="C12" i="11"/>
  <c r="F9" i="11"/>
  <c r="E9" i="11"/>
  <c r="D9" i="11"/>
  <c r="C9" i="11"/>
  <c r="H6" i="11"/>
  <c r="G6" i="11"/>
  <c r="F6" i="11"/>
  <c r="E6" i="11"/>
  <c r="D6" i="11"/>
  <c r="C6" i="11"/>
  <c r="H5" i="11"/>
  <c r="G5" i="11"/>
  <c r="F5" i="11"/>
  <c r="E5" i="11"/>
  <c r="D5" i="11"/>
  <c r="C5" i="11"/>
  <c r="N603" i="7"/>
  <c r="K603" i="7"/>
  <c r="I603" i="7"/>
  <c r="H603" i="7"/>
  <c r="N602" i="7"/>
  <c r="K602" i="7"/>
  <c r="H602" i="7"/>
  <c r="I602" i="7" s="1"/>
  <c r="N601" i="7"/>
  <c r="K601" i="7"/>
  <c r="K587" i="7" s="1"/>
  <c r="H601" i="7"/>
  <c r="I601" i="7" s="1"/>
  <c r="N600" i="7"/>
  <c r="K600" i="7"/>
  <c r="I600" i="7"/>
  <c r="H600" i="7"/>
  <c r="N599" i="7"/>
  <c r="K599" i="7"/>
  <c r="H599" i="7"/>
  <c r="I599" i="7" s="1"/>
  <c r="N598" i="7"/>
  <c r="K598" i="7"/>
  <c r="I598" i="7"/>
  <c r="H598" i="7"/>
  <c r="N596" i="7"/>
  <c r="K596" i="7"/>
  <c r="I596" i="7"/>
  <c r="H596" i="7"/>
  <c r="H589" i="7" s="1"/>
  <c r="N595" i="7"/>
  <c r="K595" i="7"/>
  <c r="I595" i="7"/>
  <c r="H595" i="7"/>
  <c r="H588" i="7" s="1"/>
  <c r="N594" i="7"/>
  <c r="K594" i="7"/>
  <c r="I594" i="7"/>
  <c r="H594" i="7"/>
  <c r="H587" i="7" s="1"/>
  <c r="N593" i="7"/>
  <c r="K593" i="7"/>
  <c r="I593" i="7"/>
  <c r="H593" i="7"/>
  <c r="H586" i="7" s="1"/>
  <c r="N592" i="7"/>
  <c r="K592" i="7"/>
  <c r="H592" i="7"/>
  <c r="I592" i="7" s="1"/>
  <c r="N591" i="7"/>
  <c r="K591" i="7"/>
  <c r="I591" i="7"/>
  <c r="H591" i="7"/>
  <c r="M589" i="7"/>
  <c r="L589" i="7"/>
  <c r="N589" i="7" s="1"/>
  <c r="K589" i="7"/>
  <c r="J589" i="7"/>
  <c r="G589" i="7"/>
  <c r="I589" i="7" s="1"/>
  <c r="M588" i="7"/>
  <c r="L588" i="7"/>
  <c r="J588" i="7"/>
  <c r="G588" i="7"/>
  <c r="I588" i="7" s="1"/>
  <c r="M587" i="7"/>
  <c r="L587" i="7"/>
  <c r="J587" i="7"/>
  <c r="G587" i="7"/>
  <c r="M586" i="7"/>
  <c r="L586" i="7"/>
  <c r="N586" i="7" s="1"/>
  <c r="J586" i="7"/>
  <c r="G586" i="7"/>
  <c r="I586" i="7" s="1"/>
  <c r="M585" i="7"/>
  <c r="L585" i="7"/>
  <c r="N585" i="7" s="1"/>
  <c r="K585" i="7"/>
  <c r="J585" i="7"/>
  <c r="G585" i="7"/>
  <c r="M584" i="7"/>
  <c r="L584" i="7"/>
  <c r="N584" i="7" s="1"/>
  <c r="K584" i="7"/>
  <c r="J584" i="7"/>
  <c r="G584" i="7"/>
  <c r="I584" i="7" s="1"/>
  <c r="G583" i="7"/>
  <c r="N580" i="7"/>
  <c r="K580" i="7"/>
  <c r="I580" i="7"/>
  <c r="H580" i="7"/>
  <c r="N579" i="7"/>
  <c r="K579" i="7"/>
  <c r="I579" i="7"/>
  <c r="H579" i="7"/>
  <c r="N578" i="7"/>
  <c r="K578" i="7"/>
  <c r="H578" i="7"/>
  <c r="I578" i="7" s="1"/>
  <c r="N577" i="7"/>
  <c r="K577" i="7"/>
  <c r="I577" i="7"/>
  <c r="H577" i="7"/>
  <c r="N576" i="7"/>
  <c r="K576" i="7"/>
  <c r="H576" i="7"/>
  <c r="I576" i="7" s="1"/>
  <c r="N575" i="7"/>
  <c r="K575" i="7"/>
  <c r="K574" i="7" s="1"/>
  <c r="I575" i="7"/>
  <c r="H575" i="7"/>
  <c r="M574" i="7"/>
  <c r="L574" i="7"/>
  <c r="N574" i="7" s="1"/>
  <c r="J574" i="7"/>
  <c r="G574" i="7"/>
  <c r="N571" i="7"/>
  <c r="K571" i="7"/>
  <c r="K557" i="7" s="1"/>
  <c r="I571" i="7"/>
  <c r="H571" i="7"/>
  <c r="N570" i="7"/>
  <c r="K570" i="7"/>
  <c r="I570" i="7"/>
  <c r="H570" i="7"/>
  <c r="N569" i="7"/>
  <c r="K569" i="7"/>
  <c r="H569" i="7"/>
  <c r="I569" i="7" s="1"/>
  <c r="N568" i="7"/>
  <c r="K568" i="7"/>
  <c r="I568" i="7"/>
  <c r="H568" i="7"/>
  <c r="N567" i="7"/>
  <c r="K567" i="7"/>
  <c r="H567" i="7"/>
  <c r="I567" i="7" s="1"/>
  <c r="N566" i="7"/>
  <c r="K566" i="7"/>
  <c r="I566" i="7"/>
  <c r="H566" i="7"/>
  <c r="H552" i="7" s="1"/>
  <c r="N564" i="7"/>
  <c r="K564" i="7"/>
  <c r="I564" i="7"/>
  <c r="H564" i="7"/>
  <c r="H557" i="7" s="1"/>
  <c r="N563" i="7"/>
  <c r="K563" i="7"/>
  <c r="I563" i="7"/>
  <c r="H563" i="7"/>
  <c r="N562" i="7"/>
  <c r="K562" i="7"/>
  <c r="I562" i="7"/>
  <c r="H562" i="7"/>
  <c r="H555" i="7" s="1"/>
  <c r="N561" i="7"/>
  <c r="K561" i="7"/>
  <c r="I561" i="7"/>
  <c r="H561" i="7"/>
  <c r="H554" i="7" s="1"/>
  <c r="N560" i="7"/>
  <c r="K560" i="7"/>
  <c r="H560" i="7"/>
  <c r="I560" i="7" s="1"/>
  <c r="N559" i="7"/>
  <c r="K559" i="7"/>
  <c r="I559" i="7"/>
  <c r="H559" i="7"/>
  <c r="M557" i="7"/>
  <c r="L557" i="7"/>
  <c r="N557" i="7" s="1"/>
  <c r="J557" i="7"/>
  <c r="G557" i="7"/>
  <c r="I557" i="7" s="1"/>
  <c r="M556" i="7"/>
  <c r="L556" i="7"/>
  <c r="N556" i="7" s="1"/>
  <c r="J556" i="7"/>
  <c r="H556" i="7"/>
  <c r="G556" i="7"/>
  <c r="I556" i="7" s="1"/>
  <c r="M555" i="7"/>
  <c r="L555" i="7"/>
  <c r="J555" i="7"/>
  <c r="G555" i="7"/>
  <c r="M554" i="7"/>
  <c r="L554" i="7"/>
  <c r="N554" i="7" s="1"/>
  <c r="J554" i="7"/>
  <c r="G554" i="7"/>
  <c r="I554" i="7" s="1"/>
  <c r="M553" i="7"/>
  <c r="M551" i="7" s="1"/>
  <c r="L553" i="7"/>
  <c r="J553" i="7"/>
  <c r="G553" i="7"/>
  <c r="M552" i="7"/>
  <c r="D8" i="12" s="1"/>
  <c r="L552" i="7"/>
  <c r="K552" i="7"/>
  <c r="J552" i="7"/>
  <c r="G552" i="7"/>
  <c r="I552" i="7" s="1"/>
  <c r="L551" i="7"/>
  <c r="N548" i="7"/>
  <c r="K548" i="7"/>
  <c r="I548" i="7"/>
  <c r="H548" i="7"/>
  <c r="N547" i="7"/>
  <c r="K547" i="7"/>
  <c r="H547" i="7"/>
  <c r="I547" i="7" s="1"/>
  <c r="N546" i="7"/>
  <c r="K546" i="7"/>
  <c r="H546" i="7"/>
  <c r="I546" i="7" s="1"/>
  <c r="N545" i="7"/>
  <c r="K545" i="7"/>
  <c r="I545" i="7"/>
  <c r="H545" i="7"/>
  <c r="N544" i="7"/>
  <c r="K544" i="7"/>
  <c r="H544" i="7"/>
  <c r="I544" i="7" s="1"/>
  <c r="N543" i="7"/>
  <c r="K543" i="7"/>
  <c r="I543" i="7"/>
  <c r="H543" i="7"/>
  <c r="M542" i="7"/>
  <c r="L542" i="7"/>
  <c r="N542" i="7" s="1"/>
  <c r="J542" i="7"/>
  <c r="G542" i="7"/>
  <c r="N539" i="7"/>
  <c r="K539" i="7"/>
  <c r="I539" i="7"/>
  <c r="H539" i="7"/>
  <c r="N538" i="7"/>
  <c r="K538" i="7"/>
  <c r="I538" i="7"/>
  <c r="H538" i="7"/>
  <c r="N537" i="7"/>
  <c r="K537" i="7"/>
  <c r="I537" i="7"/>
  <c r="H537" i="7"/>
  <c r="N536" i="7"/>
  <c r="K536" i="7"/>
  <c r="I536" i="7"/>
  <c r="H536" i="7"/>
  <c r="N535" i="7"/>
  <c r="K535" i="7"/>
  <c r="H535" i="7"/>
  <c r="I535" i="7" s="1"/>
  <c r="N534" i="7"/>
  <c r="K534" i="7"/>
  <c r="I534" i="7"/>
  <c r="H534" i="7"/>
  <c r="H533" i="7" s="1"/>
  <c r="M533" i="7"/>
  <c r="L533" i="7"/>
  <c r="J533" i="7"/>
  <c r="G533" i="7"/>
  <c r="N530" i="7"/>
  <c r="K530" i="7"/>
  <c r="I530" i="7"/>
  <c r="H530" i="7"/>
  <c r="N529" i="7"/>
  <c r="K529" i="7"/>
  <c r="I529" i="7"/>
  <c r="H529" i="7"/>
  <c r="N528" i="7"/>
  <c r="K528" i="7"/>
  <c r="I528" i="7"/>
  <c r="H528" i="7"/>
  <c r="N527" i="7"/>
  <c r="K527" i="7"/>
  <c r="I527" i="7"/>
  <c r="H527" i="7"/>
  <c r="N526" i="7"/>
  <c r="K526" i="7"/>
  <c r="H526" i="7"/>
  <c r="I526" i="7" s="1"/>
  <c r="N525" i="7"/>
  <c r="K525" i="7"/>
  <c r="I525" i="7"/>
  <c r="H525" i="7"/>
  <c r="M524" i="7"/>
  <c r="L524" i="7"/>
  <c r="J524" i="7"/>
  <c r="G524" i="7"/>
  <c r="N521" i="7"/>
  <c r="K521" i="7"/>
  <c r="I521" i="7"/>
  <c r="H521" i="7"/>
  <c r="N520" i="7"/>
  <c r="K520" i="7"/>
  <c r="I520" i="7"/>
  <c r="H520" i="7"/>
  <c r="N519" i="7"/>
  <c r="K519" i="7"/>
  <c r="I519" i="7"/>
  <c r="H519" i="7"/>
  <c r="N518" i="7"/>
  <c r="K518" i="7"/>
  <c r="I518" i="7"/>
  <c r="H518" i="7"/>
  <c r="N517" i="7"/>
  <c r="K517" i="7"/>
  <c r="H517" i="7"/>
  <c r="I517" i="7" s="1"/>
  <c r="N516" i="7"/>
  <c r="K516" i="7"/>
  <c r="K515" i="7" s="1"/>
  <c r="I516" i="7"/>
  <c r="H516" i="7"/>
  <c r="M515" i="7"/>
  <c r="I31" i="25" s="1"/>
  <c r="J31" i="25" s="1"/>
  <c r="L515" i="7"/>
  <c r="J515" i="7"/>
  <c r="G515" i="7"/>
  <c r="N512" i="7"/>
  <c r="K512" i="7"/>
  <c r="I512" i="7"/>
  <c r="H512" i="7"/>
  <c r="N511" i="7"/>
  <c r="K511" i="7"/>
  <c r="I511" i="7"/>
  <c r="H511" i="7"/>
  <c r="N510" i="7"/>
  <c r="K510" i="7"/>
  <c r="I510" i="7"/>
  <c r="H510" i="7"/>
  <c r="N509" i="7"/>
  <c r="K509" i="7"/>
  <c r="I509" i="7"/>
  <c r="H509" i="7"/>
  <c r="N508" i="7"/>
  <c r="K508" i="7"/>
  <c r="H508" i="7"/>
  <c r="I508" i="7" s="1"/>
  <c r="N507" i="7"/>
  <c r="K507" i="7"/>
  <c r="I507" i="7"/>
  <c r="H507" i="7"/>
  <c r="M506" i="7"/>
  <c r="L506" i="7"/>
  <c r="J506" i="7"/>
  <c r="G506" i="7"/>
  <c r="N503" i="7"/>
  <c r="K503" i="7"/>
  <c r="I503" i="7"/>
  <c r="H503" i="7"/>
  <c r="N502" i="7"/>
  <c r="K502" i="7"/>
  <c r="I502" i="7"/>
  <c r="H502" i="7"/>
  <c r="N501" i="7"/>
  <c r="K501" i="7"/>
  <c r="I501" i="7"/>
  <c r="H501" i="7"/>
  <c r="N500" i="7"/>
  <c r="K500" i="7"/>
  <c r="I500" i="7"/>
  <c r="H500" i="7"/>
  <c r="N499" i="7"/>
  <c r="K499" i="7"/>
  <c r="H499" i="7"/>
  <c r="I499" i="7" s="1"/>
  <c r="N498" i="7"/>
  <c r="K498" i="7"/>
  <c r="I498" i="7"/>
  <c r="H498" i="7"/>
  <c r="H497" i="7" s="1"/>
  <c r="M497" i="7"/>
  <c r="L497" i="7"/>
  <c r="J497" i="7"/>
  <c r="G497" i="7"/>
  <c r="N494" i="7"/>
  <c r="K494" i="7"/>
  <c r="I494" i="7"/>
  <c r="H494" i="7"/>
  <c r="N493" i="7"/>
  <c r="K493" i="7"/>
  <c r="I493" i="7"/>
  <c r="H493" i="7"/>
  <c r="N492" i="7"/>
  <c r="K492" i="7"/>
  <c r="I492" i="7"/>
  <c r="H492" i="7"/>
  <c r="N491" i="7"/>
  <c r="K491" i="7"/>
  <c r="I491" i="7"/>
  <c r="H491" i="7"/>
  <c r="N490" i="7"/>
  <c r="K490" i="7"/>
  <c r="H490" i="7"/>
  <c r="I490" i="7" s="1"/>
  <c r="N489" i="7"/>
  <c r="K489" i="7"/>
  <c r="I489" i="7"/>
  <c r="H489" i="7"/>
  <c r="M488" i="7"/>
  <c r="L488" i="7"/>
  <c r="J488" i="7"/>
  <c r="G488" i="7"/>
  <c r="N485" i="7"/>
  <c r="K485" i="7"/>
  <c r="I485" i="7"/>
  <c r="H485" i="7"/>
  <c r="N484" i="7"/>
  <c r="K484" i="7"/>
  <c r="I484" i="7"/>
  <c r="H484" i="7"/>
  <c r="N483" i="7"/>
  <c r="K483" i="7"/>
  <c r="I483" i="7"/>
  <c r="H483" i="7"/>
  <c r="N482" i="7"/>
  <c r="K482" i="7"/>
  <c r="I482" i="7"/>
  <c r="H482" i="7"/>
  <c r="N481" i="7"/>
  <c r="K481" i="7"/>
  <c r="H481" i="7"/>
  <c r="I481" i="7" s="1"/>
  <c r="N480" i="7"/>
  <c r="K480" i="7"/>
  <c r="K479" i="7" s="1"/>
  <c r="I480" i="7"/>
  <c r="H480" i="7"/>
  <c r="M479" i="7"/>
  <c r="L479" i="7"/>
  <c r="N479" i="7" s="1"/>
  <c r="J479" i="7"/>
  <c r="G479" i="7"/>
  <c r="N473" i="7"/>
  <c r="K473" i="7"/>
  <c r="I473" i="7"/>
  <c r="H473" i="7"/>
  <c r="N472" i="7"/>
  <c r="K472" i="7"/>
  <c r="I472" i="7"/>
  <c r="H472" i="7"/>
  <c r="N471" i="7"/>
  <c r="K471" i="7"/>
  <c r="I471" i="7"/>
  <c r="H471" i="7"/>
  <c r="N470" i="7"/>
  <c r="K470" i="7"/>
  <c r="I470" i="7"/>
  <c r="H470" i="7"/>
  <c r="N469" i="7"/>
  <c r="K469" i="7"/>
  <c r="H469" i="7"/>
  <c r="I469" i="7" s="1"/>
  <c r="N468" i="7"/>
  <c r="K468" i="7"/>
  <c r="I468" i="7"/>
  <c r="H468" i="7"/>
  <c r="H467" i="7" s="1"/>
  <c r="M467" i="7"/>
  <c r="L467" i="7"/>
  <c r="J467" i="7"/>
  <c r="G467" i="7"/>
  <c r="N464" i="7"/>
  <c r="K464" i="7"/>
  <c r="I464" i="7"/>
  <c r="H464" i="7"/>
  <c r="N463" i="7"/>
  <c r="K463" i="7"/>
  <c r="I463" i="7"/>
  <c r="H463" i="7"/>
  <c r="N462" i="7"/>
  <c r="K462" i="7"/>
  <c r="I462" i="7"/>
  <c r="H462" i="7"/>
  <c r="N461" i="7"/>
  <c r="K461" i="7"/>
  <c r="I461" i="7"/>
  <c r="H461" i="7"/>
  <c r="N460" i="7"/>
  <c r="K460" i="7"/>
  <c r="H460" i="7"/>
  <c r="I460" i="7" s="1"/>
  <c r="N459" i="7"/>
  <c r="K459" i="7"/>
  <c r="I459" i="7"/>
  <c r="H459" i="7"/>
  <c r="M458" i="7"/>
  <c r="L458" i="7"/>
  <c r="J458" i="7"/>
  <c r="G458" i="7"/>
  <c r="N455" i="7"/>
  <c r="K455" i="7"/>
  <c r="I455" i="7"/>
  <c r="H455" i="7"/>
  <c r="N454" i="7"/>
  <c r="K454" i="7"/>
  <c r="I454" i="7"/>
  <c r="H454" i="7"/>
  <c r="N453" i="7"/>
  <c r="K453" i="7"/>
  <c r="I453" i="7"/>
  <c r="H453" i="7"/>
  <c r="N452" i="7"/>
  <c r="K452" i="7"/>
  <c r="I452" i="7"/>
  <c r="H452" i="7"/>
  <c r="N451" i="7"/>
  <c r="K451" i="7"/>
  <c r="H451" i="7"/>
  <c r="I451" i="7" s="1"/>
  <c r="N450" i="7"/>
  <c r="K450" i="7"/>
  <c r="K449" i="7" s="1"/>
  <c r="I450" i="7"/>
  <c r="H450" i="7"/>
  <c r="M449" i="7"/>
  <c r="L449" i="7"/>
  <c r="J449" i="7"/>
  <c r="G449" i="7"/>
  <c r="N446" i="7"/>
  <c r="K446" i="7"/>
  <c r="I446" i="7"/>
  <c r="H446" i="7"/>
  <c r="N445" i="7"/>
  <c r="K445" i="7"/>
  <c r="I445" i="7"/>
  <c r="H445" i="7"/>
  <c r="N444" i="7"/>
  <c r="K444" i="7"/>
  <c r="I444" i="7"/>
  <c r="H444" i="7"/>
  <c r="N443" i="7"/>
  <c r="K443" i="7"/>
  <c r="I443" i="7"/>
  <c r="H443" i="7"/>
  <c r="N442" i="7"/>
  <c r="K442" i="7"/>
  <c r="H442" i="7"/>
  <c r="I442" i="7" s="1"/>
  <c r="N441" i="7"/>
  <c r="K441" i="7"/>
  <c r="K440" i="7" s="1"/>
  <c r="I441" i="7"/>
  <c r="H441" i="7"/>
  <c r="M440" i="7"/>
  <c r="I30" i="25" s="1"/>
  <c r="J30" i="25" s="1"/>
  <c r="L440" i="7"/>
  <c r="F30" i="25" s="1"/>
  <c r="G30" i="25" s="1"/>
  <c r="J440" i="7"/>
  <c r="G440" i="7"/>
  <c r="N437" i="7"/>
  <c r="K437" i="7"/>
  <c r="I437" i="7"/>
  <c r="H437" i="7"/>
  <c r="N436" i="7"/>
  <c r="K436" i="7"/>
  <c r="I436" i="7"/>
  <c r="H436" i="7"/>
  <c r="N435" i="7"/>
  <c r="K435" i="7"/>
  <c r="I435" i="7"/>
  <c r="N434" i="7"/>
  <c r="K434" i="7"/>
  <c r="I434" i="7"/>
  <c r="H434" i="7"/>
  <c r="N433" i="7"/>
  <c r="K433" i="7"/>
  <c r="H433" i="7"/>
  <c r="I433" i="7" s="1"/>
  <c r="N432" i="7"/>
  <c r="K432" i="7"/>
  <c r="I432" i="7"/>
  <c r="H432" i="7"/>
  <c r="M431" i="7"/>
  <c r="L431" i="7"/>
  <c r="J431" i="7"/>
  <c r="G431" i="7"/>
  <c r="N428" i="7"/>
  <c r="K428" i="7"/>
  <c r="I428" i="7"/>
  <c r="H428" i="7"/>
  <c r="N427" i="7"/>
  <c r="K427" i="7"/>
  <c r="I427" i="7"/>
  <c r="H427" i="7"/>
  <c r="N426" i="7"/>
  <c r="K426" i="7"/>
  <c r="I426" i="7"/>
  <c r="H426" i="7"/>
  <c r="N425" i="7"/>
  <c r="K425" i="7"/>
  <c r="I425" i="7"/>
  <c r="H425" i="7"/>
  <c r="N424" i="7"/>
  <c r="K424" i="7"/>
  <c r="H424" i="7"/>
  <c r="I424" i="7" s="1"/>
  <c r="N423" i="7"/>
  <c r="K423" i="7"/>
  <c r="K422" i="7" s="1"/>
  <c r="I423" i="7"/>
  <c r="H423" i="7"/>
  <c r="M422" i="7"/>
  <c r="L422" i="7"/>
  <c r="J422" i="7"/>
  <c r="G422" i="7"/>
  <c r="N419" i="7"/>
  <c r="K419" i="7"/>
  <c r="I419" i="7"/>
  <c r="H419" i="7"/>
  <c r="N418" i="7"/>
  <c r="K418" i="7"/>
  <c r="I418" i="7"/>
  <c r="H418" i="7"/>
  <c r="N417" i="7"/>
  <c r="K417" i="7"/>
  <c r="H417" i="7"/>
  <c r="I417" i="7" s="1"/>
  <c r="N416" i="7"/>
  <c r="K416" i="7"/>
  <c r="I416" i="7"/>
  <c r="H416" i="7"/>
  <c r="N415" i="7"/>
  <c r="K415" i="7"/>
  <c r="H415" i="7"/>
  <c r="I415" i="7" s="1"/>
  <c r="N414" i="7"/>
  <c r="K414" i="7"/>
  <c r="K413" i="7" s="1"/>
  <c r="I414" i="7"/>
  <c r="H414" i="7"/>
  <c r="M413" i="7"/>
  <c r="L413" i="7"/>
  <c r="N413" i="7" s="1"/>
  <c r="J413" i="7"/>
  <c r="G413" i="7"/>
  <c r="N410" i="7"/>
  <c r="K410" i="7"/>
  <c r="I410" i="7"/>
  <c r="H410" i="7"/>
  <c r="N409" i="7"/>
  <c r="K409" i="7"/>
  <c r="I409" i="7"/>
  <c r="H409" i="7"/>
  <c r="N408" i="7"/>
  <c r="K408" i="7"/>
  <c r="H408" i="7"/>
  <c r="I408" i="7" s="1"/>
  <c r="N407" i="7"/>
  <c r="K407" i="7"/>
  <c r="I407" i="7"/>
  <c r="H407" i="7"/>
  <c r="N406" i="7"/>
  <c r="K406" i="7"/>
  <c r="H406" i="7"/>
  <c r="I406" i="7" s="1"/>
  <c r="N405" i="7"/>
  <c r="K405" i="7"/>
  <c r="I405" i="7"/>
  <c r="H405" i="7"/>
  <c r="M404" i="7"/>
  <c r="L404" i="7"/>
  <c r="K404" i="7"/>
  <c r="J404" i="7"/>
  <c r="G404" i="7"/>
  <c r="N401" i="7"/>
  <c r="K401" i="7"/>
  <c r="I401" i="7"/>
  <c r="H401" i="7"/>
  <c r="N400" i="7"/>
  <c r="K400" i="7"/>
  <c r="I400" i="7"/>
  <c r="H400" i="7"/>
  <c r="N399" i="7"/>
  <c r="K399" i="7"/>
  <c r="H399" i="7"/>
  <c r="I399" i="7" s="1"/>
  <c r="N398" i="7"/>
  <c r="K398" i="7"/>
  <c r="I398" i="7"/>
  <c r="H398" i="7"/>
  <c r="N397" i="7"/>
  <c r="K397" i="7"/>
  <c r="H397" i="7"/>
  <c r="I397" i="7" s="1"/>
  <c r="N396" i="7"/>
  <c r="K396" i="7"/>
  <c r="I396" i="7"/>
  <c r="H396" i="7"/>
  <c r="M395" i="7"/>
  <c r="L395" i="7"/>
  <c r="J395" i="7"/>
  <c r="G395" i="7"/>
  <c r="N392" i="7"/>
  <c r="K392" i="7"/>
  <c r="I392" i="7"/>
  <c r="H392" i="7"/>
  <c r="N391" i="7"/>
  <c r="K391" i="7"/>
  <c r="I391" i="7"/>
  <c r="H391" i="7"/>
  <c r="N390" i="7"/>
  <c r="K390" i="7"/>
  <c r="H390" i="7"/>
  <c r="I390" i="7" s="1"/>
  <c r="N389" i="7"/>
  <c r="K389" i="7"/>
  <c r="I389" i="7"/>
  <c r="H389" i="7"/>
  <c r="N388" i="7"/>
  <c r="K388" i="7"/>
  <c r="H388" i="7"/>
  <c r="I388" i="7" s="1"/>
  <c r="N387" i="7"/>
  <c r="K387" i="7"/>
  <c r="K386" i="7" s="1"/>
  <c r="I387" i="7"/>
  <c r="H387" i="7"/>
  <c r="M386" i="7"/>
  <c r="L386" i="7"/>
  <c r="J386" i="7"/>
  <c r="G386" i="7"/>
  <c r="N383" i="7"/>
  <c r="K383" i="7"/>
  <c r="I383" i="7"/>
  <c r="H383" i="7"/>
  <c r="N382" i="7"/>
  <c r="K382" i="7"/>
  <c r="I382" i="7"/>
  <c r="H382" i="7"/>
  <c r="N381" i="7"/>
  <c r="K381" i="7"/>
  <c r="H381" i="7"/>
  <c r="I381" i="7" s="1"/>
  <c r="N380" i="7"/>
  <c r="K380" i="7"/>
  <c r="I380" i="7"/>
  <c r="H380" i="7"/>
  <c r="N379" i="7"/>
  <c r="K379" i="7"/>
  <c r="H379" i="7"/>
  <c r="I379" i="7" s="1"/>
  <c r="N378" i="7"/>
  <c r="K378" i="7"/>
  <c r="I378" i="7"/>
  <c r="H378" i="7"/>
  <c r="H377" i="7" s="1"/>
  <c r="M377" i="7"/>
  <c r="L377" i="7"/>
  <c r="N377" i="7" s="1"/>
  <c r="J377" i="7"/>
  <c r="G377" i="7"/>
  <c r="N372" i="7"/>
  <c r="K372" i="7"/>
  <c r="I372" i="7"/>
  <c r="H372" i="7"/>
  <c r="N371" i="7"/>
  <c r="K371" i="7"/>
  <c r="I371" i="7"/>
  <c r="H371" i="7"/>
  <c r="N370" i="7"/>
  <c r="K370" i="7"/>
  <c r="H370" i="7"/>
  <c r="I370" i="7" s="1"/>
  <c r="N369" i="7"/>
  <c r="K369" i="7"/>
  <c r="I369" i="7"/>
  <c r="H369" i="7"/>
  <c r="N368" i="7"/>
  <c r="K368" i="7"/>
  <c r="H368" i="7"/>
  <c r="I368" i="7" s="1"/>
  <c r="N367" i="7"/>
  <c r="K367" i="7"/>
  <c r="K366" i="7" s="1"/>
  <c r="I367" i="7"/>
  <c r="H367" i="7"/>
  <c r="M366" i="7"/>
  <c r="L366" i="7"/>
  <c r="J366" i="7"/>
  <c r="G366" i="7"/>
  <c r="N360" i="7"/>
  <c r="K360" i="7"/>
  <c r="I360" i="7"/>
  <c r="H360" i="7"/>
  <c r="N359" i="7"/>
  <c r="K359" i="7"/>
  <c r="I359" i="7"/>
  <c r="H359" i="7"/>
  <c r="N358" i="7"/>
  <c r="K358" i="7"/>
  <c r="H358" i="7"/>
  <c r="I358" i="7" s="1"/>
  <c r="N357" i="7"/>
  <c r="K357" i="7"/>
  <c r="I357" i="7"/>
  <c r="H357" i="7"/>
  <c r="N356" i="7"/>
  <c r="K356" i="7"/>
  <c r="H356" i="7"/>
  <c r="I356" i="7" s="1"/>
  <c r="N355" i="7"/>
  <c r="K355" i="7"/>
  <c r="K354" i="7" s="1"/>
  <c r="H355" i="7"/>
  <c r="I355" i="7" s="1"/>
  <c r="M354" i="7"/>
  <c r="L354" i="7"/>
  <c r="J354" i="7"/>
  <c r="G354" i="7"/>
  <c r="N347" i="7"/>
  <c r="K347" i="7"/>
  <c r="I347" i="7"/>
  <c r="H347" i="7"/>
  <c r="N346" i="7"/>
  <c r="K346" i="7"/>
  <c r="I346" i="7"/>
  <c r="H346" i="7"/>
  <c r="N345" i="7"/>
  <c r="K345" i="7"/>
  <c r="K341" i="7" s="1"/>
  <c r="H345" i="7"/>
  <c r="I345" i="7" s="1"/>
  <c r="N344" i="7"/>
  <c r="K344" i="7"/>
  <c r="I344" i="7"/>
  <c r="H344" i="7"/>
  <c r="N343" i="7"/>
  <c r="K343" i="7"/>
  <c r="H343" i="7"/>
  <c r="I343" i="7" s="1"/>
  <c r="N342" i="7"/>
  <c r="K342" i="7"/>
  <c r="I342" i="7"/>
  <c r="H342" i="7"/>
  <c r="M341" i="7"/>
  <c r="L341" i="7"/>
  <c r="J341" i="7"/>
  <c r="G341" i="7"/>
  <c r="M912" i="7"/>
  <c r="L912" i="7"/>
  <c r="M911" i="7"/>
  <c r="L911" i="7"/>
  <c r="M910" i="7"/>
  <c r="L910" i="7"/>
  <c r="M909" i="7"/>
  <c r="L909" i="7"/>
  <c r="M908" i="7"/>
  <c r="L908" i="7"/>
  <c r="M907" i="7"/>
  <c r="L907" i="7"/>
  <c r="J912" i="7"/>
  <c r="J911" i="7"/>
  <c r="J910" i="7"/>
  <c r="J909" i="7"/>
  <c r="J908" i="7"/>
  <c r="J907" i="7"/>
  <c r="G908" i="7"/>
  <c r="G909" i="7"/>
  <c r="G910" i="7"/>
  <c r="G911" i="7"/>
  <c r="G912" i="7"/>
  <c r="G907" i="7"/>
  <c r="M154" i="7"/>
  <c r="H458" i="7" l="1"/>
  <c r="K377" i="7"/>
  <c r="H449" i="7"/>
  <c r="I449" i="7" s="1"/>
  <c r="F28" i="25"/>
  <c r="G28" i="25" s="1"/>
  <c r="K467" i="7"/>
  <c r="K542" i="7"/>
  <c r="H553" i="7"/>
  <c r="I553" i="7" s="1"/>
  <c r="F8" i="12"/>
  <c r="E8" i="23"/>
  <c r="E8" i="12"/>
  <c r="D8" i="23"/>
  <c r="D3" i="12"/>
  <c r="D24" i="12" s="1"/>
  <c r="C3" i="23"/>
  <c r="K395" i="7"/>
  <c r="H413" i="7"/>
  <c r="I413" i="7" s="1"/>
  <c r="F29" i="25"/>
  <c r="G29" i="25" s="1"/>
  <c r="K431" i="7"/>
  <c r="H440" i="7"/>
  <c r="K458" i="7"/>
  <c r="I28" i="25"/>
  <c r="J28" i="25" s="1"/>
  <c r="H479" i="7"/>
  <c r="N497" i="7"/>
  <c r="K497" i="7"/>
  <c r="H515" i="7"/>
  <c r="N533" i="7"/>
  <c r="K533" i="7"/>
  <c r="N552" i="7"/>
  <c r="C8" i="11"/>
  <c r="G8" i="12"/>
  <c r="F8" i="23"/>
  <c r="K553" i="7"/>
  <c r="K551" i="7" s="1"/>
  <c r="K554" i="7"/>
  <c r="K555" i="7"/>
  <c r="K556" i="7"/>
  <c r="H574" i="7"/>
  <c r="I574" i="7" s="1"/>
  <c r="N587" i="7"/>
  <c r="K586" i="7"/>
  <c r="K583" i="7" s="1"/>
  <c r="K588" i="7"/>
  <c r="N515" i="7"/>
  <c r="F31" i="25"/>
  <c r="G31" i="25" s="1"/>
  <c r="I29" i="25"/>
  <c r="J29" i="25" s="1"/>
  <c r="H542" i="7"/>
  <c r="I587" i="7"/>
  <c r="G8" i="23"/>
  <c r="H8" i="12"/>
  <c r="J583" i="7"/>
  <c r="J551" i="7"/>
  <c r="H584" i="7"/>
  <c r="M583" i="7"/>
  <c r="N583" i="7" s="1"/>
  <c r="C8" i="23"/>
  <c r="N354" i="7"/>
  <c r="H366" i="7"/>
  <c r="I377" i="7"/>
  <c r="N488" i="7"/>
  <c r="H488" i="7"/>
  <c r="K488" i="7"/>
  <c r="N506" i="7"/>
  <c r="H506" i="7"/>
  <c r="K506" i="7"/>
  <c r="N524" i="7"/>
  <c r="H524" i="7"/>
  <c r="I524" i="7" s="1"/>
  <c r="K524" i="7"/>
  <c r="G551" i="7"/>
  <c r="I479" i="7"/>
  <c r="N341" i="7"/>
  <c r="H341" i="7"/>
  <c r="I341" i="7" s="1"/>
  <c r="E8" i="11"/>
  <c r="G8" i="11"/>
  <c r="N366" i="7"/>
  <c r="N386" i="7"/>
  <c r="H386" i="7"/>
  <c r="N422" i="7"/>
  <c r="H422" i="7"/>
  <c r="I422" i="7" s="1"/>
  <c r="N431" i="7"/>
  <c r="H431" i="7"/>
  <c r="I440" i="7"/>
  <c r="N440" i="7"/>
  <c r="N449" i="7"/>
  <c r="I458" i="7"/>
  <c r="N458" i="7"/>
  <c r="I467" i="7"/>
  <c r="N467" i="7"/>
  <c r="I488" i="7"/>
  <c r="I497" i="7"/>
  <c r="I506" i="7"/>
  <c r="I515" i="7"/>
  <c r="N551" i="7"/>
  <c r="N553" i="7"/>
  <c r="I555" i="7"/>
  <c r="N555" i="7"/>
  <c r="L583" i="7"/>
  <c r="N588" i="7"/>
  <c r="D8" i="11"/>
  <c r="F8" i="11"/>
  <c r="N404" i="7"/>
  <c r="H404" i="7"/>
  <c r="I404" i="7" s="1"/>
  <c r="N395" i="7"/>
  <c r="H395" i="7"/>
  <c r="I395" i="7" s="1"/>
  <c r="I366" i="7"/>
  <c r="I386" i="7"/>
  <c r="I431" i="7"/>
  <c r="I533" i="7"/>
  <c r="I542" i="7"/>
  <c r="H585" i="7"/>
  <c r="I585" i="7" s="1"/>
  <c r="H354" i="7"/>
  <c r="I354" i="7" s="1"/>
  <c r="M932" i="7"/>
  <c r="L932" i="7"/>
  <c r="M931" i="7"/>
  <c r="L931" i="7"/>
  <c r="M930" i="7"/>
  <c r="L930" i="7"/>
  <c r="M929" i="7"/>
  <c r="L929" i="7"/>
  <c r="M928" i="7"/>
  <c r="L928" i="7"/>
  <c r="M927" i="7"/>
  <c r="L927" i="7"/>
  <c r="J932" i="7"/>
  <c r="J931" i="7"/>
  <c r="J930" i="7"/>
  <c r="J929" i="7"/>
  <c r="J928" i="7"/>
  <c r="J927" i="7"/>
  <c r="G928" i="7"/>
  <c r="G929" i="7"/>
  <c r="G930" i="7"/>
  <c r="G931" i="7"/>
  <c r="G932" i="7"/>
  <c r="G927" i="7"/>
  <c r="N990" i="7"/>
  <c r="K990" i="7"/>
  <c r="I990" i="7"/>
  <c r="H990" i="7"/>
  <c r="N989" i="7"/>
  <c r="K989" i="7"/>
  <c r="H989" i="7"/>
  <c r="I989" i="7" s="1"/>
  <c r="N988" i="7"/>
  <c r="K988" i="7"/>
  <c r="I988" i="7"/>
  <c r="H988" i="7"/>
  <c r="N987" i="7"/>
  <c r="K987" i="7"/>
  <c r="I987" i="7"/>
  <c r="H987" i="7"/>
  <c r="N986" i="7"/>
  <c r="K986" i="7"/>
  <c r="H986" i="7"/>
  <c r="I986" i="7" s="1"/>
  <c r="N985" i="7"/>
  <c r="K985" i="7"/>
  <c r="H985" i="7"/>
  <c r="I985" i="7" s="1"/>
  <c r="M984" i="7"/>
  <c r="L984" i="7"/>
  <c r="N984" i="7" s="1"/>
  <c r="J984" i="7"/>
  <c r="G984" i="7"/>
  <c r="N972" i="7"/>
  <c r="K972" i="7"/>
  <c r="I972" i="7"/>
  <c r="H972" i="7"/>
  <c r="N971" i="7"/>
  <c r="K971" i="7"/>
  <c r="H971" i="7"/>
  <c r="I971" i="7" s="1"/>
  <c r="N970" i="7"/>
  <c r="K970" i="7"/>
  <c r="I970" i="7"/>
  <c r="H970" i="7"/>
  <c r="N969" i="7"/>
  <c r="K969" i="7"/>
  <c r="I969" i="7"/>
  <c r="H969" i="7"/>
  <c r="N968" i="7"/>
  <c r="K968" i="7"/>
  <c r="H968" i="7"/>
  <c r="I968" i="7" s="1"/>
  <c r="N967" i="7"/>
  <c r="K967" i="7"/>
  <c r="H967" i="7"/>
  <c r="I967" i="7" s="1"/>
  <c r="M966" i="7"/>
  <c r="L966" i="7"/>
  <c r="J966" i="7"/>
  <c r="G966" i="7"/>
  <c r="N951" i="7"/>
  <c r="K951" i="7"/>
  <c r="I951" i="7"/>
  <c r="H951" i="7"/>
  <c r="N950" i="7"/>
  <c r="K950" i="7"/>
  <c r="I950" i="7"/>
  <c r="H950" i="7"/>
  <c r="N949" i="7"/>
  <c r="K949" i="7"/>
  <c r="I949" i="7"/>
  <c r="H949" i="7"/>
  <c r="N948" i="7"/>
  <c r="K948" i="7"/>
  <c r="I948" i="7"/>
  <c r="H948" i="7"/>
  <c r="N947" i="7"/>
  <c r="K947" i="7"/>
  <c r="I947" i="7"/>
  <c r="H947" i="7"/>
  <c r="N946" i="7"/>
  <c r="K946" i="7"/>
  <c r="K945" i="7" s="1"/>
  <c r="H946" i="7"/>
  <c r="I946" i="7" s="1"/>
  <c r="M945" i="7"/>
  <c r="L945" i="7"/>
  <c r="J945" i="7"/>
  <c r="G945" i="7"/>
  <c r="H920" i="7"/>
  <c r="H911" i="7" s="1"/>
  <c r="G824" i="7"/>
  <c r="H984" i="7" l="1"/>
  <c r="I984" i="7" s="1"/>
  <c r="H945" i="7"/>
  <c r="H551" i="7"/>
  <c r="I551" i="7" s="1"/>
  <c r="G5" i="17"/>
  <c r="G5" i="13"/>
  <c r="B8" i="23"/>
  <c r="H583" i="7"/>
  <c r="I583" i="7" s="1"/>
  <c r="K966" i="7"/>
  <c r="K984" i="7"/>
  <c r="N966" i="7"/>
  <c r="H966" i="7"/>
  <c r="I966" i="7" s="1"/>
  <c r="I945" i="7"/>
  <c r="N945" i="7"/>
  <c r="H1014" i="7"/>
  <c r="H1013" i="7"/>
  <c r="H1015" i="7"/>
  <c r="H1006" i="7" s="1"/>
  <c r="H1016" i="7"/>
  <c r="H1017" i="7"/>
  <c r="N1033" i="7"/>
  <c r="K1033" i="7"/>
  <c r="K1009" i="7" s="1"/>
  <c r="I1033" i="7"/>
  <c r="H1033" i="7"/>
  <c r="N1032" i="7"/>
  <c r="K1032" i="7"/>
  <c r="I1032" i="7"/>
  <c r="H1032" i="7"/>
  <c r="N1031" i="7"/>
  <c r="K1031" i="7"/>
  <c r="I1031" i="7"/>
  <c r="H1031" i="7"/>
  <c r="N1030" i="7"/>
  <c r="K1030" i="7"/>
  <c r="I1030" i="7"/>
  <c r="H1030" i="7"/>
  <c r="N1029" i="7"/>
  <c r="K1029" i="7"/>
  <c r="H1029" i="7"/>
  <c r="I1029" i="7" s="1"/>
  <c r="N1028" i="7"/>
  <c r="K1028" i="7"/>
  <c r="H1028" i="7"/>
  <c r="I1028" i="7" s="1"/>
  <c r="M1027" i="7"/>
  <c r="O33" i="25" s="1"/>
  <c r="P33" i="25" s="1"/>
  <c r="L1027" i="7"/>
  <c r="L33" i="25" s="1"/>
  <c r="M33" i="25" s="1"/>
  <c r="J1027" i="7"/>
  <c r="G1027" i="7"/>
  <c r="N1018" i="7"/>
  <c r="K1018" i="7"/>
  <c r="I1018" i="7"/>
  <c r="H1018" i="7"/>
  <c r="N1017" i="7"/>
  <c r="K1017" i="7"/>
  <c r="I1017" i="7"/>
  <c r="N1016" i="7"/>
  <c r="K1016" i="7"/>
  <c r="K1007" i="7" s="1"/>
  <c r="I1016" i="7"/>
  <c r="N1015" i="7"/>
  <c r="K1015" i="7"/>
  <c r="I1015" i="7"/>
  <c r="N1014" i="7"/>
  <c r="K1014" i="7"/>
  <c r="K1005" i="7" s="1"/>
  <c r="I1014" i="7"/>
  <c r="N1013" i="7"/>
  <c r="K1013" i="7"/>
  <c r="I1013" i="7"/>
  <c r="M1012" i="7"/>
  <c r="O32" i="25" s="1"/>
  <c r="P32" i="25" s="1"/>
  <c r="L1012" i="7"/>
  <c r="L32" i="25" s="1"/>
  <c r="M32" i="25" s="1"/>
  <c r="J1012" i="7"/>
  <c r="G1012" i="7"/>
  <c r="M1009" i="7"/>
  <c r="L1009" i="7"/>
  <c r="N1009" i="7" s="1"/>
  <c r="J1009" i="7"/>
  <c r="H1009" i="7"/>
  <c r="G1009" i="7"/>
  <c r="I1009" i="7" s="1"/>
  <c r="M1008" i="7"/>
  <c r="L1008" i="7"/>
  <c r="N1008" i="7" s="1"/>
  <c r="K1008" i="7"/>
  <c r="J1008" i="7"/>
  <c r="H1008" i="7"/>
  <c r="G1008" i="7"/>
  <c r="M1007" i="7"/>
  <c r="L1007" i="7"/>
  <c r="N1007" i="7" s="1"/>
  <c r="J1007" i="7"/>
  <c r="H1007" i="7"/>
  <c r="G1007" i="7"/>
  <c r="I1007" i="7" s="1"/>
  <c r="M1006" i="7"/>
  <c r="L1006" i="7"/>
  <c r="N1006" i="7" s="1"/>
  <c r="K1006" i="7"/>
  <c r="J1006" i="7"/>
  <c r="G1006" i="7"/>
  <c r="I1006" i="7" s="1"/>
  <c r="M1005" i="7"/>
  <c r="L1005" i="7"/>
  <c r="L1003" i="7" s="1"/>
  <c r="J1005" i="7"/>
  <c r="G1005" i="7"/>
  <c r="M1004" i="7"/>
  <c r="L1004" i="7"/>
  <c r="K1004" i="7"/>
  <c r="J1004" i="7"/>
  <c r="G1004" i="7"/>
  <c r="G1003" i="7" s="1"/>
  <c r="H718" i="7"/>
  <c r="M778" i="7"/>
  <c r="L778" i="7"/>
  <c r="M777" i="7"/>
  <c r="L777" i="7"/>
  <c r="M776" i="7"/>
  <c r="L776" i="7"/>
  <c r="M775" i="7"/>
  <c r="L775" i="7"/>
  <c r="M774" i="7"/>
  <c r="L774" i="7"/>
  <c r="M773" i="7"/>
  <c r="L773" i="7"/>
  <c r="J778" i="7"/>
  <c r="J777" i="7"/>
  <c r="J776" i="7"/>
  <c r="J775" i="7"/>
  <c r="J774" i="7"/>
  <c r="J773" i="7"/>
  <c r="G774" i="7"/>
  <c r="G775" i="7"/>
  <c r="G776" i="7"/>
  <c r="G777" i="7"/>
  <c r="G778" i="7"/>
  <c r="G773" i="7"/>
  <c r="H792" i="7"/>
  <c r="H793" i="7"/>
  <c r="I793" i="7" s="1"/>
  <c r="H794" i="7"/>
  <c r="H795" i="7"/>
  <c r="H796" i="7"/>
  <c r="N797" i="7"/>
  <c r="K797" i="7"/>
  <c r="I797" i="7"/>
  <c r="H797" i="7"/>
  <c r="N796" i="7"/>
  <c r="K796" i="7"/>
  <c r="I796" i="7"/>
  <c r="N795" i="7"/>
  <c r="K795" i="7"/>
  <c r="I795" i="7"/>
  <c r="N794" i="7"/>
  <c r="K794" i="7"/>
  <c r="I794" i="7"/>
  <c r="N793" i="7"/>
  <c r="K793" i="7"/>
  <c r="N792" i="7"/>
  <c r="K792" i="7"/>
  <c r="I792" i="7"/>
  <c r="M791" i="7"/>
  <c r="L791" i="7"/>
  <c r="J791" i="7"/>
  <c r="G791" i="7"/>
  <c r="K1003" i="7" l="1"/>
  <c r="J1003" i="7"/>
  <c r="H1005" i="7"/>
  <c r="I1005" i="7" s="1"/>
  <c r="M1003" i="7"/>
  <c r="H1004" i="7"/>
  <c r="K791" i="7"/>
  <c r="N1004" i="7"/>
  <c r="K1027" i="7"/>
  <c r="H1027" i="7"/>
  <c r="N1005" i="7"/>
  <c r="N1012" i="7"/>
  <c r="K1012" i="7"/>
  <c r="I1027" i="7"/>
  <c r="N1027" i="7"/>
  <c r="N791" i="7"/>
  <c r="I1008" i="7"/>
  <c r="H1012" i="7"/>
  <c r="I1012" i="7" s="1"/>
  <c r="H791" i="7"/>
  <c r="I791" i="7" s="1"/>
  <c r="M338" i="7"/>
  <c r="L338" i="7"/>
  <c r="J338" i="7"/>
  <c r="G338" i="7"/>
  <c r="M337" i="7"/>
  <c r="L337" i="7"/>
  <c r="J337" i="7"/>
  <c r="G337" i="7"/>
  <c r="M336" i="7"/>
  <c r="L336" i="7"/>
  <c r="J336" i="7"/>
  <c r="G336" i="7"/>
  <c r="M335" i="7"/>
  <c r="L335" i="7"/>
  <c r="J335" i="7"/>
  <c r="G335" i="7"/>
  <c r="M334" i="7"/>
  <c r="L334" i="7"/>
  <c r="J334" i="7"/>
  <c r="G334" i="7"/>
  <c r="M333" i="7"/>
  <c r="L333" i="7"/>
  <c r="J333" i="7"/>
  <c r="G333" i="7"/>
  <c r="H1003" i="7" l="1"/>
  <c r="I1003" i="7" s="1"/>
  <c r="N1003" i="7"/>
  <c r="C8" i="16"/>
  <c r="I1004" i="7"/>
  <c r="H235" i="7" l="1"/>
  <c r="H237" i="7"/>
  <c r="H222" i="7"/>
  <c r="I222" i="7" s="1"/>
  <c r="H223" i="7"/>
  <c r="H224" i="7"/>
  <c r="H225" i="7"/>
  <c r="H226" i="7"/>
  <c r="N226" i="7"/>
  <c r="K226" i="7"/>
  <c r="I226" i="7"/>
  <c r="N225" i="7"/>
  <c r="K225" i="7"/>
  <c r="I225" i="7"/>
  <c r="N224" i="7"/>
  <c r="K224" i="7"/>
  <c r="I224" i="7"/>
  <c r="N223" i="7"/>
  <c r="K223" i="7"/>
  <c r="I223" i="7"/>
  <c r="N222" i="7"/>
  <c r="K222" i="7"/>
  <c r="N221" i="7"/>
  <c r="K221" i="7"/>
  <c r="H221" i="7"/>
  <c r="M220" i="7"/>
  <c r="I32" i="25" s="1"/>
  <c r="J32" i="25" s="1"/>
  <c r="L220" i="7"/>
  <c r="F32" i="25" s="1"/>
  <c r="G32" i="25" s="1"/>
  <c r="J220" i="7"/>
  <c r="G220" i="7"/>
  <c r="N215" i="7"/>
  <c r="K215" i="7"/>
  <c r="I215" i="7"/>
  <c r="H215" i="7"/>
  <c r="N214" i="7"/>
  <c r="K214" i="7"/>
  <c r="I214" i="7"/>
  <c r="H214" i="7"/>
  <c r="N213" i="7"/>
  <c r="K213" i="7"/>
  <c r="H213" i="7"/>
  <c r="I213" i="7" s="1"/>
  <c r="N212" i="7"/>
  <c r="K212" i="7"/>
  <c r="I212" i="7"/>
  <c r="H212" i="7"/>
  <c r="N211" i="7"/>
  <c r="K211" i="7"/>
  <c r="H211" i="7"/>
  <c r="I211" i="7" s="1"/>
  <c r="N210" i="7"/>
  <c r="K210" i="7"/>
  <c r="I210" i="7"/>
  <c r="H210" i="7"/>
  <c r="M209" i="7"/>
  <c r="L209" i="7"/>
  <c r="J209" i="7"/>
  <c r="G209" i="7"/>
  <c r="M131" i="7"/>
  <c r="M133" i="7"/>
  <c r="H60" i="7"/>
  <c r="H51" i="7"/>
  <c r="H53" i="7"/>
  <c r="H105" i="7"/>
  <c r="H103" i="7"/>
  <c r="D4" i="23" l="1"/>
  <c r="E4" i="12"/>
  <c r="E23" i="12" s="1"/>
  <c r="G4" i="12"/>
  <c r="G23" i="12" s="1"/>
  <c r="F4" i="23"/>
  <c r="N209" i="7"/>
  <c r="H209" i="7"/>
  <c r="I209" i="7" s="1"/>
  <c r="K209" i="7"/>
  <c r="N220" i="7"/>
  <c r="H220" i="7"/>
  <c r="I221" i="7"/>
  <c r="K220" i="7"/>
  <c r="I220" i="7"/>
  <c r="H15" i="11"/>
  <c r="G15" i="11"/>
  <c r="F15" i="11"/>
  <c r="E15" i="11"/>
  <c r="D15" i="11"/>
  <c r="H13" i="11"/>
  <c r="G13" i="11"/>
  <c r="K1000" i="7" l="1"/>
  <c r="K999" i="7"/>
  <c r="K998" i="7"/>
  <c r="K997" i="7"/>
  <c r="K996" i="7"/>
  <c r="K981" i="7"/>
  <c r="K941" i="7"/>
  <c r="K940" i="7"/>
  <c r="K939" i="7"/>
  <c r="K921" i="7"/>
  <c r="K912" i="7" s="1"/>
  <c r="K901" i="7"/>
  <c r="K899" i="7"/>
  <c r="K898" i="7"/>
  <c r="K890" i="7"/>
  <c r="K871" i="7"/>
  <c r="K862" i="7"/>
  <c r="K860" i="7"/>
  <c r="K853" i="7"/>
  <c r="K852" i="7"/>
  <c r="K850" i="7"/>
  <c r="K844" i="7"/>
  <c r="K842" i="7"/>
  <c r="K841" i="7"/>
  <c r="K840" i="7"/>
  <c r="K839" i="7"/>
  <c r="K834" i="7"/>
  <c r="K825" i="7"/>
  <c r="K823" i="7"/>
  <c r="K822" i="7"/>
  <c r="K821" i="7"/>
  <c r="K820" i="7"/>
  <c r="K732" i="7"/>
  <c r="K731" i="7"/>
  <c r="K730" i="7"/>
  <c r="K729" i="7"/>
  <c r="K719" i="7"/>
  <c r="K717" i="7"/>
  <c r="N692" i="7"/>
  <c r="K692" i="7"/>
  <c r="N691" i="7"/>
  <c r="K691" i="7"/>
  <c r="N690" i="7"/>
  <c r="K690" i="7"/>
  <c r="N689" i="7"/>
  <c r="K689" i="7"/>
  <c r="N683" i="7"/>
  <c r="K683" i="7"/>
  <c r="N682" i="7"/>
  <c r="K682" i="7"/>
  <c r="N681" i="7"/>
  <c r="K681" i="7"/>
  <c r="N680" i="7"/>
  <c r="K680" i="7"/>
  <c r="N678" i="7"/>
  <c r="K678" i="7"/>
  <c r="N670" i="7"/>
  <c r="K670" i="7"/>
  <c r="N669" i="7"/>
  <c r="K669" i="7"/>
  <c r="N668" i="7"/>
  <c r="K668" i="7"/>
  <c r="N667" i="7"/>
  <c r="K667" i="7"/>
  <c r="N657" i="7"/>
  <c r="K657" i="7"/>
  <c r="N656" i="7"/>
  <c r="K656" i="7"/>
  <c r="N655" i="7"/>
  <c r="K655" i="7"/>
  <c r="N654" i="7"/>
  <c r="K654" i="7"/>
  <c r="N643" i="7"/>
  <c r="K643" i="7"/>
  <c r="N642" i="7"/>
  <c r="K642" i="7"/>
  <c r="N641" i="7"/>
  <c r="K641" i="7"/>
  <c r="N640" i="7"/>
  <c r="K640" i="7"/>
  <c r="N632" i="7"/>
  <c r="K632" i="7"/>
  <c r="N631" i="7"/>
  <c r="K631" i="7"/>
  <c r="N629" i="7"/>
  <c r="K629" i="7"/>
  <c r="N621" i="7"/>
  <c r="K621" i="7"/>
  <c r="N620" i="7"/>
  <c r="K620" i="7"/>
  <c r="N619" i="7"/>
  <c r="K619" i="7"/>
  <c r="N618" i="7"/>
  <c r="K618" i="7"/>
  <c r="K333" i="7"/>
  <c r="K329" i="7"/>
  <c r="K328" i="7"/>
  <c r="K326" i="7"/>
  <c r="K324" i="7"/>
  <c r="K320" i="7"/>
  <c r="K319" i="7"/>
  <c r="K318" i="7"/>
  <c r="K317" i="7"/>
  <c r="K315" i="7"/>
  <c r="K310" i="7"/>
  <c r="K309" i="7"/>
  <c r="K307" i="7"/>
  <c r="K305" i="7"/>
  <c r="K299" i="7"/>
  <c r="K298" i="7"/>
  <c r="K297" i="7"/>
  <c r="K296" i="7"/>
  <c r="K189" i="7"/>
  <c r="K188" i="7"/>
  <c r="K187" i="7"/>
  <c r="K186" i="7"/>
  <c r="K185" i="7"/>
  <c r="K182" i="7"/>
  <c r="K181" i="7"/>
  <c r="K180" i="7"/>
  <c r="K179" i="7"/>
  <c r="K178" i="7"/>
  <c r="K175" i="7"/>
  <c r="K174" i="7"/>
  <c r="K173" i="7"/>
  <c r="K172" i="7"/>
  <c r="K171" i="7"/>
  <c r="H916" i="7"/>
  <c r="H907" i="7" s="1"/>
  <c r="N908" i="7"/>
  <c r="N909" i="7"/>
  <c r="N911" i="7"/>
  <c r="N912" i="7"/>
  <c r="N907" i="7"/>
  <c r="I909" i="7"/>
  <c r="I910" i="7"/>
  <c r="I912" i="7"/>
  <c r="N921" i="7"/>
  <c r="I921" i="7"/>
  <c r="H921" i="7"/>
  <c r="H912" i="7" s="1"/>
  <c r="N920" i="7"/>
  <c r="K920" i="7"/>
  <c r="K911" i="7" s="1"/>
  <c r="I920" i="7"/>
  <c r="N919" i="7"/>
  <c r="K919" i="7"/>
  <c r="K910" i="7" s="1"/>
  <c r="I919" i="7"/>
  <c r="H919" i="7"/>
  <c r="H910" i="7" s="1"/>
  <c r="N918" i="7"/>
  <c r="K918" i="7"/>
  <c r="K909" i="7" s="1"/>
  <c r="I918" i="7"/>
  <c r="H918" i="7"/>
  <c r="H909" i="7" s="1"/>
  <c r="N917" i="7"/>
  <c r="K917" i="7"/>
  <c r="K908" i="7" s="1"/>
  <c r="H917" i="7"/>
  <c r="H908" i="7" s="1"/>
  <c r="N916" i="7"/>
  <c r="K916" i="7"/>
  <c r="K907" i="7" s="1"/>
  <c r="M915" i="7"/>
  <c r="L915" i="7"/>
  <c r="J915" i="7"/>
  <c r="G915" i="7"/>
  <c r="N910" i="7"/>
  <c r="M608" i="7"/>
  <c r="M609" i="7"/>
  <c r="M610" i="7"/>
  <c r="M611" i="7"/>
  <c r="M612" i="7"/>
  <c r="M607" i="7"/>
  <c r="L608" i="7"/>
  <c r="L609" i="7"/>
  <c r="L610" i="7"/>
  <c r="L611" i="7"/>
  <c r="L612" i="7"/>
  <c r="L607" i="7"/>
  <c r="J608" i="7"/>
  <c r="J609" i="7"/>
  <c r="J610" i="7"/>
  <c r="J611" i="7"/>
  <c r="J612" i="7"/>
  <c r="J607" i="7"/>
  <c r="G608" i="7"/>
  <c r="G609" i="7"/>
  <c r="G610" i="7"/>
  <c r="G611" i="7"/>
  <c r="G612" i="7"/>
  <c r="G607" i="7"/>
  <c r="H679" i="7"/>
  <c r="I679" i="7" s="1"/>
  <c r="H678" i="7"/>
  <c r="H666" i="7"/>
  <c r="I666" i="7" s="1"/>
  <c r="H665" i="7"/>
  <c r="I665" i="7" s="1"/>
  <c r="H630" i="7"/>
  <c r="H628" i="7"/>
  <c r="H627" i="7"/>
  <c r="I683" i="7"/>
  <c r="H683" i="7"/>
  <c r="I682" i="7"/>
  <c r="H682" i="7"/>
  <c r="I681" i="7"/>
  <c r="H681" i="7"/>
  <c r="I680" i="7"/>
  <c r="H680" i="7"/>
  <c r="N679" i="7"/>
  <c r="K679" i="7"/>
  <c r="I678" i="7"/>
  <c r="M677" i="7"/>
  <c r="L677" i="7"/>
  <c r="J677" i="7"/>
  <c r="G677" i="7"/>
  <c r="I670" i="7"/>
  <c r="H670" i="7"/>
  <c r="I669" i="7"/>
  <c r="H669" i="7"/>
  <c r="I668" i="7"/>
  <c r="H668" i="7"/>
  <c r="I667" i="7"/>
  <c r="H667" i="7"/>
  <c r="N666" i="7"/>
  <c r="K666" i="7"/>
  <c r="N665" i="7"/>
  <c r="K665" i="7"/>
  <c r="M664" i="7"/>
  <c r="L664" i="7"/>
  <c r="J664" i="7"/>
  <c r="G664" i="7"/>
  <c r="H786" i="7"/>
  <c r="H777" i="7" s="1"/>
  <c r="H785" i="7"/>
  <c r="H776" i="7" s="1"/>
  <c r="H784" i="7"/>
  <c r="H775" i="7" s="1"/>
  <c r="H783" i="7"/>
  <c r="H774" i="7" s="1"/>
  <c r="H782" i="7"/>
  <c r="H773" i="7" s="1"/>
  <c r="H728" i="7"/>
  <c r="H727" i="7"/>
  <c r="H716" i="7"/>
  <c r="H715" i="7"/>
  <c r="H759" i="7"/>
  <c r="H761" i="7"/>
  <c r="H758" i="7"/>
  <c r="H757" i="7"/>
  <c r="H760" i="7"/>
  <c r="I917" i="7" l="1"/>
  <c r="K335" i="7"/>
  <c r="K338" i="7"/>
  <c r="K337" i="7"/>
  <c r="H664" i="7"/>
  <c r="I664" i="7" s="1"/>
  <c r="L906" i="7"/>
  <c r="K677" i="7"/>
  <c r="I916" i="7"/>
  <c r="G906" i="7"/>
  <c r="J906" i="7"/>
  <c r="H677" i="7"/>
  <c r="I907" i="7"/>
  <c r="K915" i="7"/>
  <c r="K664" i="7"/>
  <c r="I908" i="7"/>
  <c r="M906" i="7"/>
  <c r="K906" i="7"/>
  <c r="I911" i="7"/>
  <c r="N915" i="7"/>
  <c r="H915" i="7"/>
  <c r="I915" i="7" s="1"/>
  <c r="I677" i="7"/>
  <c r="N677" i="7"/>
  <c r="N664" i="7"/>
  <c r="N1000" i="7"/>
  <c r="I1000" i="7"/>
  <c r="H1000" i="7"/>
  <c r="N999" i="7"/>
  <c r="I999" i="7"/>
  <c r="H999" i="7"/>
  <c r="N998" i="7"/>
  <c r="I998" i="7"/>
  <c r="H998" i="7"/>
  <c r="N997" i="7"/>
  <c r="I997" i="7"/>
  <c r="H997" i="7"/>
  <c r="N996" i="7"/>
  <c r="I996" i="7"/>
  <c r="H996" i="7"/>
  <c r="N995" i="7"/>
  <c r="K995" i="7"/>
  <c r="H995" i="7"/>
  <c r="I995" i="7" s="1"/>
  <c r="M994" i="7"/>
  <c r="O20" i="25" s="1"/>
  <c r="L994" i="7"/>
  <c r="L20" i="25" s="1"/>
  <c r="K994" i="7"/>
  <c r="J994" i="7"/>
  <c r="G994" i="7"/>
  <c r="N981" i="7"/>
  <c r="I981" i="7"/>
  <c r="H981" i="7"/>
  <c r="N980" i="7"/>
  <c r="K980" i="7"/>
  <c r="H980" i="7"/>
  <c r="I980" i="7" s="1"/>
  <c r="N979" i="7"/>
  <c r="K979" i="7"/>
  <c r="I979" i="7"/>
  <c r="H979" i="7"/>
  <c r="N978" i="7"/>
  <c r="K978" i="7"/>
  <c r="I978" i="7"/>
  <c r="H978" i="7"/>
  <c r="N977" i="7"/>
  <c r="K977" i="7"/>
  <c r="H977" i="7"/>
  <c r="I977" i="7" s="1"/>
  <c r="N976" i="7"/>
  <c r="K976" i="7"/>
  <c r="H976" i="7"/>
  <c r="I976" i="7" s="1"/>
  <c r="M975" i="7"/>
  <c r="L975" i="7"/>
  <c r="J975" i="7"/>
  <c r="G975" i="7"/>
  <c r="N961" i="7"/>
  <c r="K961" i="7"/>
  <c r="K932" i="7" s="1"/>
  <c r="I961" i="7"/>
  <c r="H961" i="7"/>
  <c r="N960" i="7"/>
  <c r="K960" i="7"/>
  <c r="H960" i="7"/>
  <c r="N959" i="7"/>
  <c r="K959" i="7"/>
  <c r="I959" i="7"/>
  <c r="H959" i="7"/>
  <c r="N958" i="7"/>
  <c r="K958" i="7"/>
  <c r="I958" i="7"/>
  <c r="H958" i="7"/>
  <c r="N957" i="7"/>
  <c r="K957" i="7"/>
  <c r="H957" i="7"/>
  <c r="I957" i="7" s="1"/>
  <c r="N956" i="7"/>
  <c r="K956" i="7"/>
  <c r="H956" i="7"/>
  <c r="I956" i="7" s="1"/>
  <c r="M955" i="7"/>
  <c r="L955" i="7"/>
  <c r="J955" i="7"/>
  <c r="G955" i="7"/>
  <c r="M803" i="7"/>
  <c r="M804" i="7"/>
  <c r="M805" i="7"/>
  <c r="M806" i="7"/>
  <c r="M807" i="7"/>
  <c r="M802" i="7"/>
  <c r="L803" i="7"/>
  <c r="L804" i="7"/>
  <c r="L805" i="7"/>
  <c r="L806" i="7"/>
  <c r="L807" i="7"/>
  <c r="L802" i="7"/>
  <c r="J803" i="7"/>
  <c r="J804" i="7"/>
  <c r="J805" i="7"/>
  <c r="J806" i="7"/>
  <c r="J807" i="7"/>
  <c r="J802" i="7"/>
  <c r="G803" i="7"/>
  <c r="G804" i="7"/>
  <c r="G805" i="7"/>
  <c r="G806" i="7"/>
  <c r="G807" i="7"/>
  <c r="G802" i="7"/>
  <c r="H890" i="7"/>
  <c r="H889" i="7"/>
  <c r="H888" i="7"/>
  <c r="H887" i="7"/>
  <c r="H886" i="7"/>
  <c r="H879" i="7"/>
  <c r="H870" i="7"/>
  <c r="H815" i="7"/>
  <c r="H861" i="7"/>
  <c r="H900" i="7"/>
  <c r="H897" i="7"/>
  <c r="H896" i="7"/>
  <c r="H880" i="7"/>
  <c r="H877" i="7"/>
  <c r="H876" i="7"/>
  <c r="H871" i="7"/>
  <c r="H868" i="7"/>
  <c r="H867" i="7"/>
  <c r="K867" i="7"/>
  <c r="K868" i="7"/>
  <c r="K869" i="7"/>
  <c r="K870" i="7"/>
  <c r="H862" i="7"/>
  <c r="H859" i="7"/>
  <c r="H858" i="7"/>
  <c r="H833" i="7"/>
  <c r="H829" i="7"/>
  <c r="P20" i="25" l="1"/>
  <c r="N906" i="7"/>
  <c r="C6" i="16"/>
  <c r="K930" i="7"/>
  <c r="M20" i="25"/>
  <c r="K931" i="7"/>
  <c r="I960" i="7"/>
  <c r="H906" i="7"/>
  <c r="I906" i="7" s="1"/>
  <c r="K955" i="7"/>
  <c r="H955" i="7"/>
  <c r="N994" i="7"/>
  <c r="K975" i="7"/>
  <c r="H975" i="7"/>
  <c r="I975" i="7" s="1"/>
  <c r="I955" i="7"/>
  <c r="N955" i="7"/>
  <c r="N975" i="7"/>
  <c r="H994" i="7"/>
  <c r="I994" i="7" s="1"/>
  <c r="H830" i="7"/>
  <c r="H813" i="7"/>
  <c r="M252" i="7" l="1"/>
  <c r="L252" i="7"/>
  <c r="M251" i="7"/>
  <c r="L251" i="7"/>
  <c r="M250" i="7"/>
  <c r="L250" i="7"/>
  <c r="M249" i="7"/>
  <c r="L249" i="7"/>
  <c r="M248" i="7"/>
  <c r="L248" i="7"/>
  <c r="M247" i="7"/>
  <c r="L247" i="7"/>
  <c r="J252" i="7"/>
  <c r="J251" i="7"/>
  <c r="J250" i="7"/>
  <c r="J249" i="7"/>
  <c r="J248" i="7"/>
  <c r="J247" i="7"/>
  <c r="G248" i="7"/>
  <c r="G249" i="7"/>
  <c r="G250" i="7"/>
  <c r="G251" i="7"/>
  <c r="G252" i="7"/>
  <c r="G247" i="7"/>
  <c r="H325" i="7"/>
  <c r="H327" i="7"/>
  <c r="H316" i="7"/>
  <c r="H306" i="7"/>
  <c r="H308" i="7"/>
  <c r="H295" i="7"/>
  <c r="H286" i="7"/>
  <c r="H288" i="7"/>
  <c r="H277" i="7"/>
  <c r="H279" i="7"/>
  <c r="H266" i="7"/>
  <c r="H268" i="7"/>
  <c r="N261" i="7"/>
  <c r="K261" i="7"/>
  <c r="I261" i="7"/>
  <c r="H261" i="7"/>
  <c r="N260" i="7"/>
  <c r="K260" i="7"/>
  <c r="I260" i="7"/>
  <c r="H260" i="7"/>
  <c r="N259" i="7"/>
  <c r="K259" i="7"/>
  <c r="H259" i="7"/>
  <c r="I259" i="7" s="1"/>
  <c r="N258" i="7"/>
  <c r="K258" i="7"/>
  <c r="I258" i="7"/>
  <c r="H258" i="7"/>
  <c r="N257" i="7"/>
  <c r="K257" i="7"/>
  <c r="H257" i="7"/>
  <c r="I257" i="7" s="1"/>
  <c r="N256" i="7"/>
  <c r="K256" i="7"/>
  <c r="I256" i="7"/>
  <c r="H256" i="7"/>
  <c r="M255" i="7"/>
  <c r="L255" i="7"/>
  <c r="J255" i="7"/>
  <c r="G255" i="7"/>
  <c r="H201" i="7"/>
  <c r="I201" i="7" s="1"/>
  <c r="H203" i="7"/>
  <c r="I203" i="7" s="1"/>
  <c r="N205" i="7"/>
  <c r="K205" i="7"/>
  <c r="I205" i="7"/>
  <c r="H205" i="7"/>
  <c r="N204" i="7"/>
  <c r="K204" i="7"/>
  <c r="I204" i="7"/>
  <c r="H204" i="7"/>
  <c r="N203" i="7"/>
  <c r="K203" i="7"/>
  <c r="N202" i="7"/>
  <c r="K202" i="7"/>
  <c r="I202" i="7"/>
  <c r="H202" i="7"/>
  <c r="N201" i="7"/>
  <c r="K201" i="7"/>
  <c r="N200" i="7"/>
  <c r="K200" i="7"/>
  <c r="I200" i="7"/>
  <c r="H200" i="7"/>
  <c r="M199" i="7"/>
  <c r="L199" i="7"/>
  <c r="J199" i="7"/>
  <c r="G199" i="7"/>
  <c r="H194" i="7"/>
  <c r="H192" i="7"/>
  <c r="H184" i="7"/>
  <c r="H177" i="7"/>
  <c r="H170" i="7"/>
  <c r="H162" i="7"/>
  <c r="H146" i="7"/>
  <c r="H148" i="7"/>
  <c r="H137" i="7"/>
  <c r="H123" i="7"/>
  <c r="H121" i="7"/>
  <c r="N125" i="7"/>
  <c r="K125" i="7"/>
  <c r="I125" i="7"/>
  <c r="H125" i="7"/>
  <c r="N124" i="7"/>
  <c r="K124" i="7"/>
  <c r="I124" i="7"/>
  <c r="H124" i="7"/>
  <c r="N123" i="7"/>
  <c r="K123" i="7"/>
  <c r="N122" i="7"/>
  <c r="K122" i="7"/>
  <c r="I122" i="7"/>
  <c r="H122" i="7"/>
  <c r="N121" i="7"/>
  <c r="K121" i="7"/>
  <c r="N120" i="7"/>
  <c r="K120" i="7"/>
  <c r="I120" i="7"/>
  <c r="H120" i="7"/>
  <c r="M119" i="7"/>
  <c r="L119" i="7"/>
  <c r="J119" i="7"/>
  <c r="G119" i="7"/>
  <c r="M35" i="7"/>
  <c r="L35" i="7"/>
  <c r="M34" i="7"/>
  <c r="L34" i="7"/>
  <c r="M33" i="7"/>
  <c r="L33" i="7"/>
  <c r="M32" i="7"/>
  <c r="L32" i="7"/>
  <c r="M31" i="7"/>
  <c r="L31" i="7"/>
  <c r="M30" i="7"/>
  <c r="L30" i="7"/>
  <c r="J35" i="7"/>
  <c r="J34" i="7"/>
  <c r="J33" i="7"/>
  <c r="J32" i="7"/>
  <c r="J31" i="7"/>
  <c r="J30" i="7"/>
  <c r="G31" i="7"/>
  <c r="G32" i="7"/>
  <c r="G33" i="7"/>
  <c r="G34" i="7"/>
  <c r="G35" i="7"/>
  <c r="G30" i="7"/>
  <c r="H94" i="7"/>
  <c r="H92" i="7"/>
  <c r="H91" i="7"/>
  <c r="K83" i="7"/>
  <c r="H85" i="7"/>
  <c r="H83" i="7"/>
  <c r="H82" i="7"/>
  <c r="I121" i="7" l="1"/>
  <c r="I123" i="7"/>
  <c r="H199" i="7"/>
  <c r="K255" i="7"/>
  <c r="K199" i="7"/>
  <c r="N199" i="7"/>
  <c r="H248" i="7"/>
  <c r="H255" i="7"/>
  <c r="I255" i="7" s="1"/>
  <c r="N119" i="7"/>
  <c r="H119" i="7"/>
  <c r="I119" i="7" s="1"/>
  <c r="N255" i="7"/>
  <c r="K119" i="7"/>
  <c r="I199" i="7"/>
  <c r="N87" i="7" l="1"/>
  <c r="K87" i="7"/>
  <c r="I87" i="7"/>
  <c r="H87" i="7"/>
  <c r="N86" i="7"/>
  <c r="K86" i="7"/>
  <c r="I86" i="7"/>
  <c r="H86" i="7"/>
  <c r="N85" i="7"/>
  <c r="K85" i="7"/>
  <c r="I85" i="7"/>
  <c r="N84" i="7"/>
  <c r="K84" i="7"/>
  <c r="I84" i="7"/>
  <c r="H84" i="7"/>
  <c r="N83" i="7"/>
  <c r="I83" i="7"/>
  <c r="N82" i="7"/>
  <c r="K82" i="7"/>
  <c r="I82" i="7"/>
  <c r="M81" i="7"/>
  <c r="L81" i="7"/>
  <c r="J81" i="7"/>
  <c r="G81" i="7"/>
  <c r="N77" i="7"/>
  <c r="K77" i="7"/>
  <c r="I77" i="7"/>
  <c r="H77" i="7"/>
  <c r="N76" i="7"/>
  <c r="K76" i="7"/>
  <c r="I76" i="7"/>
  <c r="H76" i="7"/>
  <c r="N75" i="7"/>
  <c r="K75" i="7"/>
  <c r="H75" i="7"/>
  <c r="I75" i="7" s="1"/>
  <c r="N74" i="7"/>
  <c r="K74" i="7"/>
  <c r="I74" i="7"/>
  <c r="H74" i="7"/>
  <c r="N73" i="7"/>
  <c r="K73" i="7"/>
  <c r="H73" i="7"/>
  <c r="I73" i="7" s="1"/>
  <c r="N72" i="7"/>
  <c r="K72" i="7"/>
  <c r="H72" i="7"/>
  <c r="I72" i="7" s="1"/>
  <c r="M71" i="7"/>
  <c r="L71" i="7"/>
  <c r="J71" i="7"/>
  <c r="G71" i="7"/>
  <c r="H62" i="7"/>
  <c r="H40" i="7"/>
  <c r="H39" i="7"/>
  <c r="K769" i="7"/>
  <c r="K767" i="7"/>
  <c r="K766" i="7"/>
  <c r="K765" i="7"/>
  <c r="K761" i="7"/>
  <c r="K760" i="7"/>
  <c r="K759" i="7"/>
  <c r="K758" i="7"/>
  <c r="K757" i="7"/>
  <c r="K756" i="7"/>
  <c r="K196" i="7"/>
  <c r="K195" i="7"/>
  <c r="K194" i="7"/>
  <c r="K193" i="7"/>
  <c r="K192" i="7"/>
  <c r="K191" i="7"/>
  <c r="K184" i="7"/>
  <c r="K177" i="7"/>
  <c r="K170" i="7"/>
  <c r="K167" i="7"/>
  <c r="K166" i="7"/>
  <c r="K165" i="7"/>
  <c r="K164" i="7"/>
  <c r="K163" i="7"/>
  <c r="K162" i="7"/>
  <c r="K150" i="7"/>
  <c r="K149" i="7"/>
  <c r="K148" i="7"/>
  <c r="K147" i="7"/>
  <c r="K146" i="7"/>
  <c r="K145" i="7"/>
  <c r="K938" i="7"/>
  <c r="K929" i="7" s="1"/>
  <c r="K937" i="7"/>
  <c r="K928" i="7" s="1"/>
  <c r="K936" i="7"/>
  <c r="K927" i="7" s="1"/>
  <c r="K900" i="7"/>
  <c r="K897" i="7"/>
  <c r="K896" i="7"/>
  <c r="K889" i="7"/>
  <c r="K888" i="7"/>
  <c r="K887" i="7"/>
  <c r="K886" i="7"/>
  <c r="K885" i="7"/>
  <c r="K880" i="7"/>
  <c r="K879" i="7"/>
  <c r="K878" i="7"/>
  <c r="K877" i="7"/>
  <c r="K876" i="7"/>
  <c r="K875" i="7"/>
  <c r="K866" i="7"/>
  <c r="K861" i="7"/>
  <c r="K859" i="7"/>
  <c r="K858" i="7"/>
  <c r="K857" i="7"/>
  <c r="K851" i="7"/>
  <c r="K849" i="7"/>
  <c r="K848" i="7"/>
  <c r="K843" i="7"/>
  <c r="K833" i="7"/>
  <c r="K832" i="7"/>
  <c r="K831" i="7"/>
  <c r="K830" i="7"/>
  <c r="K829" i="7"/>
  <c r="K824" i="7"/>
  <c r="K816" i="7"/>
  <c r="K815" i="7"/>
  <c r="K814" i="7"/>
  <c r="K813" i="7"/>
  <c r="K812" i="7"/>
  <c r="K811" i="7"/>
  <c r="K787" i="7"/>
  <c r="K778" i="7" s="1"/>
  <c r="K786" i="7"/>
  <c r="K777" i="7" s="1"/>
  <c r="K785" i="7"/>
  <c r="K776" i="7" s="1"/>
  <c r="K784" i="7"/>
  <c r="K775" i="7" s="1"/>
  <c r="K783" i="7"/>
  <c r="K774" i="7" s="1"/>
  <c r="K782" i="7"/>
  <c r="K773" i="7" s="1"/>
  <c r="K728" i="7"/>
  <c r="K727" i="7"/>
  <c r="K718" i="7"/>
  <c r="K716" i="7"/>
  <c r="K715" i="7"/>
  <c r="K714" i="7"/>
  <c r="K688" i="7"/>
  <c r="K687" i="7"/>
  <c r="K653" i="7"/>
  <c r="K652" i="7"/>
  <c r="K639" i="7"/>
  <c r="K638" i="7"/>
  <c r="K630" i="7"/>
  <c r="K628" i="7"/>
  <c r="K627" i="7"/>
  <c r="K612" i="7"/>
  <c r="K610" i="7"/>
  <c r="K617" i="7"/>
  <c r="K616" i="7"/>
  <c r="K336" i="7"/>
  <c r="K327" i="7"/>
  <c r="K325" i="7"/>
  <c r="K316" i="7"/>
  <c r="K308" i="7"/>
  <c r="K306" i="7"/>
  <c r="K295" i="7"/>
  <c r="K294" i="7"/>
  <c r="K290" i="7"/>
  <c r="K289" i="7"/>
  <c r="K288" i="7"/>
  <c r="K287" i="7"/>
  <c r="K286" i="7"/>
  <c r="K285" i="7"/>
  <c r="K281" i="7"/>
  <c r="K280" i="7"/>
  <c r="K279" i="7"/>
  <c r="K278" i="7"/>
  <c r="K277" i="7"/>
  <c r="K276" i="7"/>
  <c r="K270" i="7"/>
  <c r="K252" i="7" s="1"/>
  <c r="K269" i="7"/>
  <c r="K268" i="7"/>
  <c r="K267" i="7"/>
  <c r="K249" i="7" s="1"/>
  <c r="K266" i="7"/>
  <c r="K265" i="7"/>
  <c r="K239" i="7"/>
  <c r="K238" i="7"/>
  <c r="K237" i="7"/>
  <c r="K236" i="7"/>
  <c r="K235" i="7"/>
  <c r="K234" i="7"/>
  <c r="K107" i="7"/>
  <c r="K106" i="7"/>
  <c r="K105" i="7"/>
  <c r="K104" i="7"/>
  <c r="K103" i="7"/>
  <c r="K102" i="7"/>
  <c r="K247" i="7" l="1"/>
  <c r="K251" i="7"/>
  <c r="K334" i="7"/>
  <c r="K248" i="7"/>
  <c r="K250" i="7"/>
  <c r="K607" i="7"/>
  <c r="K608" i="7"/>
  <c r="K802" i="7"/>
  <c r="K804" i="7"/>
  <c r="K806" i="7"/>
  <c r="K609" i="7"/>
  <c r="K611" i="7"/>
  <c r="K803" i="7"/>
  <c r="K805" i="7"/>
  <c r="K807" i="7"/>
  <c r="K71" i="7"/>
  <c r="H81" i="7"/>
  <c r="I81" i="7" s="1"/>
  <c r="H31" i="7"/>
  <c r="H71" i="7"/>
  <c r="I71" i="7" s="1"/>
  <c r="N81" i="7"/>
  <c r="K81" i="7"/>
  <c r="N71" i="7"/>
  <c r="B19" i="22"/>
  <c r="B12" i="22"/>
  <c r="B2" i="22"/>
  <c r="B2" i="21"/>
  <c r="B3" i="21"/>
  <c r="B6" i="21" s="1"/>
  <c r="B4" i="21"/>
  <c r="B5" i="21"/>
  <c r="B2" i="20"/>
  <c r="B6" i="20" s="1"/>
  <c r="B15" i="20" s="1"/>
  <c r="B12" i="20"/>
  <c r="B10" i="20"/>
  <c r="B13" i="20" s="1"/>
  <c r="B11" i="20"/>
  <c r="B3" i="20"/>
  <c r="B5" i="20"/>
  <c r="B4" i="20"/>
  <c r="B5" i="19"/>
  <c r="B4" i="19"/>
  <c r="B8" i="19"/>
  <c r="B6" i="19"/>
  <c r="B9" i="19"/>
  <c r="I17" i="18"/>
  <c r="H17" i="18"/>
  <c r="F6" i="17"/>
  <c r="F5" i="17"/>
  <c r="F8" i="17"/>
  <c r="H17" i="14"/>
  <c r="I17" i="14"/>
  <c r="F8" i="13"/>
  <c r="F5" i="13"/>
  <c r="F6" i="13"/>
  <c r="D13" i="18"/>
  <c r="I14" i="18"/>
  <c r="H14" i="18"/>
  <c r="G14" i="18"/>
  <c r="F14" i="18"/>
  <c r="E14" i="18"/>
  <c r="D14" i="18"/>
  <c r="I13" i="18"/>
  <c r="H13" i="18"/>
  <c r="G13" i="18"/>
  <c r="F13" i="18"/>
  <c r="E13" i="18"/>
  <c r="G17" i="18"/>
  <c r="F17" i="18"/>
  <c r="E17" i="18"/>
  <c r="D17" i="18"/>
  <c r="I15" i="14"/>
  <c r="H15" i="18"/>
  <c r="G15" i="14"/>
  <c r="F15" i="18"/>
  <c r="E15" i="14"/>
  <c r="D15" i="18"/>
  <c r="D8" i="13"/>
  <c r="C8" i="13" s="1"/>
  <c r="E8" i="13"/>
  <c r="D6" i="13"/>
  <c r="C6" i="13" s="1"/>
  <c r="E6" i="13"/>
  <c r="E5" i="13"/>
  <c r="D5" i="13"/>
  <c r="F10" i="13"/>
  <c r="E10" i="13"/>
  <c r="D10" i="13"/>
  <c r="F7" i="13"/>
  <c r="E7" i="13"/>
  <c r="D7" i="13"/>
  <c r="E27" i="12"/>
  <c r="F27" i="12"/>
  <c r="G27" i="12"/>
  <c r="H27" i="12"/>
  <c r="I27" i="12"/>
  <c r="D27" i="12"/>
  <c r="H334" i="7"/>
  <c r="N329" i="7"/>
  <c r="I329" i="7"/>
  <c r="H329" i="7"/>
  <c r="N328" i="7"/>
  <c r="I328" i="7"/>
  <c r="H328" i="7"/>
  <c r="N327" i="7"/>
  <c r="I327" i="7"/>
  <c r="N326" i="7"/>
  <c r="I326" i="7"/>
  <c r="H326" i="7"/>
  <c r="N325" i="7"/>
  <c r="I325" i="7"/>
  <c r="N324" i="7"/>
  <c r="I324" i="7"/>
  <c r="H324" i="7"/>
  <c r="M323" i="7"/>
  <c r="L323" i="7"/>
  <c r="J323" i="7"/>
  <c r="G323" i="7"/>
  <c r="N320" i="7"/>
  <c r="I320" i="7"/>
  <c r="H320" i="7"/>
  <c r="N319" i="7"/>
  <c r="I319" i="7"/>
  <c r="H319" i="7"/>
  <c r="N318" i="7"/>
  <c r="H318" i="7"/>
  <c r="I318" i="7" s="1"/>
  <c r="N317" i="7"/>
  <c r="I317" i="7"/>
  <c r="H317" i="7"/>
  <c r="N316" i="7"/>
  <c r="I316" i="7"/>
  <c r="N315" i="7"/>
  <c r="I315" i="7"/>
  <c r="H315" i="7"/>
  <c r="M314" i="7"/>
  <c r="L314" i="7"/>
  <c r="J314" i="7"/>
  <c r="G314" i="7"/>
  <c r="N310" i="7"/>
  <c r="I310" i="7"/>
  <c r="H310" i="7"/>
  <c r="N309" i="7"/>
  <c r="I309" i="7"/>
  <c r="H309" i="7"/>
  <c r="N308" i="7"/>
  <c r="I308" i="7"/>
  <c r="N307" i="7"/>
  <c r="I307" i="7"/>
  <c r="H307" i="7"/>
  <c r="N306" i="7"/>
  <c r="I306" i="7"/>
  <c r="N305" i="7"/>
  <c r="I305" i="7"/>
  <c r="H305" i="7"/>
  <c r="M304" i="7"/>
  <c r="L304" i="7"/>
  <c r="J304" i="7"/>
  <c r="G304" i="7"/>
  <c r="N281" i="7"/>
  <c r="I281" i="7"/>
  <c r="H281" i="7"/>
  <c r="N280" i="7"/>
  <c r="I280" i="7"/>
  <c r="H280" i="7"/>
  <c r="N279" i="7"/>
  <c r="I279" i="7"/>
  <c r="N278" i="7"/>
  <c r="I278" i="7"/>
  <c r="H278" i="7"/>
  <c r="N277" i="7"/>
  <c r="I277" i="7"/>
  <c r="N276" i="7"/>
  <c r="I276" i="7"/>
  <c r="H276" i="7"/>
  <c r="M275" i="7"/>
  <c r="L275" i="7"/>
  <c r="J275" i="7"/>
  <c r="G275" i="7"/>
  <c r="N239" i="7"/>
  <c r="I239" i="7"/>
  <c r="H239" i="7"/>
  <c r="N238" i="7"/>
  <c r="I238" i="7"/>
  <c r="H238" i="7"/>
  <c r="N237" i="7"/>
  <c r="I237" i="7"/>
  <c r="N236" i="7"/>
  <c r="I236" i="7"/>
  <c r="H236" i="7"/>
  <c r="N235" i="7"/>
  <c r="I235" i="7"/>
  <c r="N234" i="7"/>
  <c r="H234" i="7"/>
  <c r="I234" i="7" s="1"/>
  <c r="M233" i="7"/>
  <c r="I33" i="25" s="1"/>
  <c r="J33" i="25" s="1"/>
  <c r="L233" i="7"/>
  <c r="F33" i="25" s="1"/>
  <c r="G33" i="25" s="1"/>
  <c r="J233" i="7"/>
  <c r="G233" i="7"/>
  <c r="M157" i="7"/>
  <c r="M130" i="7"/>
  <c r="H885" i="7"/>
  <c r="H875" i="7"/>
  <c r="H866" i="7"/>
  <c r="H857" i="7"/>
  <c r="H839" i="7"/>
  <c r="H811" i="7"/>
  <c r="H901" i="7"/>
  <c r="H899" i="7"/>
  <c r="H898" i="7"/>
  <c r="H878" i="7"/>
  <c r="H869" i="7"/>
  <c r="H860" i="7"/>
  <c r="H844" i="7"/>
  <c r="H843" i="7"/>
  <c r="H842" i="7"/>
  <c r="H841" i="7"/>
  <c r="H840" i="7"/>
  <c r="H834" i="7"/>
  <c r="H832" i="7"/>
  <c r="H831" i="7"/>
  <c r="H825" i="7"/>
  <c r="H824" i="7"/>
  <c r="H823" i="7"/>
  <c r="H822" i="7"/>
  <c r="H821" i="7"/>
  <c r="H820" i="7"/>
  <c r="H816" i="7"/>
  <c r="H814" i="7"/>
  <c r="H812" i="7"/>
  <c r="H941" i="7"/>
  <c r="H932" i="7" s="1"/>
  <c r="H940" i="7"/>
  <c r="H931" i="7" s="1"/>
  <c r="H939" i="7"/>
  <c r="H930" i="7" s="1"/>
  <c r="H938" i="7"/>
  <c r="H929" i="7" s="1"/>
  <c r="H937" i="7"/>
  <c r="H928" i="7" s="1"/>
  <c r="H936" i="7"/>
  <c r="H927" i="7" s="1"/>
  <c r="C10" i="13" l="1"/>
  <c r="F3" i="23"/>
  <c r="F2" i="23" s="1"/>
  <c r="G3" i="12"/>
  <c r="G24" i="12" s="1"/>
  <c r="M111" i="7"/>
  <c r="C4" i="23"/>
  <c r="D4" i="12"/>
  <c r="D23" i="12" s="1"/>
  <c r="C7" i="13"/>
  <c r="C5" i="13"/>
  <c r="H806" i="7"/>
  <c r="F4" i="13"/>
  <c r="M114" i="7"/>
  <c r="H803" i="7"/>
  <c r="H805" i="7"/>
  <c r="H804" i="7"/>
  <c r="H807" i="7"/>
  <c r="H802" i="7"/>
  <c r="C14" i="18"/>
  <c r="C13" i="18"/>
  <c r="I13" i="14"/>
  <c r="G13" i="14"/>
  <c r="E13" i="14"/>
  <c r="H15" i="14"/>
  <c r="F15" i="14"/>
  <c r="D15" i="14"/>
  <c r="H14" i="14"/>
  <c r="F14" i="14"/>
  <c r="D14" i="14"/>
  <c r="E7" i="17"/>
  <c r="E10" i="17"/>
  <c r="E15" i="18"/>
  <c r="G15" i="18"/>
  <c r="I15" i="18"/>
  <c r="D13" i="14"/>
  <c r="H13" i="14"/>
  <c r="F13" i="14"/>
  <c r="I14" i="14"/>
  <c r="G14" i="14"/>
  <c r="E14" i="14"/>
  <c r="D7" i="17"/>
  <c r="C7" i="17" s="1"/>
  <c r="F7" i="17"/>
  <c r="D10" i="17"/>
  <c r="F10" i="17"/>
  <c r="D5" i="17"/>
  <c r="C5" i="17" s="1"/>
  <c r="E5" i="17"/>
  <c r="C17" i="18"/>
  <c r="G17" i="14"/>
  <c r="E17" i="14"/>
  <c r="E8" i="17"/>
  <c r="E6" i="17"/>
  <c r="F17" i="14"/>
  <c r="D17" i="14"/>
  <c r="D8" i="17"/>
  <c r="C8" i="17" s="1"/>
  <c r="D6" i="17"/>
  <c r="C6" i="17" s="1"/>
  <c r="C27" i="12"/>
  <c r="G37" i="12" s="1"/>
  <c r="H314" i="7"/>
  <c r="I314" i="7" s="1"/>
  <c r="C8" i="12"/>
  <c r="B8" i="11"/>
  <c r="K275" i="7"/>
  <c r="H233" i="7"/>
  <c r="I233" i="7" s="1"/>
  <c r="K314" i="7"/>
  <c r="K323" i="7"/>
  <c r="N275" i="7"/>
  <c r="H275" i="7"/>
  <c r="I275" i="7" s="1"/>
  <c r="N304" i="7"/>
  <c r="H304" i="7"/>
  <c r="I304" i="7" s="1"/>
  <c r="K304" i="7"/>
  <c r="N314" i="7"/>
  <c r="N233" i="7"/>
  <c r="K233" i="7"/>
  <c r="N323" i="7"/>
  <c r="H323" i="7"/>
  <c r="I323" i="7" s="1"/>
  <c r="H787" i="7"/>
  <c r="H778" i="7" s="1"/>
  <c r="H756" i="7"/>
  <c r="H769" i="7"/>
  <c r="H768" i="7"/>
  <c r="H767" i="7"/>
  <c r="H766" i="7"/>
  <c r="H765" i="7"/>
  <c r="H764" i="7"/>
  <c r="H717" i="7"/>
  <c r="H732" i="7"/>
  <c r="H731" i="7"/>
  <c r="H730" i="7"/>
  <c r="H729" i="7"/>
  <c r="H714" i="7"/>
  <c r="H336" i="7"/>
  <c r="I189" i="7"/>
  <c r="H189" i="7"/>
  <c r="I188" i="7"/>
  <c r="H188" i="7"/>
  <c r="I187" i="7"/>
  <c r="H187" i="7"/>
  <c r="I186" i="7"/>
  <c r="H186" i="7"/>
  <c r="I185" i="7"/>
  <c r="H185" i="7"/>
  <c r="I182" i="7"/>
  <c r="H182" i="7"/>
  <c r="I181" i="7"/>
  <c r="H181" i="7"/>
  <c r="I180" i="7"/>
  <c r="H180" i="7"/>
  <c r="I179" i="7"/>
  <c r="H179" i="7"/>
  <c r="I178" i="7"/>
  <c r="H178" i="7"/>
  <c r="I175" i="7"/>
  <c r="H175" i="7"/>
  <c r="I174" i="7"/>
  <c r="H174" i="7"/>
  <c r="I173" i="7"/>
  <c r="H173" i="7"/>
  <c r="I172" i="7"/>
  <c r="H172" i="7"/>
  <c r="I171" i="7"/>
  <c r="H171" i="7"/>
  <c r="H196" i="7"/>
  <c r="H195" i="7"/>
  <c r="H193" i="7"/>
  <c r="H191" i="7"/>
  <c r="H167" i="7"/>
  <c r="H166" i="7"/>
  <c r="H165" i="7"/>
  <c r="H164" i="7"/>
  <c r="H163" i="7"/>
  <c r="H150" i="7"/>
  <c r="H149" i="7"/>
  <c r="H147" i="7"/>
  <c r="H145" i="7"/>
  <c r="H139" i="7"/>
  <c r="H140" i="7"/>
  <c r="H141" i="7"/>
  <c r="H142" i="7"/>
  <c r="H138" i="7"/>
  <c r="H338" i="7"/>
  <c r="H335" i="7"/>
  <c r="H299" i="7"/>
  <c r="H298" i="7"/>
  <c r="H297" i="7"/>
  <c r="H250" i="7" s="1"/>
  <c r="H296" i="7"/>
  <c r="H294" i="7"/>
  <c r="H290" i="7"/>
  <c r="H289" i="7"/>
  <c r="H287" i="7"/>
  <c r="H285" i="7"/>
  <c r="H270" i="7"/>
  <c r="H269" i="7"/>
  <c r="H267" i="7"/>
  <c r="H249" i="7" s="1"/>
  <c r="H265" i="7"/>
  <c r="H107" i="7"/>
  <c r="H106" i="7"/>
  <c r="H104" i="7"/>
  <c r="H102" i="7"/>
  <c r="H96" i="7"/>
  <c r="H95" i="7"/>
  <c r="H93" i="7"/>
  <c r="H64" i="7"/>
  <c r="H63" i="7"/>
  <c r="H61" i="7"/>
  <c r="H59" i="7"/>
  <c r="H55" i="7"/>
  <c r="H54" i="7"/>
  <c r="H52" i="7"/>
  <c r="H50" i="7"/>
  <c r="H42" i="7"/>
  <c r="H33" i="7" s="1"/>
  <c r="H43" i="7"/>
  <c r="H44" i="7"/>
  <c r="H41" i="7"/>
  <c r="H641" i="7"/>
  <c r="H642" i="7"/>
  <c r="H643" i="7"/>
  <c r="H621" i="7"/>
  <c r="H620" i="7"/>
  <c r="H619" i="7"/>
  <c r="H618" i="7"/>
  <c r="H632" i="7"/>
  <c r="H631" i="7"/>
  <c r="H629" i="7"/>
  <c r="H640" i="7"/>
  <c r="H655" i="7"/>
  <c r="H656" i="7"/>
  <c r="H657" i="7"/>
  <c r="H654" i="7"/>
  <c r="H689" i="7"/>
  <c r="H690" i="7"/>
  <c r="H691" i="7"/>
  <c r="H692" i="7"/>
  <c r="H688" i="7"/>
  <c r="H687" i="7"/>
  <c r="H653" i="7"/>
  <c r="H652" i="7"/>
  <c r="H639" i="7"/>
  <c r="H638" i="7"/>
  <c r="H617" i="7"/>
  <c r="H616" i="7"/>
  <c r="C10" i="17" l="1"/>
  <c r="D9" i="13"/>
  <c r="C2" i="23"/>
  <c r="H608" i="7"/>
  <c r="H607" i="7"/>
  <c r="H333" i="7"/>
  <c r="H337" i="7"/>
  <c r="E37" i="12"/>
  <c r="D9" i="17"/>
  <c r="F4" i="17"/>
  <c r="H247" i="7"/>
  <c r="H251" i="7"/>
  <c r="H611" i="7"/>
  <c r="H609" i="7"/>
  <c r="H610" i="7"/>
  <c r="H612" i="7"/>
  <c r="H30" i="7"/>
  <c r="H252" i="7"/>
  <c r="H32" i="7"/>
  <c r="H34" i="7"/>
  <c r="H35" i="7"/>
  <c r="F37" i="12"/>
  <c r="I37" i="12"/>
  <c r="C15" i="18"/>
  <c r="D37" i="12"/>
  <c r="H37" i="12"/>
  <c r="C37" i="12" l="1"/>
  <c r="J157" i="7"/>
  <c r="J156" i="7"/>
  <c r="J155" i="7"/>
  <c r="M155" i="7"/>
  <c r="J154" i="7"/>
  <c r="D3" i="23" l="1"/>
  <c r="E3" i="12"/>
  <c r="E24" i="12" s="1"/>
  <c r="M112" i="7"/>
  <c r="J133" i="7"/>
  <c r="J114" i="7" s="1"/>
  <c r="J132" i="7"/>
  <c r="J113" i="7" s="1"/>
  <c r="J131" i="7"/>
  <c r="J112" i="7" s="1"/>
  <c r="J130" i="7"/>
  <c r="J111" i="7" s="1"/>
  <c r="E4" i="17" l="1"/>
  <c r="D2" i="23"/>
  <c r="E4" i="13"/>
  <c r="D4" i="13"/>
  <c r="D4" i="17"/>
  <c r="H828" i="7"/>
  <c r="I825" i="7"/>
  <c r="N834" i="7"/>
  <c r="N833" i="7"/>
  <c r="I833" i="7"/>
  <c r="N832" i="7"/>
  <c r="I832" i="7"/>
  <c r="N831" i="7"/>
  <c r="I831" i="7"/>
  <c r="N830" i="7"/>
  <c r="I830" i="7"/>
  <c r="N829" i="7"/>
  <c r="I829" i="7"/>
  <c r="M828" i="7"/>
  <c r="L828" i="7"/>
  <c r="J828" i="7"/>
  <c r="N825" i="7"/>
  <c r="N824" i="7"/>
  <c r="I824" i="7"/>
  <c r="N823" i="7"/>
  <c r="I823" i="7"/>
  <c r="N822" i="7"/>
  <c r="I822" i="7"/>
  <c r="N821" i="7"/>
  <c r="I821" i="7"/>
  <c r="N820" i="7"/>
  <c r="I820" i="7"/>
  <c r="M819" i="7"/>
  <c r="L819" i="7"/>
  <c r="J819" i="7"/>
  <c r="G819" i="7"/>
  <c r="K819" i="7" l="1"/>
  <c r="I834" i="7"/>
  <c r="N828" i="7"/>
  <c r="N819" i="7"/>
  <c r="G828" i="7"/>
  <c r="I828" i="7" s="1"/>
  <c r="H819" i="7"/>
  <c r="I819" i="7" s="1"/>
  <c r="K828" i="7"/>
  <c r="H637" i="7"/>
  <c r="I643" i="7"/>
  <c r="I642" i="7"/>
  <c r="I641" i="7"/>
  <c r="I640" i="7"/>
  <c r="N639" i="7"/>
  <c r="I639" i="7"/>
  <c r="N638" i="7"/>
  <c r="I638" i="7"/>
  <c r="M637" i="7"/>
  <c r="L637" i="7"/>
  <c r="J637" i="7"/>
  <c r="G637" i="7"/>
  <c r="I286" i="7"/>
  <c r="N290" i="7"/>
  <c r="I290" i="7"/>
  <c r="N289" i="7"/>
  <c r="I289" i="7"/>
  <c r="N288" i="7"/>
  <c r="I288" i="7"/>
  <c r="N287" i="7"/>
  <c r="I287" i="7"/>
  <c r="N286" i="7"/>
  <c r="N285" i="7"/>
  <c r="I285" i="7"/>
  <c r="M284" i="7"/>
  <c r="L284" i="7"/>
  <c r="J284" i="7"/>
  <c r="G284" i="7"/>
  <c r="N270" i="7"/>
  <c r="I270" i="7"/>
  <c r="N269" i="7"/>
  <c r="I269" i="7"/>
  <c r="N268" i="7"/>
  <c r="N267" i="7"/>
  <c r="I267" i="7"/>
  <c r="N266" i="7"/>
  <c r="N265" i="7"/>
  <c r="I265" i="7"/>
  <c r="M264" i="7"/>
  <c r="L264" i="7"/>
  <c r="J264" i="7"/>
  <c r="G264" i="7"/>
  <c r="N637" i="7" l="1"/>
  <c r="K637" i="7"/>
  <c r="I637" i="7"/>
  <c r="H264" i="7"/>
  <c r="I264" i="7" s="1"/>
  <c r="I266" i="7"/>
  <c r="N264" i="7"/>
  <c r="H284" i="7"/>
  <c r="I284" i="7" s="1"/>
  <c r="K264" i="7"/>
  <c r="I268" i="7"/>
  <c r="N284" i="7"/>
  <c r="K284" i="7"/>
  <c r="I148" i="7"/>
  <c r="H131" i="7"/>
  <c r="H130" i="7"/>
  <c r="N35" i="7"/>
  <c r="N34" i="7"/>
  <c r="N32" i="7"/>
  <c r="I32" i="7"/>
  <c r="I34" i="7"/>
  <c r="I35" i="7"/>
  <c r="I103" i="7"/>
  <c r="I92" i="7"/>
  <c r="I94" i="7"/>
  <c r="I60" i="7"/>
  <c r="I53" i="7"/>
  <c r="I51" i="7"/>
  <c r="N44" i="7"/>
  <c r="K44" i="7"/>
  <c r="I44" i="7"/>
  <c r="N43" i="7"/>
  <c r="K43" i="7"/>
  <c r="I43" i="7"/>
  <c r="N42" i="7"/>
  <c r="K42" i="7"/>
  <c r="I42" i="7"/>
  <c r="N41" i="7"/>
  <c r="K41" i="7"/>
  <c r="I41" i="7"/>
  <c r="N40" i="7"/>
  <c r="K40" i="7"/>
  <c r="I40" i="7"/>
  <c r="N39" i="7"/>
  <c r="K39" i="7"/>
  <c r="I39" i="7"/>
  <c r="M38" i="7"/>
  <c r="L38" i="7"/>
  <c r="J38" i="7"/>
  <c r="G38" i="7"/>
  <c r="B12" i="18"/>
  <c r="C17" i="14"/>
  <c r="B3" i="17"/>
  <c r="B2" i="16"/>
  <c r="B2" i="15"/>
  <c r="B12" i="14"/>
  <c r="B3" i="13"/>
  <c r="M12" i="12"/>
  <c r="M2" i="12"/>
  <c r="C17" i="12"/>
  <c r="E26" i="12"/>
  <c r="I26" i="12"/>
  <c r="H26" i="12"/>
  <c r="G26" i="12"/>
  <c r="F26" i="12"/>
  <c r="B16" i="11"/>
  <c r="N338" i="7"/>
  <c r="N337" i="7"/>
  <c r="N335" i="7"/>
  <c r="N334" i="7"/>
  <c r="N333" i="7"/>
  <c r="I335" i="7"/>
  <c r="I337" i="7"/>
  <c r="I338" i="7"/>
  <c r="N807" i="7"/>
  <c r="N806" i="7"/>
  <c r="N805" i="7"/>
  <c r="N803" i="7"/>
  <c r="N802" i="7"/>
  <c r="I803" i="7"/>
  <c r="I805" i="7"/>
  <c r="I806" i="7"/>
  <c r="I807" i="7"/>
  <c r="L754" i="7"/>
  <c r="H14" i="11" s="1"/>
  <c r="L753" i="7"/>
  <c r="G14" i="11" s="1"/>
  <c r="L752" i="7"/>
  <c r="F14" i="11" s="1"/>
  <c r="L751" i="7"/>
  <c r="E14" i="11" s="1"/>
  <c r="L750" i="7"/>
  <c r="D14" i="11" s="1"/>
  <c r="L749" i="7"/>
  <c r="C14" i="11" s="1"/>
  <c r="J754" i="7"/>
  <c r="J745" i="7" s="1"/>
  <c r="J753" i="7"/>
  <c r="J744" i="7" s="1"/>
  <c r="J752" i="7"/>
  <c r="J743" i="7" s="1"/>
  <c r="J751" i="7"/>
  <c r="J742" i="7" s="1"/>
  <c r="J750" i="7"/>
  <c r="J741" i="7" s="1"/>
  <c r="J749" i="7"/>
  <c r="J740" i="7" s="1"/>
  <c r="G750" i="7"/>
  <c r="G751" i="7"/>
  <c r="G742" i="7" s="1"/>
  <c r="G752" i="7"/>
  <c r="G743" i="7" s="1"/>
  <c r="G753" i="7"/>
  <c r="G744" i="7" s="1"/>
  <c r="G754" i="7"/>
  <c r="G745" i="7" s="1"/>
  <c r="M710" i="7"/>
  <c r="M709" i="7"/>
  <c r="M708" i="7"/>
  <c r="M707" i="7"/>
  <c r="M706" i="7"/>
  <c r="M705" i="7"/>
  <c r="H706" i="7"/>
  <c r="H707" i="7"/>
  <c r="H708" i="7"/>
  <c r="H709" i="7"/>
  <c r="H710" i="7"/>
  <c r="L710" i="7"/>
  <c r="L709" i="7"/>
  <c r="L708" i="7"/>
  <c r="L707" i="7"/>
  <c r="L706" i="7"/>
  <c r="L705" i="7"/>
  <c r="J710" i="7"/>
  <c r="J709" i="7"/>
  <c r="J708" i="7"/>
  <c r="J707" i="7"/>
  <c r="J706" i="7"/>
  <c r="J705" i="7"/>
  <c r="G706" i="7"/>
  <c r="G707" i="7"/>
  <c r="G708" i="7"/>
  <c r="G709" i="7"/>
  <c r="G710" i="7"/>
  <c r="N612" i="7"/>
  <c r="N611" i="7"/>
  <c r="N609" i="7"/>
  <c r="I609" i="7"/>
  <c r="I611" i="7"/>
  <c r="I612" i="7"/>
  <c r="N252" i="7"/>
  <c r="N251" i="7"/>
  <c r="N250" i="7"/>
  <c r="N249" i="7"/>
  <c r="I249" i="7"/>
  <c r="I250" i="7"/>
  <c r="I252" i="7"/>
  <c r="M159" i="7"/>
  <c r="M158" i="7"/>
  <c r="M156" i="7"/>
  <c r="H155" i="7"/>
  <c r="H156" i="7"/>
  <c r="H157" i="7"/>
  <c r="H158" i="7"/>
  <c r="H159" i="7"/>
  <c r="L159" i="7"/>
  <c r="H3" i="11" s="1"/>
  <c r="L158" i="7"/>
  <c r="G3" i="11" s="1"/>
  <c r="L157" i="7"/>
  <c r="F3" i="11" s="1"/>
  <c r="L156" i="7"/>
  <c r="E3" i="11" s="1"/>
  <c r="L155" i="7"/>
  <c r="D3" i="11" s="1"/>
  <c r="L154" i="7"/>
  <c r="C3" i="11" s="1"/>
  <c r="J159" i="7"/>
  <c r="J158" i="7"/>
  <c r="G155" i="7"/>
  <c r="G156" i="7"/>
  <c r="I156" i="7" s="1"/>
  <c r="G157" i="7"/>
  <c r="G158" i="7"/>
  <c r="I158" i="7" s="1"/>
  <c r="G159" i="7"/>
  <c r="I159" i="7" s="1"/>
  <c r="M135" i="7"/>
  <c r="M134" i="7"/>
  <c r="M132" i="7"/>
  <c r="H132" i="7"/>
  <c r="H113" i="7" s="1"/>
  <c r="H134" i="7"/>
  <c r="H135" i="7"/>
  <c r="L135" i="7"/>
  <c r="H4" i="11" s="1"/>
  <c r="L134" i="7"/>
  <c r="G4" i="11" s="1"/>
  <c r="L133" i="7"/>
  <c r="F4" i="11" s="1"/>
  <c r="L132" i="7"/>
  <c r="E4" i="11" s="1"/>
  <c r="L131" i="7"/>
  <c r="D4" i="11" s="1"/>
  <c r="L130" i="7"/>
  <c r="C4" i="11" s="1"/>
  <c r="J135" i="7"/>
  <c r="J134" i="7"/>
  <c r="G131" i="7"/>
  <c r="G132" i="7"/>
  <c r="G133" i="7"/>
  <c r="G134" i="7"/>
  <c r="G135" i="7"/>
  <c r="I852" i="7"/>
  <c r="I851" i="7"/>
  <c r="I861" i="7"/>
  <c r="I860" i="7"/>
  <c r="I870" i="7"/>
  <c r="I869" i="7"/>
  <c r="I879" i="7"/>
  <c r="I878" i="7"/>
  <c r="I889" i="7"/>
  <c r="I888" i="7"/>
  <c r="I901" i="7"/>
  <c r="I900" i="7"/>
  <c r="I899" i="7"/>
  <c r="I898" i="7"/>
  <c r="I941" i="7"/>
  <c r="I940" i="7"/>
  <c r="I732" i="7"/>
  <c r="I731" i="7"/>
  <c r="I730" i="7"/>
  <c r="I729" i="7"/>
  <c r="K709" i="7"/>
  <c r="I718" i="7"/>
  <c r="K706" i="7"/>
  <c r="K708" i="7"/>
  <c r="I692" i="7"/>
  <c r="I691" i="7"/>
  <c r="I690" i="7"/>
  <c r="I689" i="7"/>
  <c r="I657" i="7"/>
  <c r="I656" i="7"/>
  <c r="I655" i="7"/>
  <c r="I654" i="7"/>
  <c r="I632" i="7"/>
  <c r="I631" i="7"/>
  <c r="I629" i="7"/>
  <c r="I299" i="7"/>
  <c r="I298" i="7"/>
  <c r="I297" i="7"/>
  <c r="I296" i="7"/>
  <c r="I294" i="7"/>
  <c r="I196" i="7"/>
  <c r="I195" i="7"/>
  <c r="I193" i="7"/>
  <c r="I191" i="7"/>
  <c r="K159" i="7"/>
  <c r="I167" i="7"/>
  <c r="I166" i="7"/>
  <c r="I165" i="7"/>
  <c r="I164" i="7"/>
  <c r="I163" i="7"/>
  <c r="I150" i="7"/>
  <c r="I149" i="7"/>
  <c r="I147" i="7"/>
  <c r="I145" i="7"/>
  <c r="K142" i="7"/>
  <c r="K135" i="7" s="1"/>
  <c r="K116" i="7" s="1"/>
  <c r="I142" i="7"/>
  <c r="K141" i="7"/>
  <c r="I141" i="7"/>
  <c r="K140" i="7"/>
  <c r="I140" i="7"/>
  <c r="K139" i="7"/>
  <c r="I139" i="7"/>
  <c r="K138" i="7"/>
  <c r="K131" i="7" s="1"/>
  <c r="K96" i="7"/>
  <c r="K95" i="7"/>
  <c r="K94" i="7"/>
  <c r="K93" i="7"/>
  <c r="K92" i="7"/>
  <c r="K91" i="7"/>
  <c r="K64" i="7"/>
  <c r="K63" i="7"/>
  <c r="K62" i="7"/>
  <c r="K61" i="7"/>
  <c r="K60" i="7"/>
  <c r="K59" i="7"/>
  <c r="K51" i="7"/>
  <c r="K52" i="7"/>
  <c r="K53" i="7"/>
  <c r="K54" i="7"/>
  <c r="K55" i="7"/>
  <c r="K50" i="7"/>
  <c r="N107" i="7"/>
  <c r="I107" i="7"/>
  <c r="N106" i="7"/>
  <c r="I106" i="7"/>
  <c r="N96" i="7"/>
  <c r="I96" i="7"/>
  <c r="N95" i="7"/>
  <c r="I95" i="7"/>
  <c r="M101" i="7"/>
  <c r="I18" i="25" s="1"/>
  <c r="L101" i="7"/>
  <c r="F18" i="25" s="1"/>
  <c r="J101" i="7"/>
  <c r="G101" i="7"/>
  <c r="M90" i="7"/>
  <c r="L90" i="7"/>
  <c r="J90" i="7"/>
  <c r="G90" i="7"/>
  <c r="M58" i="7"/>
  <c r="I19" i="25" s="1"/>
  <c r="J19" i="25" s="1"/>
  <c r="L58" i="7"/>
  <c r="F19" i="25" s="1"/>
  <c r="G19" i="25" s="1"/>
  <c r="J58" i="7"/>
  <c r="G58" i="7"/>
  <c r="N64" i="7"/>
  <c r="I64" i="7"/>
  <c r="N63" i="7"/>
  <c r="I63" i="7"/>
  <c r="I55" i="7"/>
  <c r="I844" i="7"/>
  <c r="I843" i="7"/>
  <c r="I842" i="7"/>
  <c r="I816" i="7"/>
  <c r="I815" i="7"/>
  <c r="I814" i="7"/>
  <c r="K751" i="7"/>
  <c r="K742" i="7" s="1"/>
  <c r="K752" i="7"/>
  <c r="K743" i="7" s="1"/>
  <c r="K699" i="7" s="1"/>
  <c r="K754" i="7"/>
  <c r="K745" i="7" s="1"/>
  <c r="N688" i="7"/>
  <c r="I688" i="7"/>
  <c r="N687" i="7"/>
  <c r="I687" i="7"/>
  <c r="M686" i="7"/>
  <c r="L686" i="7"/>
  <c r="J686" i="7"/>
  <c r="H686" i="7"/>
  <c r="G686" i="7"/>
  <c r="N653" i="7"/>
  <c r="I653" i="7"/>
  <c r="N652" i="7"/>
  <c r="I652" i="7"/>
  <c r="M651" i="7"/>
  <c r="L651" i="7"/>
  <c r="J651" i="7"/>
  <c r="H651" i="7"/>
  <c r="G651" i="7"/>
  <c r="N630" i="7"/>
  <c r="I630" i="7"/>
  <c r="N628" i="7"/>
  <c r="I628" i="7"/>
  <c r="N627" i="7"/>
  <c r="I627" i="7"/>
  <c r="M626" i="7"/>
  <c r="I27" i="25" s="1"/>
  <c r="J27" i="25" s="1"/>
  <c r="L626" i="7"/>
  <c r="J626" i="7"/>
  <c r="H626" i="7"/>
  <c r="G626" i="7"/>
  <c r="I621" i="7"/>
  <c r="I620" i="7"/>
  <c r="I619" i="7"/>
  <c r="I618" i="7"/>
  <c r="I617" i="7"/>
  <c r="N616" i="7"/>
  <c r="I616" i="7"/>
  <c r="M615" i="7"/>
  <c r="I23" i="25" s="1"/>
  <c r="J23" i="25" s="1"/>
  <c r="J615" i="7"/>
  <c r="H615" i="7"/>
  <c r="G615" i="7"/>
  <c r="N105" i="7"/>
  <c r="N104" i="7"/>
  <c r="I104" i="7"/>
  <c r="N103" i="7"/>
  <c r="N102" i="7"/>
  <c r="I102" i="7"/>
  <c r="N94" i="7"/>
  <c r="N93" i="7"/>
  <c r="I93" i="7"/>
  <c r="N92" i="7"/>
  <c r="N91" i="7"/>
  <c r="I91" i="7"/>
  <c r="N62" i="7"/>
  <c r="N61" i="7"/>
  <c r="I61" i="7"/>
  <c r="N60" i="7"/>
  <c r="N59" i="7"/>
  <c r="I59" i="7"/>
  <c r="N55" i="7"/>
  <c r="N54" i="7"/>
  <c r="I54" i="7"/>
  <c r="N53" i="7"/>
  <c r="N52" i="7"/>
  <c r="I52" i="7"/>
  <c r="N51" i="7"/>
  <c r="N50" i="7"/>
  <c r="I50" i="7"/>
  <c r="M49" i="7"/>
  <c r="I24" i="25" s="1"/>
  <c r="J24" i="25" s="1"/>
  <c r="L49" i="7"/>
  <c r="F24" i="25" s="1"/>
  <c r="G24" i="25" s="1"/>
  <c r="J49" i="7"/>
  <c r="G49" i="7"/>
  <c r="I295" i="7"/>
  <c r="N941" i="7"/>
  <c r="N940" i="7"/>
  <c r="N939" i="7"/>
  <c r="I939" i="7"/>
  <c r="N938" i="7"/>
  <c r="I938" i="7"/>
  <c r="N937" i="7"/>
  <c r="I937" i="7"/>
  <c r="N936" i="7"/>
  <c r="I936" i="7"/>
  <c r="M935" i="7"/>
  <c r="L935" i="7"/>
  <c r="J935" i="7"/>
  <c r="H935" i="7"/>
  <c r="G935" i="7"/>
  <c r="N932" i="7"/>
  <c r="I932" i="7"/>
  <c r="N931" i="7"/>
  <c r="N930" i="7"/>
  <c r="I930" i="7"/>
  <c r="N929" i="7"/>
  <c r="N927" i="7"/>
  <c r="N901" i="7"/>
  <c r="N900" i="7"/>
  <c r="N899" i="7"/>
  <c r="N898" i="7"/>
  <c r="N897" i="7"/>
  <c r="I897" i="7"/>
  <c r="N896" i="7"/>
  <c r="I896" i="7"/>
  <c r="M895" i="7"/>
  <c r="L895" i="7"/>
  <c r="J895" i="7"/>
  <c r="H895" i="7"/>
  <c r="G895" i="7"/>
  <c r="N890" i="7"/>
  <c r="I890" i="7"/>
  <c r="N889" i="7"/>
  <c r="N888" i="7"/>
  <c r="N887" i="7"/>
  <c r="I887" i="7"/>
  <c r="N886" i="7"/>
  <c r="I886" i="7"/>
  <c r="N885" i="7"/>
  <c r="I885" i="7"/>
  <c r="M884" i="7"/>
  <c r="L884" i="7"/>
  <c r="J884" i="7"/>
  <c r="H884" i="7"/>
  <c r="G884" i="7"/>
  <c r="N880" i="7"/>
  <c r="I880" i="7"/>
  <c r="N879" i="7"/>
  <c r="N878" i="7"/>
  <c r="N877" i="7"/>
  <c r="I877" i="7"/>
  <c r="N876" i="7"/>
  <c r="I876" i="7"/>
  <c r="N875" i="7"/>
  <c r="I875" i="7"/>
  <c r="M874" i="7"/>
  <c r="L874" i="7"/>
  <c r="J874" i="7"/>
  <c r="H874" i="7"/>
  <c r="G874" i="7"/>
  <c r="N871" i="7"/>
  <c r="I871" i="7"/>
  <c r="N870" i="7"/>
  <c r="N869" i="7"/>
  <c r="N868" i="7"/>
  <c r="I868" i="7"/>
  <c r="N867" i="7"/>
  <c r="I867" i="7"/>
  <c r="N866" i="7"/>
  <c r="I866" i="7"/>
  <c r="M865" i="7"/>
  <c r="L865" i="7"/>
  <c r="J865" i="7"/>
  <c r="H865" i="7"/>
  <c r="G865" i="7"/>
  <c r="N862" i="7"/>
  <c r="I862" i="7"/>
  <c r="N861" i="7"/>
  <c r="N860" i="7"/>
  <c r="N859" i="7"/>
  <c r="I859" i="7"/>
  <c r="N858" i="7"/>
  <c r="I858" i="7"/>
  <c r="N857" i="7"/>
  <c r="I857" i="7"/>
  <c r="M856" i="7"/>
  <c r="L856" i="7"/>
  <c r="J856" i="7"/>
  <c r="H856" i="7"/>
  <c r="G856" i="7"/>
  <c r="N853" i="7"/>
  <c r="I853" i="7"/>
  <c r="N852" i="7"/>
  <c r="N851" i="7"/>
  <c r="N850" i="7"/>
  <c r="I850" i="7"/>
  <c r="N849" i="7"/>
  <c r="I849" i="7"/>
  <c r="N848" i="7"/>
  <c r="I848" i="7"/>
  <c r="M847" i="7"/>
  <c r="L847" i="7"/>
  <c r="J847" i="7"/>
  <c r="H847" i="7"/>
  <c r="G847" i="7"/>
  <c r="N844" i="7"/>
  <c r="N843" i="7"/>
  <c r="N842" i="7"/>
  <c r="N841" i="7"/>
  <c r="I841" i="7"/>
  <c r="N840" i="7"/>
  <c r="I840" i="7"/>
  <c r="N839" i="7"/>
  <c r="I839" i="7"/>
  <c r="M838" i="7"/>
  <c r="L838" i="7"/>
  <c r="J838" i="7"/>
  <c r="H838" i="7"/>
  <c r="G838" i="7"/>
  <c r="N816" i="7"/>
  <c r="N815" i="7"/>
  <c r="N814" i="7"/>
  <c r="N813" i="7"/>
  <c r="I813" i="7"/>
  <c r="N812" i="7"/>
  <c r="I812" i="7"/>
  <c r="N811" i="7"/>
  <c r="I811" i="7"/>
  <c r="M810" i="7"/>
  <c r="L810" i="7"/>
  <c r="J810" i="7"/>
  <c r="H810" i="7"/>
  <c r="G810" i="7"/>
  <c r="N787" i="7"/>
  <c r="I787" i="7"/>
  <c r="N786" i="7"/>
  <c r="I786" i="7"/>
  <c r="N785" i="7"/>
  <c r="I785" i="7"/>
  <c r="N784" i="7"/>
  <c r="I784" i="7"/>
  <c r="N783" i="7"/>
  <c r="I783" i="7"/>
  <c r="N782" i="7"/>
  <c r="I782" i="7"/>
  <c r="M781" i="7"/>
  <c r="O24" i="25" s="1"/>
  <c r="L781" i="7"/>
  <c r="L24" i="25" s="1"/>
  <c r="J781" i="7"/>
  <c r="H781" i="7"/>
  <c r="G781" i="7"/>
  <c r="N777" i="7"/>
  <c r="N776" i="7"/>
  <c r="H293" i="7"/>
  <c r="G293" i="7"/>
  <c r="H713" i="7"/>
  <c r="G713" i="7"/>
  <c r="H726" i="7"/>
  <c r="G726" i="7"/>
  <c r="M726" i="7"/>
  <c r="O25" i="25" s="1"/>
  <c r="P25" i="25" s="1"/>
  <c r="L726" i="7"/>
  <c r="L25" i="25" s="1"/>
  <c r="M25" i="25" s="1"/>
  <c r="J726" i="7"/>
  <c r="M713" i="7"/>
  <c r="L713" i="7"/>
  <c r="J713" i="7"/>
  <c r="M293" i="7"/>
  <c r="I37" i="25" s="1"/>
  <c r="J37" i="25" s="1"/>
  <c r="L293" i="7"/>
  <c r="F37" i="25" s="1"/>
  <c r="G37" i="25" s="1"/>
  <c r="J293" i="7"/>
  <c r="N769" i="7"/>
  <c r="I769" i="7"/>
  <c r="N768" i="7"/>
  <c r="I768" i="7"/>
  <c r="N767" i="7"/>
  <c r="I767" i="7"/>
  <c r="N766" i="7"/>
  <c r="I766" i="7"/>
  <c r="N765" i="7"/>
  <c r="I765" i="7"/>
  <c r="N764" i="7"/>
  <c r="I764" i="7"/>
  <c r="N761" i="7"/>
  <c r="I761" i="7"/>
  <c r="N760" i="7"/>
  <c r="I760" i="7"/>
  <c r="N759" i="7"/>
  <c r="I759" i="7"/>
  <c r="N758" i="7"/>
  <c r="I758" i="7"/>
  <c r="N757" i="7"/>
  <c r="I757" i="7"/>
  <c r="N756" i="7"/>
  <c r="I756" i="7"/>
  <c r="M754" i="7"/>
  <c r="H14" i="23" s="1"/>
  <c r="H11" i="23" s="1"/>
  <c r="H754" i="7"/>
  <c r="H745" i="7" s="1"/>
  <c r="H701" i="7" s="1"/>
  <c r="M753" i="7"/>
  <c r="H753" i="7"/>
  <c r="H744" i="7" s="1"/>
  <c r="M752" i="7"/>
  <c r="H752" i="7"/>
  <c r="H743" i="7" s="1"/>
  <c r="H699" i="7" s="1"/>
  <c r="M751" i="7"/>
  <c r="H751" i="7"/>
  <c r="H742" i="7" s="1"/>
  <c r="M750" i="7"/>
  <c r="H750" i="7"/>
  <c r="H741" i="7" s="1"/>
  <c r="M749" i="7"/>
  <c r="H749" i="7"/>
  <c r="H740" i="7" s="1"/>
  <c r="G749" i="7"/>
  <c r="G740" i="7" s="1"/>
  <c r="H705" i="7"/>
  <c r="G705" i="7"/>
  <c r="N732" i="7"/>
  <c r="N731" i="7"/>
  <c r="N730" i="7"/>
  <c r="N729" i="7"/>
  <c r="N728" i="7"/>
  <c r="I728" i="7"/>
  <c r="N727" i="7"/>
  <c r="I727" i="7"/>
  <c r="I251" i="7"/>
  <c r="N299" i="7"/>
  <c r="N298" i="7"/>
  <c r="N297" i="7"/>
  <c r="N296" i="7"/>
  <c r="N295" i="7"/>
  <c r="N294" i="7"/>
  <c r="H154" i="7"/>
  <c r="G154" i="7"/>
  <c r="N196" i="7"/>
  <c r="N195" i="7"/>
  <c r="N194" i="7"/>
  <c r="I194" i="7"/>
  <c r="N193" i="7"/>
  <c r="N192" i="7"/>
  <c r="I192" i="7"/>
  <c r="N191" i="7"/>
  <c r="N189" i="7"/>
  <c r="N188" i="7"/>
  <c r="N187" i="7"/>
  <c r="N186" i="7"/>
  <c r="N185" i="7"/>
  <c r="N184" i="7"/>
  <c r="I184" i="7"/>
  <c r="N182" i="7"/>
  <c r="N181" i="7"/>
  <c r="N180" i="7"/>
  <c r="N179" i="7"/>
  <c r="N178" i="7"/>
  <c r="N177" i="7"/>
  <c r="I177" i="7"/>
  <c r="N175" i="7"/>
  <c r="N174" i="7"/>
  <c r="N173" i="7"/>
  <c r="N172" i="7"/>
  <c r="N171" i="7"/>
  <c r="N170" i="7"/>
  <c r="I170" i="7"/>
  <c r="N167" i="7"/>
  <c r="N166" i="7"/>
  <c r="N165" i="7"/>
  <c r="N164" i="7"/>
  <c r="N163" i="7"/>
  <c r="N162" i="7"/>
  <c r="I162" i="7"/>
  <c r="K137" i="7"/>
  <c r="N150" i="7"/>
  <c r="N149" i="7"/>
  <c r="N148" i="7"/>
  <c r="N147" i="7"/>
  <c r="N146" i="7"/>
  <c r="N145" i="7"/>
  <c r="N142" i="7"/>
  <c r="N141" i="7"/>
  <c r="N140" i="7"/>
  <c r="N139" i="7"/>
  <c r="N138" i="7"/>
  <c r="N137" i="7"/>
  <c r="I138" i="7"/>
  <c r="G130" i="7"/>
  <c r="N718" i="7"/>
  <c r="N717" i="7"/>
  <c r="N715" i="7"/>
  <c r="I719" i="7"/>
  <c r="I717" i="7"/>
  <c r="I716" i="7"/>
  <c r="I715" i="7"/>
  <c r="I714" i="7"/>
  <c r="N716" i="7"/>
  <c r="N719" i="7"/>
  <c r="N714" i="7"/>
  <c r="N247" i="7"/>
  <c r="N617" i="7"/>
  <c r="L615" i="7"/>
  <c r="F23" i="25" s="1"/>
  <c r="G23" i="25" s="1"/>
  <c r="I247" i="7"/>
  <c r="G246" i="7"/>
  <c r="G4" i="23" l="1"/>
  <c r="H4" i="12"/>
  <c r="F15" i="12"/>
  <c r="F28" i="12" s="1"/>
  <c r="E14" i="23"/>
  <c r="E11" i="23" s="1"/>
  <c r="P24" i="25"/>
  <c r="P40" i="25" s="1"/>
  <c r="O40" i="25"/>
  <c r="J18" i="25"/>
  <c r="J40" i="25" s="1"/>
  <c r="I40" i="25"/>
  <c r="I4" i="12"/>
  <c r="I23" i="12" s="1"/>
  <c r="H4" i="23"/>
  <c r="H3" i="12"/>
  <c r="G3" i="23"/>
  <c r="G2" i="23" s="1"/>
  <c r="M24" i="25"/>
  <c r="M40" i="25" s="1"/>
  <c r="L40" i="25"/>
  <c r="F3" i="12"/>
  <c r="F24" i="12" s="1"/>
  <c r="E3" i="23"/>
  <c r="H696" i="7"/>
  <c r="F27" i="25"/>
  <c r="G27" i="25" s="1"/>
  <c r="H3" i="23"/>
  <c r="H2" i="23" s="1"/>
  <c r="I3" i="12"/>
  <c r="I24" i="12" s="1"/>
  <c r="G18" i="25"/>
  <c r="G40" i="25" s="1"/>
  <c r="F40" i="25"/>
  <c r="E15" i="12"/>
  <c r="E28" i="12" s="1"/>
  <c r="D14" i="23"/>
  <c r="D11" i="23" s="1"/>
  <c r="G15" i="12"/>
  <c r="G28" i="12" s="1"/>
  <c r="F14" i="23"/>
  <c r="F11" i="23" s="1"/>
  <c r="E4" i="23"/>
  <c r="B4" i="23" s="1"/>
  <c r="F4" i="12"/>
  <c r="F23" i="12" s="1"/>
  <c r="C14" i="23"/>
  <c r="C11" i="23" s="1"/>
  <c r="D15" i="12"/>
  <c r="D28" i="12" s="1"/>
  <c r="H15" i="12"/>
  <c r="H28" i="12" s="1"/>
  <c r="G14" i="23"/>
  <c r="G111" i="7"/>
  <c r="G116" i="7"/>
  <c r="G114" i="7"/>
  <c r="G24" i="7" s="1"/>
  <c r="G112" i="7"/>
  <c r="J116" i="7"/>
  <c r="H115" i="7"/>
  <c r="M113" i="7"/>
  <c r="M23" i="7" s="1"/>
  <c r="E24" i="23" s="1"/>
  <c r="M116" i="7"/>
  <c r="G701" i="7"/>
  <c r="G699" i="7"/>
  <c r="J697" i="7"/>
  <c r="J699" i="7"/>
  <c r="J701" i="7"/>
  <c r="G696" i="7"/>
  <c r="G700" i="7"/>
  <c r="G698" i="7"/>
  <c r="J696" i="7"/>
  <c r="J698" i="7"/>
  <c r="J700" i="7"/>
  <c r="H700" i="7"/>
  <c r="H698" i="7"/>
  <c r="H697" i="7"/>
  <c r="M115" i="7"/>
  <c r="G115" i="7"/>
  <c r="G113" i="7"/>
  <c r="J115" i="7"/>
  <c r="H116" i="7"/>
  <c r="L112" i="7"/>
  <c r="L22" i="7" s="1"/>
  <c r="L114" i="7"/>
  <c r="L24" i="7" s="1"/>
  <c r="L116" i="7"/>
  <c r="L26" i="7" s="1"/>
  <c r="N26" i="7" s="1"/>
  <c r="H112" i="7"/>
  <c r="I112" i="7" s="1"/>
  <c r="L111" i="7"/>
  <c r="L113" i="7"/>
  <c r="L115" i="7"/>
  <c r="H111" i="7"/>
  <c r="F2" i="11"/>
  <c r="I709" i="7"/>
  <c r="N709" i="7"/>
  <c r="I708" i="7"/>
  <c r="N708" i="7"/>
  <c r="I777" i="7"/>
  <c r="N935" i="7"/>
  <c r="I931" i="7"/>
  <c r="G21" i="7"/>
  <c r="J26" i="7"/>
  <c r="H25" i="7"/>
  <c r="K31" i="7"/>
  <c r="K33" i="7"/>
  <c r="K35" i="7"/>
  <c r="E9" i="17"/>
  <c r="F9" i="17"/>
  <c r="F3" i="17" s="1"/>
  <c r="K30" i="7"/>
  <c r="K32" i="7"/>
  <c r="K34" i="7"/>
  <c r="M740" i="7"/>
  <c r="M696" i="7" s="1"/>
  <c r="D12" i="12"/>
  <c r="D4" i="24" s="1"/>
  <c r="F16" i="18"/>
  <c r="F12" i="18" s="1"/>
  <c r="G16" i="14"/>
  <c r="G16" i="18"/>
  <c r="M744" i="7"/>
  <c r="M700" i="7" s="1"/>
  <c r="I16" i="14"/>
  <c r="I12" i="14" s="1"/>
  <c r="I4" i="14" s="1"/>
  <c r="I16" i="18"/>
  <c r="I12" i="18" s="1"/>
  <c r="M25" i="7"/>
  <c r="G24" i="23" s="1"/>
  <c r="G25" i="23" s="1"/>
  <c r="I30" i="7"/>
  <c r="I134" i="7"/>
  <c r="I115" i="7"/>
  <c r="N113" i="7"/>
  <c r="M26" i="7"/>
  <c r="N895" i="7"/>
  <c r="I895" i="7"/>
  <c r="N847" i="7"/>
  <c r="N865" i="7"/>
  <c r="I884" i="7"/>
  <c r="N856" i="7"/>
  <c r="I838" i="7"/>
  <c r="N810" i="7"/>
  <c r="N773" i="7"/>
  <c r="N775" i="7"/>
  <c r="N781" i="7"/>
  <c r="N651" i="7"/>
  <c r="I927" i="7"/>
  <c r="I781" i="7"/>
  <c r="M741" i="7"/>
  <c r="M697" i="7" s="1"/>
  <c r="M742" i="7"/>
  <c r="M698" i="7" s="1"/>
  <c r="M743" i="7"/>
  <c r="M699" i="7" s="1"/>
  <c r="M745" i="7"/>
  <c r="M701" i="7" s="1"/>
  <c r="C11" i="11"/>
  <c r="L740" i="7"/>
  <c r="L696" i="7" s="1"/>
  <c r="H11" i="11"/>
  <c r="L745" i="7"/>
  <c r="L701" i="7" s="1"/>
  <c r="D11" i="11"/>
  <c r="L741" i="7"/>
  <c r="L697" i="7" s="1"/>
  <c r="G741" i="7"/>
  <c r="G697" i="7" s="1"/>
  <c r="G11" i="11"/>
  <c r="L744" i="7"/>
  <c r="L700" i="7" s="1"/>
  <c r="F11" i="11"/>
  <c r="L743" i="7"/>
  <c r="L699" i="7" s="1"/>
  <c r="E11" i="11"/>
  <c r="L742" i="7"/>
  <c r="L698" i="7" s="1"/>
  <c r="N615" i="7"/>
  <c r="N726" i="7"/>
  <c r="I706" i="7"/>
  <c r="N706" i="7"/>
  <c r="N710" i="7"/>
  <c r="I686" i="7"/>
  <c r="I626" i="7"/>
  <c r="I615" i="7"/>
  <c r="H23" i="7"/>
  <c r="G704" i="7"/>
  <c r="G29" i="7"/>
  <c r="N31" i="7"/>
  <c r="I750" i="7"/>
  <c r="L606" i="7"/>
  <c r="J704" i="7"/>
  <c r="I705" i="7"/>
  <c r="N132" i="7"/>
  <c r="I146" i="7"/>
  <c r="K895" i="7"/>
  <c r="H90" i="7"/>
  <c r="I90" i="7" s="1"/>
  <c r="J748" i="7"/>
  <c r="M21" i="7"/>
  <c r="C24" i="23" s="1"/>
  <c r="C25" i="23" s="1"/>
  <c r="I137" i="7"/>
  <c r="H133" i="7"/>
  <c r="H114" i="7" s="1"/>
  <c r="N293" i="7"/>
  <c r="J772" i="7"/>
  <c r="K856" i="7"/>
  <c r="K58" i="7"/>
  <c r="N30" i="7"/>
  <c r="H58" i="7"/>
  <c r="I58" i="7" s="1"/>
  <c r="H101" i="7"/>
  <c r="I101" i="7" s="1"/>
  <c r="N33" i="7"/>
  <c r="K90" i="7"/>
  <c r="L29" i="7"/>
  <c r="I33" i="7"/>
  <c r="I31" i="7"/>
  <c r="N155" i="7"/>
  <c r="N134" i="7"/>
  <c r="M748" i="7"/>
  <c r="I752" i="7"/>
  <c r="H926" i="7"/>
  <c r="M926" i="7"/>
  <c r="C5" i="16" s="1"/>
  <c r="N49" i="7"/>
  <c r="I62" i="7"/>
  <c r="I105" i="7"/>
  <c r="K750" i="7"/>
  <c r="K741" i="7" s="1"/>
  <c r="K697" i="7" s="1"/>
  <c r="K749" i="7"/>
  <c r="K740" i="7" s="1"/>
  <c r="K847" i="7"/>
  <c r="K874" i="7"/>
  <c r="K710" i="7"/>
  <c r="K701" i="7" s="1"/>
  <c r="K707" i="7"/>
  <c r="K698" i="7" s="1"/>
  <c r="K726" i="7"/>
  <c r="I131" i="7"/>
  <c r="J129" i="7"/>
  <c r="I157" i="7"/>
  <c r="I155" i="7"/>
  <c r="I248" i="7"/>
  <c r="J606" i="7"/>
  <c r="H38" i="7"/>
  <c r="I38" i="7" s="1"/>
  <c r="L153" i="7"/>
  <c r="H153" i="7"/>
  <c r="N130" i="7"/>
  <c r="L748" i="7"/>
  <c r="J22" i="7"/>
  <c r="M129" i="7"/>
  <c r="L129" i="7"/>
  <c r="N753" i="7"/>
  <c r="N135" i="7"/>
  <c r="N749" i="7"/>
  <c r="K130" i="7"/>
  <c r="N838" i="7"/>
  <c r="K705" i="7"/>
  <c r="M29" i="7"/>
  <c r="C6" i="15" s="1"/>
  <c r="N38" i="7"/>
  <c r="H26" i="7"/>
  <c r="N713" i="7"/>
  <c r="I726" i="7"/>
  <c r="G772" i="7"/>
  <c r="N778" i="7"/>
  <c r="N884" i="7"/>
  <c r="I928" i="7"/>
  <c r="K781" i="7"/>
  <c r="K838" i="7"/>
  <c r="K626" i="7"/>
  <c r="K651" i="7"/>
  <c r="K713" i="7"/>
  <c r="J246" i="7"/>
  <c r="H49" i="7"/>
  <c r="I49" i="7" s="1"/>
  <c r="K38" i="7"/>
  <c r="B5" i="11"/>
  <c r="C16" i="12"/>
  <c r="B6" i="11"/>
  <c r="J926" i="7"/>
  <c r="B13" i="11"/>
  <c r="J801" i="7"/>
  <c r="G801" i="7"/>
  <c r="H801" i="7"/>
  <c r="K884" i="7"/>
  <c r="I778" i="7"/>
  <c r="N750" i="7"/>
  <c r="N754" i="7"/>
  <c r="G12" i="18"/>
  <c r="K686" i="7"/>
  <c r="N608" i="7"/>
  <c r="H606" i="7"/>
  <c r="G332" i="7"/>
  <c r="M246" i="7"/>
  <c r="C5" i="15" s="1"/>
  <c r="K155" i="7"/>
  <c r="K112" i="7" s="1"/>
  <c r="K157" i="7"/>
  <c r="K158" i="7"/>
  <c r="J25" i="7"/>
  <c r="J29" i="7"/>
  <c r="J24" i="7"/>
  <c r="C25" i="12"/>
  <c r="I35" i="12" s="1"/>
  <c r="I745" i="7"/>
  <c r="J739" i="7"/>
  <c r="N752" i="7"/>
  <c r="L926" i="7"/>
  <c r="K615" i="7"/>
  <c r="I754" i="7"/>
  <c r="N751" i="7"/>
  <c r="I293" i="7"/>
  <c r="I773" i="7"/>
  <c r="H772" i="7"/>
  <c r="N774" i="7"/>
  <c r="I775" i="7"/>
  <c r="I776" i="7"/>
  <c r="K772" i="7"/>
  <c r="I810" i="7"/>
  <c r="I847" i="7"/>
  <c r="I935" i="7"/>
  <c r="N626" i="7"/>
  <c r="N686" i="7"/>
  <c r="K810" i="7"/>
  <c r="K926" i="7"/>
  <c r="N58" i="7"/>
  <c r="N90" i="7"/>
  <c r="K49" i="7"/>
  <c r="K132" i="7"/>
  <c r="K134" i="7"/>
  <c r="I610" i="7"/>
  <c r="I608" i="7"/>
  <c r="H704" i="7"/>
  <c r="M704" i="7"/>
  <c r="C4" i="16" s="1"/>
  <c r="N707" i="7"/>
  <c r="K154" i="7"/>
  <c r="M801" i="7"/>
  <c r="C3" i="16" s="1"/>
  <c r="C15" i="14"/>
  <c r="I743" i="7"/>
  <c r="I744" i="7"/>
  <c r="C14" i="12"/>
  <c r="I154" i="7"/>
  <c r="G153" i="7"/>
  <c r="N131" i="7"/>
  <c r="J153" i="7"/>
  <c r="N156" i="7"/>
  <c r="N157" i="7"/>
  <c r="N159" i="7"/>
  <c r="M153" i="7"/>
  <c r="N705" i="7"/>
  <c r="C5" i="12"/>
  <c r="C28" i="12"/>
  <c r="C9" i="12"/>
  <c r="M772" i="7"/>
  <c r="C7" i="16" s="1"/>
  <c r="B7" i="11"/>
  <c r="I753" i="7"/>
  <c r="N154" i="7"/>
  <c r="H748" i="7"/>
  <c r="C7" i="12"/>
  <c r="N158" i="7"/>
  <c r="L772" i="7"/>
  <c r="L704" i="7"/>
  <c r="N133" i="7"/>
  <c r="L332" i="7"/>
  <c r="G926" i="7"/>
  <c r="G129" i="7"/>
  <c r="I607" i="7"/>
  <c r="N804" i="7"/>
  <c r="I707" i="7"/>
  <c r="I802" i="7"/>
  <c r="C6" i="12"/>
  <c r="H246" i="7"/>
  <c r="I246" i="7" s="1"/>
  <c r="G12" i="14"/>
  <c r="G4" i="14" s="1"/>
  <c r="I713" i="7"/>
  <c r="I774" i="7"/>
  <c r="I856" i="7"/>
  <c r="I865" i="7"/>
  <c r="I874" i="7"/>
  <c r="N928" i="7"/>
  <c r="I929" i="7"/>
  <c r="I651" i="7"/>
  <c r="K865" i="7"/>
  <c r="K935" i="7"/>
  <c r="N101" i="7"/>
  <c r="K101" i="7"/>
  <c r="K133" i="7"/>
  <c r="K156" i="7"/>
  <c r="K246" i="7"/>
  <c r="J23" i="7"/>
  <c r="N610" i="7"/>
  <c r="I710" i="7"/>
  <c r="I804" i="7"/>
  <c r="L801" i="7"/>
  <c r="B15" i="11"/>
  <c r="C14" i="14"/>
  <c r="N336" i="7"/>
  <c r="M332" i="7"/>
  <c r="C3" i="15" s="1"/>
  <c r="G748" i="7"/>
  <c r="I135" i="7"/>
  <c r="I132" i="7"/>
  <c r="N607" i="7"/>
  <c r="M606" i="7"/>
  <c r="C7" i="15" s="1"/>
  <c r="C13" i="12"/>
  <c r="G606" i="7"/>
  <c r="I749" i="7"/>
  <c r="N874" i="7"/>
  <c r="K753" i="7"/>
  <c r="K744" i="7" s="1"/>
  <c r="K700" i="7" s="1"/>
  <c r="K293" i="7"/>
  <c r="J332" i="7"/>
  <c r="I130" i="7"/>
  <c r="I751" i="7"/>
  <c r="N248" i="7"/>
  <c r="L246" i="7"/>
  <c r="I333" i="7"/>
  <c r="I334" i="7"/>
  <c r="B9" i="11"/>
  <c r="I12" i="12"/>
  <c r="I4" i="24" s="1"/>
  <c r="C13" i="14"/>
  <c r="C26" i="12"/>
  <c r="B12" i="11"/>
  <c r="G4" i="13" l="1"/>
  <c r="G4" i="17"/>
  <c r="H24" i="12"/>
  <c r="E16" i="18"/>
  <c r="E12" i="18" s="1"/>
  <c r="G9" i="17"/>
  <c r="C9" i="17" s="1"/>
  <c r="H23" i="12"/>
  <c r="G9" i="13"/>
  <c r="E12" i="12"/>
  <c r="E4" i="24" s="1"/>
  <c r="F12" i="12"/>
  <c r="F4" i="24" s="1"/>
  <c r="A10" i="25"/>
  <c r="A14" i="25" s="1"/>
  <c r="E16" i="14"/>
  <c r="E12" i="14" s="1"/>
  <c r="E4" i="14" s="1"/>
  <c r="H2" i="12"/>
  <c r="H3" i="24" s="1"/>
  <c r="F16" i="14"/>
  <c r="F12" i="14" s="1"/>
  <c r="F4" i="14" s="1"/>
  <c r="E2" i="23"/>
  <c r="B2" i="23" s="1"/>
  <c r="B3" i="23"/>
  <c r="B10" i="25"/>
  <c r="B14" i="25" s="1"/>
  <c r="B14" i="23"/>
  <c r="G11" i="23"/>
  <c r="B11" i="23" s="1"/>
  <c r="K696" i="7"/>
  <c r="K114" i="7"/>
  <c r="K115" i="7"/>
  <c r="K25" i="7" s="1"/>
  <c r="C2" i="11"/>
  <c r="H2" i="11"/>
  <c r="I926" i="7"/>
  <c r="K113" i="7"/>
  <c r="K23" i="7" s="1"/>
  <c r="K111" i="7"/>
  <c r="K21" i="7" s="1"/>
  <c r="G2" i="11"/>
  <c r="E2" i="11"/>
  <c r="D2" i="11"/>
  <c r="H20" i="12"/>
  <c r="N926" i="7"/>
  <c r="E9" i="13"/>
  <c r="F9" i="13"/>
  <c r="F3" i="13" s="1"/>
  <c r="G3" i="14" s="1"/>
  <c r="H16" i="18"/>
  <c r="H12" i="18" s="1"/>
  <c r="H16" i="14"/>
  <c r="H12" i="14" s="1"/>
  <c r="H4" i="14" s="1"/>
  <c r="D16" i="18"/>
  <c r="D16" i="14"/>
  <c r="B4" i="11"/>
  <c r="I2" i="12"/>
  <c r="I3" i="24" s="1"/>
  <c r="I5" i="24" s="1"/>
  <c r="J16" i="7"/>
  <c r="N744" i="7"/>
  <c r="N700" i="7"/>
  <c r="I741" i="7"/>
  <c r="G695" i="7"/>
  <c r="N745" i="7"/>
  <c r="G15" i="7"/>
  <c r="I606" i="7"/>
  <c r="N772" i="7"/>
  <c r="I772" i="7"/>
  <c r="K606" i="7"/>
  <c r="N704" i="7"/>
  <c r="N740" i="7"/>
  <c r="N741" i="7"/>
  <c r="H16" i="7"/>
  <c r="I133" i="7"/>
  <c r="N698" i="7"/>
  <c r="N153" i="7"/>
  <c r="G22" i="7"/>
  <c r="N111" i="7"/>
  <c r="H110" i="7"/>
  <c r="K704" i="7"/>
  <c r="N129" i="7"/>
  <c r="M16" i="7"/>
  <c r="N748" i="7"/>
  <c r="L739" i="7"/>
  <c r="I801" i="7"/>
  <c r="I704" i="7"/>
  <c r="B14" i="11"/>
  <c r="L23" i="7"/>
  <c r="N23" i="7" s="1"/>
  <c r="I699" i="7"/>
  <c r="I701" i="7"/>
  <c r="N246" i="7"/>
  <c r="I700" i="7"/>
  <c r="K153" i="7"/>
  <c r="I153" i="7"/>
  <c r="H29" i="7"/>
  <c r="I29" i="7" s="1"/>
  <c r="I748" i="7"/>
  <c r="L21" i="7"/>
  <c r="J14" i="7"/>
  <c r="J13" i="7"/>
  <c r="H129" i="7"/>
  <c r="I129" i="7" s="1"/>
  <c r="I114" i="7"/>
  <c r="G25" i="7"/>
  <c r="I25" i="7" s="1"/>
  <c r="N29" i="7"/>
  <c r="H35" i="12"/>
  <c r="E35" i="12"/>
  <c r="J15" i="7"/>
  <c r="D3" i="17"/>
  <c r="C22" i="12"/>
  <c r="G32" i="12" s="1"/>
  <c r="J695" i="7"/>
  <c r="N801" i="7"/>
  <c r="K801" i="7"/>
  <c r="G35" i="12"/>
  <c r="D35" i="12"/>
  <c r="F35" i="12"/>
  <c r="D12" i="18"/>
  <c r="N699" i="7"/>
  <c r="L13" i="7"/>
  <c r="M12" i="7"/>
  <c r="B3" i="11"/>
  <c r="E3" i="17"/>
  <c r="N112" i="7"/>
  <c r="K24" i="7"/>
  <c r="K15" i="7" s="1"/>
  <c r="K129" i="7"/>
  <c r="D3" i="13"/>
  <c r="M14" i="7"/>
  <c r="M22" i="7"/>
  <c r="K26" i="7"/>
  <c r="K17" i="7" s="1"/>
  <c r="N697" i="7"/>
  <c r="L15" i="7"/>
  <c r="N743" i="7"/>
  <c r="N742" i="7"/>
  <c r="M739" i="7"/>
  <c r="C10" i="16" s="1"/>
  <c r="F20" i="12"/>
  <c r="D38" i="12"/>
  <c r="H38" i="12"/>
  <c r="G38" i="12"/>
  <c r="F38" i="12"/>
  <c r="I38" i="12"/>
  <c r="E38" i="12"/>
  <c r="L25" i="7"/>
  <c r="N115" i="7"/>
  <c r="C21" i="12"/>
  <c r="D31" i="12" s="1"/>
  <c r="J110" i="7"/>
  <c r="J21" i="7"/>
  <c r="J12" i="7" s="1"/>
  <c r="B11" i="11"/>
  <c r="L110" i="7"/>
  <c r="F2" i="12"/>
  <c r="F3" i="24" s="1"/>
  <c r="F5" i="24" s="1"/>
  <c r="N116" i="7"/>
  <c r="N696" i="7"/>
  <c r="I696" i="7"/>
  <c r="G12" i="12"/>
  <c r="G4" i="24" s="1"/>
  <c r="D2" i="12"/>
  <c r="D3" i="24" s="1"/>
  <c r="C3" i="12"/>
  <c r="K332" i="7"/>
  <c r="K22" i="7"/>
  <c r="I336" i="7"/>
  <c r="H24" i="7"/>
  <c r="K748" i="7"/>
  <c r="M24" i="7"/>
  <c r="F24" i="23" s="1"/>
  <c r="F25" i="23" s="1"/>
  <c r="N114" i="7"/>
  <c r="I113" i="7"/>
  <c r="G23" i="7"/>
  <c r="G26" i="7"/>
  <c r="I116" i="7"/>
  <c r="N332" i="7"/>
  <c r="H12" i="12"/>
  <c r="H4" i="24" s="1"/>
  <c r="H5" i="24" s="1"/>
  <c r="C4" i="12"/>
  <c r="E2" i="12"/>
  <c r="E3" i="24" s="1"/>
  <c r="E5" i="24" s="1"/>
  <c r="M110" i="7"/>
  <c r="C4" i="15" s="1"/>
  <c r="D12" i="14"/>
  <c r="I742" i="7"/>
  <c r="H739" i="7"/>
  <c r="G110" i="7"/>
  <c r="I111" i="7"/>
  <c r="K29" i="7"/>
  <c r="G2" i="12"/>
  <c r="G3" i="24" s="1"/>
  <c r="I740" i="7"/>
  <c r="G739" i="7"/>
  <c r="H22" i="7"/>
  <c r="H332" i="7"/>
  <c r="I332" i="7" s="1"/>
  <c r="E3" i="13"/>
  <c r="E3" i="14" s="1"/>
  <c r="C15" i="12"/>
  <c r="J17" i="7"/>
  <c r="H17" i="7"/>
  <c r="N606" i="7"/>
  <c r="H21" i="7"/>
  <c r="G36" i="12"/>
  <c r="H36" i="12"/>
  <c r="I36" i="12"/>
  <c r="E36" i="12"/>
  <c r="F36" i="12"/>
  <c r="D36" i="12"/>
  <c r="C16" i="14" l="1"/>
  <c r="C16" i="18"/>
  <c r="C9" i="13"/>
  <c r="G3" i="17"/>
  <c r="C4" i="17"/>
  <c r="G3" i="13"/>
  <c r="C3" i="13" s="1"/>
  <c r="C4" i="13"/>
  <c r="L12" i="7"/>
  <c r="A1" i="25"/>
  <c r="A5" i="25" s="1"/>
  <c r="E25" i="23"/>
  <c r="B1" i="25"/>
  <c r="B5" i="25" s="1"/>
  <c r="D24" i="23"/>
  <c r="D25" i="23" s="1"/>
  <c r="D5" i="24"/>
  <c r="C3" i="24"/>
  <c r="G5" i="24"/>
  <c r="C4" i="24"/>
  <c r="C3" i="17"/>
  <c r="D3" i="14"/>
  <c r="B2" i="11"/>
  <c r="C12" i="18"/>
  <c r="C12" i="14"/>
  <c r="D4" i="14"/>
  <c r="L695" i="7"/>
  <c r="B20" i="11" s="1"/>
  <c r="B21" i="11" s="1"/>
  <c r="L17" i="7"/>
  <c r="L14" i="7"/>
  <c r="N14" i="7" s="1"/>
  <c r="I110" i="7"/>
  <c r="K14" i="7"/>
  <c r="C35" i="12"/>
  <c r="K110" i="7"/>
  <c r="G13" i="7"/>
  <c r="G16" i="7"/>
  <c r="I16" i="7" s="1"/>
  <c r="N21" i="7"/>
  <c r="I697" i="7"/>
  <c r="E32" i="12"/>
  <c r="F32" i="12"/>
  <c r="D32" i="12"/>
  <c r="H32" i="12"/>
  <c r="I32" i="12"/>
  <c r="M695" i="7"/>
  <c r="K13" i="7"/>
  <c r="M17" i="7"/>
  <c r="N12" i="7"/>
  <c r="C2" i="16"/>
  <c r="M13" i="7"/>
  <c r="N13" i="7" s="1"/>
  <c r="N22" i="7"/>
  <c r="J11" i="7"/>
  <c r="M20" i="7"/>
  <c r="J20" i="7"/>
  <c r="I739" i="7"/>
  <c r="N739" i="7"/>
  <c r="N701" i="7"/>
  <c r="C36" i="12"/>
  <c r="C12" i="12"/>
  <c r="C38" i="12"/>
  <c r="L16" i="7"/>
  <c r="N16" i="7" s="1"/>
  <c r="L20" i="7"/>
  <c r="B24" i="11" s="1"/>
  <c r="N25" i="7"/>
  <c r="H31" i="12"/>
  <c r="I31" i="12"/>
  <c r="F31" i="12"/>
  <c r="E31" i="12"/>
  <c r="G31" i="12"/>
  <c r="H13" i="7"/>
  <c r="I22" i="7"/>
  <c r="K20" i="7"/>
  <c r="K12" i="7"/>
  <c r="G20" i="7"/>
  <c r="I21" i="7"/>
  <c r="G12" i="7"/>
  <c r="H14" i="7"/>
  <c r="H695" i="7"/>
  <c r="I695" i="7" s="1"/>
  <c r="I698" i="7"/>
  <c r="C2" i="15"/>
  <c r="N110" i="7"/>
  <c r="G14" i="7"/>
  <c r="I23" i="7"/>
  <c r="H15" i="7"/>
  <c r="I15" i="7" s="1"/>
  <c r="I24" i="7"/>
  <c r="C24" i="12"/>
  <c r="H12" i="7"/>
  <c r="H20" i="7"/>
  <c r="I20" i="12"/>
  <c r="C23" i="12"/>
  <c r="E33" i="12" s="1"/>
  <c r="D20" i="12"/>
  <c r="E20" i="12"/>
  <c r="G17" i="7"/>
  <c r="I17" i="7" s="1"/>
  <c r="I26" i="7"/>
  <c r="M15" i="7"/>
  <c r="N15" i="7" s="1"/>
  <c r="N24" i="7"/>
  <c r="K739" i="7"/>
  <c r="G20" i="12"/>
  <c r="C2" i="12"/>
  <c r="B25" i="11" l="1"/>
  <c r="C5" i="24"/>
  <c r="B24" i="23"/>
  <c r="B25" i="23" s="1"/>
  <c r="C48" i="12"/>
  <c r="C49" i="12" s="1"/>
  <c r="C43" i="12"/>
  <c r="C42" i="12"/>
  <c r="B20" i="23"/>
  <c r="B21" i="23" s="1"/>
  <c r="C9" i="15"/>
  <c r="C15" i="16"/>
  <c r="C20" i="14"/>
  <c r="C12" i="13"/>
  <c r="C32" i="12"/>
  <c r="N17" i="7"/>
  <c r="N695" i="7"/>
  <c r="I13" i="7"/>
  <c r="N20" i="7"/>
  <c r="G33" i="12"/>
  <c r="C31" i="12"/>
  <c r="L11" i="7"/>
  <c r="M11" i="7"/>
  <c r="C45" i="12" s="1"/>
  <c r="H11" i="7"/>
  <c r="I14" i="7"/>
  <c r="H33" i="12"/>
  <c r="F33" i="12"/>
  <c r="E34" i="12"/>
  <c r="I34" i="12"/>
  <c r="H34" i="12"/>
  <c r="G34" i="12"/>
  <c r="F34" i="12"/>
  <c r="D34" i="12"/>
  <c r="I12" i="7"/>
  <c r="G11" i="7"/>
  <c r="C20" i="12"/>
  <c r="I33" i="12"/>
  <c r="I20" i="7"/>
  <c r="K16" i="7"/>
  <c r="K11" i="7" s="1"/>
  <c r="K695" i="7"/>
  <c r="D33" i="12"/>
  <c r="E30" i="12" l="1"/>
  <c r="C46" i="12"/>
  <c r="C33" i="12"/>
  <c r="C34" i="12"/>
  <c r="N11" i="7"/>
  <c r="I11" i="7"/>
  <c r="D30" i="12"/>
  <c r="H30" i="12"/>
  <c r="F30" i="12"/>
  <c r="G30" i="12"/>
  <c r="I30" i="12"/>
  <c r="C30" i="12" l="1"/>
  <c r="B3" i="19"/>
  <c r="B2" i="19" s="1"/>
  <c r="C4" i="14" l="1"/>
  <c r="D5" i="14"/>
  <c r="E5" i="14"/>
  <c r="G5" i="14"/>
  <c r="F5" i="14"/>
  <c r="H5" i="14"/>
  <c r="C3" i="14"/>
  <c r="C5" i="14" s="1"/>
  <c r="I5" i="14"/>
  <c r="B5" i="14"/>
</calcChain>
</file>

<file path=xl/sharedStrings.xml><?xml version="1.0" encoding="utf-8"?>
<sst xmlns="http://schemas.openxmlformats.org/spreadsheetml/2006/main" count="2370" uniqueCount="660">
  <si>
    <t>Stan zaawansowania prac,                                                                          zrealizowany zakres rzeczowy - wskaźniki ilościowe</t>
  </si>
  <si>
    <t>1.</t>
  </si>
  <si>
    <t>I.</t>
  </si>
  <si>
    <t>A</t>
  </si>
  <si>
    <t>w zł</t>
  </si>
  <si>
    <t>Lp.</t>
  </si>
  <si>
    <t>Źródło</t>
  </si>
  <si>
    <t>- środki wymienione w art. 5 ust. 1 pkt 2 i 3 u.f.p.</t>
  </si>
  <si>
    <t>- kredyty, pożyczki, obligacje</t>
  </si>
  <si>
    <t>Program:</t>
  </si>
  <si>
    <t>Priorytet:</t>
  </si>
  <si>
    <t>Działanie:</t>
  </si>
  <si>
    <t>Projekt:</t>
  </si>
  <si>
    <t>II.</t>
  </si>
  <si>
    <t>Plan                       na początek                       roku</t>
  </si>
  <si>
    <t>- środki własne miasta</t>
  </si>
  <si>
    <t>Miasto Kielce</t>
  </si>
  <si>
    <t>Wykaz programów, projektów lub zadań związanych z programami realizowanymi z udziałem środków,</t>
  </si>
  <si>
    <t>o których mowa w art. 5 ust. 1 pkt 2 i 3 ufp</t>
  </si>
  <si>
    <t>Nazwa i cel przedsięwzięcia</t>
  </si>
  <si>
    <t>Ogółem przedsięwzięcia:</t>
  </si>
  <si>
    <t>Ogółem przedsięwzięcia bieżące:</t>
  </si>
  <si>
    <t>- środki inne</t>
  </si>
  <si>
    <t>Cel:</t>
  </si>
  <si>
    <t>Łączne nakłady finansowe</t>
  </si>
  <si>
    <t>Przewidywane nakłady i źródła finansowania</t>
  </si>
  <si>
    <t>Okres                 realizacji</t>
  </si>
  <si>
    <t>Ogółem przedsięwzięcia majątkowe:</t>
  </si>
  <si>
    <t>Wartość przedsięwzięcia:</t>
  </si>
  <si>
    <t>Dział           Rozdział</t>
  </si>
  <si>
    <t>Zmiany dokonane w trakcie roku budżetowego</t>
  </si>
  <si>
    <t>10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</si>
  <si>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</si>
  <si>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</si>
  <si>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</si>
  <si>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</si>
  <si>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</si>
  <si>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</si>
  <si>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</si>
  <si>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</si>
  <si>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</si>
  <si>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</si>
  <si>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</si>
  <si>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</si>
  <si>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</si>
  <si>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- środki własne miasta pozaprojektowe</t>
  </si>
  <si>
    <t>Stopień realizacji   projektów         %                 7:6</t>
  </si>
  <si>
    <t>Stopień realizacji   projektów   %               12:11</t>
  </si>
  <si>
    <t>KIELECKI PARK TECHNOLOGICZNY</t>
  </si>
  <si>
    <t>Program Operacyjny Innowacyjna Gospodarka</t>
  </si>
  <si>
    <t>2.</t>
  </si>
  <si>
    <t>2011   2013</t>
  </si>
  <si>
    <t>710  71095</t>
  </si>
  <si>
    <t>852  85219</t>
  </si>
  <si>
    <t>853  85395</t>
  </si>
  <si>
    <t>Program Operacyjny Kapitał Ludzki</t>
  </si>
  <si>
    <t>852   85201</t>
  </si>
  <si>
    <t>852  85204</t>
  </si>
  <si>
    <t>852  85214</t>
  </si>
  <si>
    <t>3.</t>
  </si>
  <si>
    <t>MIEJSKI URZAD PRACY</t>
  </si>
  <si>
    <t>4.</t>
  </si>
  <si>
    <t>WYDZIAŁ EDUKACJI, KULTURY I SPORTU</t>
  </si>
  <si>
    <t>Priorytet VII: Promocja integracji społecznej</t>
  </si>
  <si>
    <t>gospodarki</t>
  </si>
  <si>
    <t>Priorytet VIII: Społeczeństwo informacyjne - zwiększenie innowacyjności</t>
  </si>
  <si>
    <t>Działanie 8.3: Przeciwdziałanie wykluczeniu cyfrowemu e-inclusion</t>
  </si>
  <si>
    <t>Przeciwdziałanie wykluczeniu cyfrowemu osób dotkniętych ubóstwem</t>
  </si>
  <si>
    <t>Działanie 7.1: Rozwój i upowszechnienie aktywnej integracji</t>
  </si>
  <si>
    <t xml:space="preserve">Zapewnienie równego dostępu do zatrudnienia osobom zagrożonym </t>
  </si>
  <si>
    <t xml:space="preserve">wykluczeniem społecznym oraz dyskryminowanym na rynku pracy, </t>
  </si>
  <si>
    <t>a także podwyższenie ich umiejętności życiowych, społecznych</t>
  </si>
  <si>
    <t>i zawodowych</t>
  </si>
  <si>
    <t xml:space="preserve">Działanie 6.1: Poprawa dostępu do zatrudnienia oraz wspieranie </t>
  </si>
  <si>
    <t>aktywności zawodowej w regionie</t>
  </si>
  <si>
    <t>Priorytet IX: Rozwój wykształcenia i kompetencji w regionach</t>
  </si>
  <si>
    <t>5.</t>
  </si>
  <si>
    <t>6.</t>
  </si>
  <si>
    <t>Działanie 9.2: Podniesienie atrakcyjności i jakości szkolnictwa zawodowego</t>
  </si>
  <si>
    <t>7.</t>
  </si>
  <si>
    <t>Działanie 9.4: Wysoko wykwalifikowane kadry systemu oświaty</t>
  </si>
  <si>
    <t>Program Uczenie Się Przez Całe Życie</t>
  </si>
  <si>
    <t>Comenius</t>
  </si>
  <si>
    <t>Partnerski Projekt Comeniusa</t>
  </si>
  <si>
    <t>Leonardo Da Vinci</t>
  </si>
  <si>
    <t>Projekt Mobilności Leonardo Da Vinci</t>
  </si>
  <si>
    <t>Regionalny Program Operacyjny Województwa Świętokrzyskiego</t>
  </si>
  <si>
    <t>Oś Priorytetowa 2: Wsparcie innowacyjności, budowa społeczeństwa</t>
  </si>
  <si>
    <t>informacyjnego oraz wzrost potencjału inwestycyjnego regionu</t>
  </si>
  <si>
    <t>WYDZIAŁ PROJEKTÓW STRUKTURALNYCH I STRATEGII MIASTA</t>
  </si>
  <si>
    <t>Program Operacyjny Rozwój Polski Wschodniej</t>
  </si>
  <si>
    <t>Oś Priorytetowa 3: Wojewódzkie ośrodki wzrostu</t>
  </si>
  <si>
    <t>Działanie 3.1: Systemy miejskiego transportu zbiorowego</t>
  </si>
  <si>
    <t>600  60095</t>
  </si>
  <si>
    <t>Priorytet I: Nowoczesna Gospodarka</t>
  </si>
  <si>
    <t>Promocja i Współpraca, Komponent Promocja</t>
  </si>
  <si>
    <t xml:space="preserve">Stworzenie sieci współpracy pomiędzy regionami Polski Wschodniej dla </t>
  </si>
  <si>
    <t xml:space="preserve">wzmocnienia konkurencyjności i innowacyjności regionalnej gospodarki </t>
  </si>
  <si>
    <t xml:space="preserve">poprzez standaryzację obsługi inwestora, stałą współpracę i wymianę </t>
  </si>
  <si>
    <t xml:space="preserve">doświadczeń, wymianę informacji, w tym szczególnie o terenach </t>
  </si>
  <si>
    <t>inwestycyjnych, wspólną bazę terenów inwestycyjnych</t>
  </si>
  <si>
    <t>750  75075</t>
  </si>
  <si>
    <t>Oś Priorytetowa 6: Wzmocnienie ośrodków miejskich i rewitalizacja</t>
  </si>
  <si>
    <t>małych miast</t>
  </si>
  <si>
    <t>wzrostu</t>
  </si>
  <si>
    <t xml:space="preserve">Promocja projektu, mającego na celu zwiększenie atrakcyjności </t>
  </si>
  <si>
    <t>społeczno-gospodarczej i przestrzennej Kielc oraz zapewnienie skute-</t>
  </si>
  <si>
    <t>cznego pełnienia przez miasto funkcji regionalnego ośrodka metropoli-</t>
  </si>
  <si>
    <t xml:space="preserve">talnego. Dzięki jego realizacji nastąpi poprawa estetyki rewitalizowanego </t>
  </si>
  <si>
    <t>terenu, co będzie miało wpływ na jakość życia mieszkańców</t>
  </si>
  <si>
    <t>Promocja projektu, majacego na celu zwiekszenie konkurencyjności re-</t>
  </si>
  <si>
    <t>gionu oraz rozwój funkcji metropolitalnych miasta Kielce poprzez popra-</t>
  </si>
  <si>
    <t>wę jakości infrastruktury drogowej i transportu publicznego w mieście oraz</t>
  </si>
  <si>
    <t>stworzenie przyjaznej mieszkańcom i środowisku komunikacji publicznej</t>
  </si>
  <si>
    <t>ZAKŁAD OBSŁUGI I INFORMATYKI URZĘDU MIASTA</t>
  </si>
  <si>
    <t>Działanie 2.2: Budowa infrastruktury społeczeństwa informacyjnego</t>
  </si>
  <si>
    <t xml:space="preserve">Rozbudowa lokalnej infrastruktury społeczeństwa informacyjnego w </t>
  </si>
  <si>
    <t xml:space="preserve">formie budowy miejskiej sieci światłowodowej w latach 2010-2012 dla </t>
  </si>
  <si>
    <t>jednostek sektora publicznego, zapewniającej bezpieczny internet szero-</t>
  </si>
  <si>
    <t>kopasmowy i wyrównanie dysproporcji w zakresie dostępu do internetu,</t>
  </si>
  <si>
    <t>a także umożliwiającej wykorzystanie nowoczesnych technologii</t>
  </si>
  <si>
    <t>750  75023</t>
  </si>
  <si>
    <t xml:space="preserve">Ulepszona wymiana danych, lepsza komunikacja na wielu szczeblach </t>
  </si>
  <si>
    <t xml:space="preserve">administracji, szybki dostęp o każdej porze do serwisu informacyjnego, </t>
  </si>
  <si>
    <t xml:space="preserve">czytelne zarządzanie ładem przestrzennym w województwie. (Kolejny </t>
  </si>
  <si>
    <t>etap informatyzacji Ośrodka Dokumentacji Geodezyjnej i Kartograficznej)</t>
  </si>
  <si>
    <t>720  72095</t>
  </si>
  <si>
    <t>GEOPARK KIELCE</t>
  </si>
  <si>
    <t>Oś Priorytetowa 6: Polska gospodarka na rynku międzynarodowym</t>
  </si>
  <si>
    <t xml:space="preserve">Działanie 6.4: Inwestycje w produkty turystyczne o znaczeniu </t>
  </si>
  <si>
    <t>ponadregionalnym</t>
  </si>
  <si>
    <t>Edukacyjno-turystyczny</t>
  </si>
  <si>
    <t>150  15095</t>
  </si>
  <si>
    <t>Priorytet I: Innowacyjna Gospodarka</t>
  </si>
  <si>
    <t>Działanie 1.3: Wspieranie innowacji</t>
  </si>
  <si>
    <t xml:space="preserve">Utworzenie wielofunkcyjnego terenu aktywności gospodarczej pn. </t>
  </si>
  <si>
    <t>MIEJSKI ZARZĄD DRÓG</t>
  </si>
  <si>
    <t>Poprawa i rozbudowa infrastruktury drogowej</t>
  </si>
  <si>
    <t>Rozwój systemów komunikacji publicznej</t>
  </si>
  <si>
    <t>600  60016</t>
  </si>
  <si>
    <t>2004  2015</t>
  </si>
  <si>
    <t>600  60015</t>
  </si>
  <si>
    <t>2004  2013</t>
  </si>
  <si>
    <t>Oś Priorytetowa 3: Podniesienie jakości systemu komunikacyjnego regionu</t>
  </si>
  <si>
    <t>Działanie 3.1: Rozwój nowoczesnej infrastruktury komunikacyjnej</t>
  </si>
  <si>
    <t>o znaczeniu regionalnym i ponadregionalnym</t>
  </si>
  <si>
    <t xml:space="preserve">od granicy miasta do ul. Karczówkowskiej w Kielcach (ul. Krakowska </t>
  </si>
  <si>
    <t>2008  2013</t>
  </si>
  <si>
    <t xml:space="preserve">i otwarcie komunikacyjne historycznego obszaru Stadion - Ogród </t>
  </si>
  <si>
    <t>Ożywienie i poprawa funkcjonalnosci zabytkowego Śródmieścia Miasta</t>
  </si>
  <si>
    <t xml:space="preserve">od ul. Sienkiewicza do ul. Seminaryjskiej), Czerwonego Krzyża, </t>
  </si>
  <si>
    <t xml:space="preserve">Działanie 6.1: Wzmocnienie regionalnych i sub-regionalnych ośrodków </t>
  </si>
  <si>
    <t>ZARZĄD TRANSPORTU MIEJSKIEGO W KIELCACH</t>
  </si>
  <si>
    <t>Stworzenie mieszkańcom przyjaznej komunikacji publicznej</t>
  </si>
  <si>
    <t>600  60004</t>
  </si>
  <si>
    <t>MIEJSKI OŚRODEK POMOCY RODZINIE</t>
  </si>
  <si>
    <t>Świadczenie  usług doradczych w postaci audytów marketingowych</t>
  </si>
  <si>
    <t>Wartość projektu:</t>
  </si>
  <si>
    <t>Priorytet 8: Regionalne Kadry Gospodarki</t>
  </si>
  <si>
    <t>Działanie 8.2: Transfer wiedzy</t>
  </si>
  <si>
    <t>Działanie 8.1: Rozwój pracowników i przedsiębiorstw w regionie</t>
  </si>
  <si>
    <t>Kompleksowe wsparcie szkoleniowo-doradcze dla przedsiębiorstw</t>
  </si>
  <si>
    <t>710      71095</t>
  </si>
  <si>
    <t>150       15013</t>
  </si>
  <si>
    <t>150     15013</t>
  </si>
  <si>
    <t>150     15011</t>
  </si>
  <si>
    <t>jakości usług edukacyjnych świadczonych w systemie oświaty</t>
  </si>
  <si>
    <t>Działanie 9.1: Wyrównywanie szans edukacyjnych i zapewnienie wysokiej</t>
  </si>
  <si>
    <t>Gminie Kielce</t>
  </si>
  <si>
    <t>proinnowacyjne oraz ich sieci o znaczeniu ponadregionalnym</t>
  </si>
  <si>
    <t xml:space="preserve">Stworzenie formalnego forum współpracy instytucji regionalnych </t>
  </si>
  <si>
    <t xml:space="preserve">tj. uczestników procesów innowacji bazujących na procesach transferu </t>
  </si>
  <si>
    <t xml:space="preserve">wiedzy i technologii pomiędzy sferą B+R i przedsiębiorstwami w zakresie </t>
  </si>
  <si>
    <t xml:space="preserve">wzornictwa w postaci Kręgu Innowacji wzornictwo. Ponadto w wyniku </t>
  </si>
  <si>
    <t xml:space="preserve">realizacji projektu zostanie wdrożony portfel proinnowacyjnych usług </t>
  </si>
  <si>
    <t xml:space="preserve">doradczych (strategie produktowe, rebranding marki) w oparciu </t>
  </si>
  <si>
    <t>o Laboratorium Design</t>
  </si>
  <si>
    <t>Priorytet 5. Dyfuzja innowacji</t>
  </si>
  <si>
    <t xml:space="preserve">Działanie 5.2 Wspieranie instytucji otoczenia biznesu świadczących usługi </t>
  </si>
  <si>
    <t xml:space="preserve">Ludzie-Biznes-Innowacje - kompleksowe wsparcie szkoleniowo-doradcze dla </t>
  </si>
  <si>
    <t>kadry zarządzajacej i pracowników/nic firm</t>
  </si>
  <si>
    <t>wzrostu konkurencyjności gospodarki regionalnej</t>
  </si>
  <si>
    <t>2011  2013</t>
  </si>
  <si>
    <t>Podniesienie efektywności kształcenia kieleckich nauczycieli gimnazjów</t>
  </si>
  <si>
    <t>w zakresie umiejętności sprawdzanych na egzaminach zewnętrznych</t>
  </si>
  <si>
    <t>Wyeliminowanie trudności oraz rozszerzenie umiejętności uczniów</t>
  </si>
  <si>
    <t>w procesie edukacyjnym poprzez indywidualizację procesu kształcenia</t>
  </si>
  <si>
    <t>dzieci z klas I-III w Gminie Kielce oraz zapewnienie oferty edukacyjno-</t>
  </si>
  <si>
    <t>wychowawczo-profilaktycznej zgodnej z potrzebami i możliwościami edu-</t>
  </si>
  <si>
    <t>kacyjnymi i rozwojowymi dzieci biorącymi udział w I etapie edukacyjnym</t>
  </si>
  <si>
    <t>801  80130</t>
  </si>
  <si>
    <t>Budowa infrastruktury Kieleckiego Parku Technologicznego</t>
  </si>
  <si>
    <t>Świat w moim domu</t>
  </si>
  <si>
    <t>Działanie szansą na przyszłość</t>
  </si>
  <si>
    <t>Profesjonalni na co dzień</t>
  </si>
  <si>
    <t>Nauczyciel sukcesu</t>
  </si>
  <si>
    <t>Indywidualizacja nauczania i wychowania, klas I-III Szkół podstawowych w</t>
  </si>
  <si>
    <t>801  80101</t>
  </si>
  <si>
    <t>801  80110</t>
  </si>
  <si>
    <t>Wyeliminowanie negatywnych stereotypów o europejskich stylach życia</t>
  </si>
  <si>
    <t>i zbudowanie w uczniach szkół partnerskich europejskiej tożsamości</t>
  </si>
  <si>
    <t>801  80120</t>
  </si>
  <si>
    <t>Euroguide: A Students Guidebook through Young Europe</t>
  </si>
  <si>
    <t>The World through Our Eyes</t>
  </si>
  <si>
    <t>Young Explorers</t>
  </si>
  <si>
    <t xml:space="preserve">Rozwój systemu komunikacji publicznej w Kieleckim Obszarze </t>
  </si>
  <si>
    <t>Metropolitalnym</t>
  </si>
  <si>
    <t>Tworzenie i rozwój sieci współpracy Centrów Obsługi Inwestora</t>
  </si>
  <si>
    <t>Rewitalizacja Zabytkowego Sródmieścia Kielc - etap I</t>
  </si>
  <si>
    <t>Rewitalizacja Zabytkowego Sródmieścia Kielc - etap II</t>
  </si>
  <si>
    <t xml:space="preserve">E- Świętokrzyskie - budowa sieci światłowodowych wraz z urządzeniami </t>
  </si>
  <si>
    <t>na terenie Miasta Kielce</t>
  </si>
  <si>
    <t xml:space="preserve">E- Świętokrzyskie  Budowa Systemu Informacji Przestrzennej </t>
  </si>
  <si>
    <t>Województwa Świętokrzyskiego</t>
  </si>
  <si>
    <t>Geopark Kielce - Centrum Geoedukacji</t>
  </si>
  <si>
    <t>Rozbudowa ul. Ściegiennego w ciągu drogi krajowej nr 73 w Kielcach</t>
  </si>
  <si>
    <t xml:space="preserve">Budowa węzła drogowego u zbiegu ulic: Armii Krajowej, Żelaznej, </t>
  </si>
  <si>
    <t>Grunwaldzkiej, Żytniej w Kielcach</t>
  </si>
  <si>
    <t xml:space="preserve">Przebudowa i rozbudowa drogi wojewódzkiej nr 762 na odcinku </t>
  </si>
  <si>
    <t>i ul. Armii Krajowej)</t>
  </si>
  <si>
    <t xml:space="preserve">Rewitalizacja Miasta Kielce - przywrócenie przestrzeni publicznej </t>
  </si>
  <si>
    <t xml:space="preserve">Rewitalizacja Śródmieścia Kielc - przebudowa ulic: Wesoła (na odcinku </t>
  </si>
  <si>
    <t>Mickiewicza i Św. Leonarda (na odcinku od Rynku do ul. Wesołej)</t>
  </si>
  <si>
    <t>Bieżące</t>
  </si>
  <si>
    <t>POKL</t>
  </si>
  <si>
    <t>POIG</t>
  </si>
  <si>
    <t>PORPW</t>
  </si>
  <si>
    <t>RPOWŚ</t>
  </si>
  <si>
    <t>Majątkowe</t>
  </si>
  <si>
    <t>Leonardo da Vinci</t>
  </si>
  <si>
    <t>POIŚ</t>
  </si>
  <si>
    <t>Razem</t>
  </si>
  <si>
    <t>własne</t>
  </si>
  <si>
    <t>UE</t>
  </si>
  <si>
    <t>kredyty</t>
  </si>
  <si>
    <t>kredyty poza.</t>
  </si>
  <si>
    <t>własne poza.</t>
  </si>
  <si>
    <t>dotacje i inne</t>
  </si>
  <si>
    <t xml:space="preserve">Uczeń z pasją. Rozwijanie kompetencji kluczowych w powiązaniu z dalszą </t>
  </si>
  <si>
    <t>edukacją i rynkiem pracy</t>
  </si>
  <si>
    <t>Wydatki bieżące</t>
  </si>
  <si>
    <t>w tym:</t>
  </si>
  <si>
    <t>Łączne wydatki</t>
  </si>
  <si>
    <t>Liczba przedsięwzięć</t>
  </si>
  <si>
    <t>Wydatki na przedsięwzięcia majątkowe</t>
  </si>
  <si>
    <t>Wydatki na przedsięwzięcia majątkowe:</t>
  </si>
  <si>
    <t>Program Operacyjny Infrastruktura i Środowisko</t>
  </si>
  <si>
    <t>kredyty poza-             projektowe</t>
  </si>
  <si>
    <t>własne poza-             projektowe</t>
  </si>
  <si>
    <t>Liczba przedsię-wzięć</t>
  </si>
  <si>
    <t>Miejski Ośrodek Pomocy Rodzinie</t>
  </si>
  <si>
    <t>Miejski Urząd Pracy</t>
  </si>
  <si>
    <t>Wydział Edukacji, Kultury i Sportu</t>
  </si>
  <si>
    <t>Wydział Projektów Strukturalnych i Strategii Miasta</t>
  </si>
  <si>
    <t>Wydatki na przedsięwzięcia bieżące</t>
  </si>
  <si>
    <t>Zakład Obsługi i Informatyki Urzędu Miasta</t>
  </si>
  <si>
    <t>Geopark Kielce</t>
  </si>
  <si>
    <t>Kielecki Park Technologiczny</t>
  </si>
  <si>
    <t>Miejski Zarząd Dróg</t>
  </si>
  <si>
    <t>środki własne</t>
  </si>
  <si>
    <t>środki wymienione w art. 5 ust. 1 pkt 2 i 3 ufp</t>
  </si>
  <si>
    <t>środki inne</t>
  </si>
  <si>
    <t>środki własne pozaprojektowe</t>
  </si>
  <si>
    <t>kredyty pozaprojektowe</t>
  </si>
  <si>
    <t xml:space="preserve">Wiedza i gospodarka - rozwój kompetencji naukowych i biznesowych dla </t>
  </si>
  <si>
    <t xml:space="preserve">Europejska Współpraca Terytorialna - Program Komisji Europejskiej </t>
  </si>
  <si>
    <t>Central Europe (Program dla Europy Środkowej)</t>
  </si>
  <si>
    <t>Wspieranie innowacyjności w Europie Środkowej</t>
  </si>
  <si>
    <t>Poprawa Ramowych Warunków dla Innowacji</t>
  </si>
  <si>
    <t xml:space="preserve">Central European Living Lab for Territorial Innovation - CentraLab </t>
  </si>
  <si>
    <t xml:space="preserve">(Środkowoeuropejskie "Żywe laboratorium" w zakresie Innowacji </t>
  </si>
  <si>
    <t>Terytorialnych)</t>
  </si>
  <si>
    <t>2012   2014</t>
  </si>
  <si>
    <t>750      75075</t>
  </si>
  <si>
    <t>Audyt Marketingowy Młodej  Firmy</t>
  </si>
  <si>
    <t>Kręgi Innowacji</t>
  </si>
  <si>
    <t>Działanie 7.2: Przeciwdziałanie wykluczeniu i wzmacnianie sektora</t>
  </si>
  <si>
    <t>ekonomii społecznej</t>
  </si>
  <si>
    <t>Złap okazję</t>
  </si>
  <si>
    <t>2012  2014</t>
  </si>
  <si>
    <t>Pl Novum subsydium</t>
  </si>
  <si>
    <t>2012  2015</t>
  </si>
  <si>
    <t>Rozwój kompetencji kluczowych z przedmiotów matematyczno-</t>
  </si>
  <si>
    <t xml:space="preserve">przyrodniczych, języków obcych i technologii ICT w kontekście dalszej </t>
  </si>
  <si>
    <t>edukacji i rynku pracy</t>
  </si>
  <si>
    <t>Akademia kariery</t>
  </si>
  <si>
    <t xml:space="preserve">Podniesienie kwalifikacji nauczycieli. Doskonalenie metod pracy </t>
  </si>
  <si>
    <t>z dziećmi</t>
  </si>
  <si>
    <t>Kompetentni absolwenci kieleckiego gastronomika</t>
  </si>
  <si>
    <t>Podniesienie jakości kształcenia zawodowego. Zdobywanie nowych</t>
  </si>
  <si>
    <t>umiejętności</t>
  </si>
  <si>
    <t>2012  2013</t>
  </si>
  <si>
    <t>Work it out</t>
  </si>
  <si>
    <t>Podniesienie jakości kształcenia, zdobywanie nowych doświadczeń podczas wizyt w krajach unijnych</t>
  </si>
  <si>
    <t>podczas wizyt w krajach unijnych</t>
  </si>
  <si>
    <t xml:space="preserve">Rozwijanie wśród młodzieży i kadry nauczycielskiej wiedzy </t>
  </si>
  <si>
    <t>o różnorodności kultur i języków europejskich i zrozumienia ich wartości</t>
  </si>
  <si>
    <t>2009  2013</t>
  </si>
  <si>
    <t>2010  2015</t>
  </si>
  <si>
    <t>Rewitalizacja Miasta Kielce - przywrócenie przestrzeni publicznej</t>
  </si>
  <si>
    <t>i otwarcie historycznego obszaru Stadion-Ogród</t>
  </si>
  <si>
    <t>Metropolitalnym - wprowadzenie Systemu Kieleckiej Karty Miejskiej</t>
  </si>
  <si>
    <t>Rozwój systemu komunikacji publicznej w Kieleckim Obszarze Metropolital-</t>
  </si>
  <si>
    <t xml:space="preserve">Zwiększenie aktywizacji zawodowo-społecznej i ułatwienie powrotu/wejścia </t>
  </si>
  <si>
    <t>Wzmocnienie i rozwój usług pośrednictwa pracy i poradnictwa zawodowego</t>
  </si>
  <si>
    <t>2010  2014</t>
  </si>
  <si>
    <t>Priorytet I: Zatrudnienie i integracja społeczna</t>
  </si>
  <si>
    <t>Działanie 1.2: Wsparcie systemowe instytucji pomocy i integracji społecznej</t>
  </si>
  <si>
    <t>Pilotażowe wdrożenie standardów usług w zakresie bezdomności i przetesto-</t>
  </si>
  <si>
    <t>wania Modelu Gminnego Standardu Wychodzenia z Bezdomności przez</t>
  </si>
  <si>
    <t>Kieleckie Partnerstwo Lokalne</t>
  </si>
  <si>
    <t>Wdrożenie standardów usług w zakresie bezdomności i przetestowanie Modelu</t>
  </si>
  <si>
    <t>Pakiet 2 w 1</t>
  </si>
  <si>
    <t>2011  2014</t>
  </si>
  <si>
    <t>Priorytet VI: Rynek pracy otwarty dla wszystkich</t>
  </si>
  <si>
    <t>Wracam do gry</t>
  </si>
  <si>
    <t>Zawodowy Team</t>
  </si>
  <si>
    <t>Działanie 6.2: Wsparcie oraz promocja przedsiębiorczości i samozatrudnienia</t>
  </si>
  <si>
    <t>Biznes na miarę</t>
  </si>
  <si>
    <t>Działanie 9.1: Wyrównanie szans edukacyjnych i zapewnienie wysokiej</t>
  </si>
  <si>
    <t>i społecznych uczniów Zasadniczej Szkoły Zawodowej Nr 8 w Kielcach</t>
  </si>
  <si>
    <t>Woda leczy, bawi, pracuje, ale szkodzi czasem też</t>
  </si>
  <si>
    <t xml:space="preserve">Projekt mający na celu wymianę młodzieży pomiędzy krajami Unii Europejskiej </t>
  </si>
  <si>
    <t>w celu poznania nowego spojrzenia na wodę</t>
  </si>
  <si>
    <t>Young Europeans Unite for a Sustainability</t>
  </si>
  <si>
    <t xml:space="preserve">Projekt mający na celu zapoznanie dzieci z kulturą innych krajów Unii </t>
  </si>
  <si>
    <t>Europejskiej</t>
  </si>
  <si>
    <t>Nowe szanse dla branży elektronicznej</t>
  </si>
  <si>
    <t xml:space="preserve">Projekt mający na celu wyjazd młodzieży do krajów Unii Europejskiej, gdzie </t>
  </si>
  <si>
    <t>zapoznają się z nowymi rozwiązaniami w branży elektrotechnicznej</t>
  </si>
  <si>
    <t>Trainingabroad a key to a successful career</t>
  </si>
  <si>
    <t>Zagraniczny staż szansą na europejskie kwalifikacje zawodowe uczniów</t>
  </si>
  <si>
    <t xml:space="preserve">Projekt mający na celu wyjazdy zagraniczne młodzieży ZSPG2 w celu </t>
  </si>
  <si>
    <t>podnoszenia kwalifikacji zawodowych</t>
  </si>
  <si>
    <t>2007  2013</t>
  </si>
  <si>
    <t>2005  2013</t>
  </si>
  <si>
    <t>Inne</t>
  </si>
  <si>
    <t>Kwota</t>
  </si>
  <si>
    <t>Dochody ogółem z tytułu realizacji przedsięwzięć współfinansowanych środkami z UE</t>
  </si>
  <si>
    <t>dochody bieżące, w tym:</t>
  </si>
  <si>
    <t>płatności w ramach budżetu środków europejskich</t>
  </si>
  <si>
    <t>środki na realizację programów edukacyjnych „Comenius” i „Leonardo da Vinci”</t>
  </si>
  <si>
    <t>środki na realizację projektu "Rola Miast w zintegrowanym rozwoju regionalnym" w ramach programu URBACT II</t>
  </si>
  <si>
    <t>dochody majątkowe, w tym:</t>
  </si>
  <si>
    <t>dotacje celowe otrzymane na programy finansowane z udziałem środków europejskich oraz środków, o których mowa w art. 5 ust. 1 pkt 3 oraz ust. 3 pkt 5 i 6 ustawy o finansach publicznych</t>
  </si>
  <si>
    <t xml:space="preserve">środki inne </t>
  </si>
  <si>
    <t>Wyszczególnienie</t>
  </si>
  <si>
    <t>Program Operacyjny Innwacyjna Gospodarka</t>
  </si>
  <si>
    <t>Środki na realizację programów edukacyjnych „Comenius” i „Leonardo da Vinci”</t>
  </si>
  <si>
    <t>Środki na realizację projektu "Rola Miast w zintegrowanym rozwoju regionalnym" w ramach programu URBACT II</t>
  </si>
  <si>
    <t>Inne, np. Polsko-Litewski Fundusz Wymiany Młodzieży, Polsko-Niemiecka Współpraca Młodzieży</t>
  </si>
  <si>
    <t>Kwota planu</t>
  </si>
  <si>
    <t>Wydatki na przedsięwzięcia współfinansowane środkami z UE</t>
  </si>
  <si>
    <t>środki własne miasta</t>
  </si>
  <si>
    <t>środki wymienione w art. 5 ust.1 pkt 2 i 3 u.f.p.</t>
  </si>
  <si>
    <t>kredyty, pożyczki i obligacje</t>
  </si>
  <si>
    <t>środki własne miasta pozaprojektowe</t>
  </si>
  <si>
    <t>Wydatki ogółem</t>
  </si>
  <si>
    <t>Rok 2013</t>
  </si>
  <si>
    <t>- kredyty pozaprojektowe</t>
  </si>
  <si>
    <t xml:space="preserve">Utworzenie metodologii Żywych Laboratoriów, tj. miejsc, gdzie tworzone </t>
  </si>
  <si>
    <t>są innowacje technologiczne, społeczne i ekonomiczne</t>
  </si>
  <si>
    <t xml:space="preserve">Inwencja II - transfer wiedzy, technologii i innowacyjności wsparciem dla </t>
  </si>
  <si>
    <t xml:space="preserve">kluczowych specjalizacji świętokrzyskiej gospodarki i konkurencyjności </t>
  </si>
  <si>
    <t>przedsiębiorstw</t>
  </si>
  <si>
    <t>Rozwój innowacyjnych kierunków potencjału gospodarczego i kadrowego WŚ</t>
  </si>
  <si>
    <t>2013   2015</t>
  </si>
  <si>
    <t>Perspektywy RSI Swietokrzyskie IV Etap</t>
  </si>
  <si>
    <t>Rozwój innowacyjności firm, poprzez usługi proinnowacyjne, a także rozwój</t>
  </si>
  <si>
    <t>współpracy i wymiany informacji B+R i firm prowadzącej do podniesienia</t>
  </si>
  <si>
    <t xml:space="preserve">ich zdolności do rozwoju, w tym wdrażania rozwiązań innowacyjnych i </t>
  </si>
  <si>
    <t>produktowe, procesowe, organizacyjne i marketingowe</t>
  </si>
  <si>
    <t>generowania nowych miejsc pracy w oparciu o nowoczesne rozwiązania</t>
  </si>
  <si>
    <t xml:space="preserve">Wzmocnienie współpracy środowiska naukowego z przedsiębiorcami </t>
  </si>
  <si>
    <t>w regionie</t>
  </si>
  <si>
    <t>Okno na świat</t>
  </si>
  <si>
    <t>Przeciwdziałanie wykluczeniu cyfrowemu osób znajdujących się w trudnej</t>
  </si>
  <si>
    <t>sytuacji materialnej i niepełnosprawnych ze 150 gospodarstw domowych</t>
  </si>
  <si>
    <t>(GD) na terenie Gminy Kielce</t>
  </si>
  <si>
    <t>Spółdzielnia socjalna - szansa na lepsze życie</t>
  </si>
  <si>
    <t>Poprawa dostepu do zatrudnienia conajmniej 50% osób zagrożonych</t>
  </si>
  <si>
    <t xml:space="preserve">wykluczeniem społecznym, korzystających ze świadczeń MOPR </t>
  </si>
  <si>
    <t>w Kielcach w okresie 01.01.2013-30.06.2014.</t>
  </si>
  <si>
    <t>2013  2014</t>
  </si>
  <si>
    <t xml:space="preserve">Działanie 9.6: Doradztwo dla osób dorosłych w zakresie diagnozy potrzeb </t>
  </si>
  <si>
    <t xml:space="preserve">oraz wyboru kierunków i formy podnoszenia swoich kompetencji i </t>
  </si>
  <si>
    <t>podwyższania kwalifikacji</t>
  </si>
  <si>
    <t>Doradztwo edukacyjne - mamy dla Ciebie szkolenie</t>
  </si>
  <si>
    <t>Stworzenie kompleksowego systemu doradztwa edukacyjnego w Kielcach</t>
  </si>
  <si>
    <t>2013  2015</t>
  </si>
  <si>
    <t xml:space="preserve">Wzrost aktywności oraz integracji społecznej i zawodowej w 2012/2014 </t>
  </si>
  <si>
    <t xml:space="preserve">roku 30 osób (16K i 14M) niepełnosprawnych, bezrobotnych zarejestrowanych </t>
  </si>
  <si>
    <t xml:space="preserve">w MUP Kielce w wieku aktywności zawodowej, zagrożonych wykluczeniem </t>
  </si>
  <si>
    <t>społecznym i zawodowym</t>
  </si>
  <si>
    <t>na rynek pracy kobietom wychowującym dziecko do lat 6-ciu</t>
  </si>
  <si>
    <t xml:space="preserve">w MUP Kielce w latach 2011-2014 poprzez dofinansowanie zatrudnienia 5 </t>
  </si>
  <si>
    <t xml:space="preserve">pośredników pracy i 3 doradców zawodowych oraz podniesienie ich </t>
  </si>
  <si>
    <t>kwalifikacji i kompetencji zawodowch</t>
  </si>
  <si>
    <t>Wzorst aktywności zawodowej oraz zdolności do zatrudnienia 200 osób</t>
  </si>
  <si>
    <t>długotrwale bezrobotnych zarejestrowanych w MUP Kielce w tym 98 K</t>
  </si>
  <si>
    <t>i 102 M w latach 2012-2014</t>
  </si>
  <si>
    <t>Rozwój kadr MUP poprzez podniesienie ich kwalifikacji i umiejętności</t>
  </si>
  <si>
    <t>zawodowych i personalnych</t>
  </si>
  <si>
    <t>Wsparcie oraz promocja przedsiębiorczości i samozatrudnienia</t>
  </si>
  <si>
    <t>Działanie 8.2: Drogi krajowe poza siecią TEN-T</t>
  </si>
  <si>
    <t>Oś Priorytetowa 8: Bezpieczeństwo transportu i krajowe sieci</t>
  </si>
  <si>
    <t>transportowe</t>
  </si>
  <si>
    <t>Budowa pętli autobusowej przy ul. Olszewskiego w rejonie Kieleckiego</t>
  </si>
  <si>
    <t xml:space="preserve"> Parku Technologicznego wraz z przebudową ul. Olszewskiego pod </t>
  </si>
  <si>
    <t>potrzeby buspasów i ścieżki rowerowej</t>
  </si>
  <si>
    <t>Budowa zintegrowanych nowoczesnych peronów przystankowych</t>
  </si>
  <si>
    <t>nym - Budowa bus-pasów w ciągu ulicy Grunwaldzkiej  i al. Szajnowicza-</t>
  </si>
  <si>
    <t xml:space="preserve">Iwanowa w Kielcach na odcinku od ul. Podklasztornej do ul. Massalskiego </t>
  </si>
  <si>
    <t>wraz ze skrzyżowaniem</t>
  </si>
  <si>
    <t>Oś priorytetowa V: Zrównoważony rozwój potencjału turystycznego oparty</t>
  </si>
  <si>
    <t>o warunki naturalne</t>
  </si>
  <si>
    <t>Program Operacyjny Rozwój Polski Wschodniej 2007-2013</t>
  </si>
  <si>
    <t>Działanie 5.2 Trasy rowerowe</t>
  </si>
  <si>
    <t>Trasy rowerowe w Polsce Wschodniej - województwo świętokrzyskie</t>
  </si>
  <si>
    <t>Poprawa infrastruktury rowerowej</t>
  </si>
  <si>
    <t>Metropolitalnym - Budowa bus-pasów w ciągu ulic Tarnowska-Żródłowa</t>
  </si>
  <si>
    <t xml:space="preserve">Al. Solidarności ( na odcinku od ul. Bohaterów Warszawy do </t>
  </si>
  <si>
    <t>Al. Tysiąclecia PP)</t>
  </si>
  <si>
    <t>Rozwój systemu komunikacji publicznej</t>
  </si>
  <si>
    <t xml:space="preserve">Metropolitalnym - budowa pętli autobusowej na Bukówce wraz  </t>
  </si>
  <si>
    <t xml:space="preserve">z parkingiem przesiadkowym i infrastrukturą towarzyszącą oraz budowa </t>
  </si>
  <si>
    <t>pętli manewrowej dla autobusów komunikacji miejskiej przy ul.</t>
  </si>
  <si>
    <t xml:space="preserve"> Sikorskiego</t>
  </si>
  <si>
    <t xml:space="preserve">Cel: </t>
  </si>
  <si>
    <t xml:space="preserve">Metropolitalnym - Uzupełnienie sieci elektronicznej informacji pasażerskiej </t>
  </si>
  <si>
    <t>o 36 tablic przystankowe</t>
  </si>
  <si>
    <t>Program Uczenie się przez całe życie</t>
  </si>
  <si>
    <t>Friendship through Fitness</t>
  </si>
  <si>
    <t xml:space="preserve">Supporting Intercultural Education through Museums: Think, Talk, </t>
  </si>
  <si>
    <t xml:space="preserve">Touch" </t>
  </si>
  <si>
    <t xml:space="preserve"> i zbudowanie w uczniach szkół partnerskich europejskich tożsamości</t>
  </si>
  <si>
    <t>Szkolny Inkubator Umiejętności - wspieranie umiejętności zawodowych</t>
  </si>
  <si>
    <t>2010  2013</t>
  </si>
  <si>
    <t>Europa Dla Obywateli</t>
  </si>
  <si>
    <t>-</t>
  </si>
  <si>
    <t>Aktywni obywatele dla Europy</t>
  </si>
  <si>
    <t>EUC4BIZ</t>
  </si>
  <si>
    <t>Wymiana potrzeb i dobrych praktyk pomiędzy miastami uczestniczącymi</t>
  </si>
  <si>
    <t xml:space="preserve">w Projekcie w zakresie istniejących narzędzi do wspierania </t>
  </si>
  <si>
    <t>przedsiębiorczości</t>
  </si>
  <si>
    <t>150  15011</t>
  </si>
  <si>
    <t>URBACT II</t>
  </si>
  <si>
    <t>Aktywna integracja</t>
  </si>
  <si>
    <t>"JOBTOWN: A European Network of Local Partnerships for the</t>
  </si>
  <si>
    <t>Przeciwdziałania bezrobociu strukturalnemu wśród młodzieży</t>
  </si>
  <si>
    <t>Advancement of Youth Employment and Opportunity</t>
  </si>
  <si>
    <t>150  15013</t>
  </si>
  <si>
    <t>WYDZIAŁ INWESTYCJI</t>
  </si>
  <si>
    <t xml:space="preserve">Rewitalizacja Śródmieścia Kielc - adaptacja budynku przy ul. Kapitulnej 2 </t>
  </si>
  <si>
    <t xml:space="preserve">na potrzeby Biura Wystaw Artystycznych (Przebudowa budynku przy </t>
  </si>
  <si>
    <t xml:space="preserve">ul. Kapitulnej 2 wraz ze zmianą sposobu jego użytkowania) </t>
  </si>
  <si>
    <t>Rozwój bazy dla upowszechniania kultury</t>
  </si>
  <si>
    <t>921  92110</t>
  </si>
  <si>
    <t xml:space="preserve">Gminnego Standardu Wychodzenia z Bezdomności przez Kieleckie </t>
  </si>
  <si>
    <t>Partnerstwo Lokalne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</si>
  <si>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</si>
  <si>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</si>
  <si>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</si>
  <si>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</si>
  <si>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</si>
  <si>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</si>
  <si>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</si>
  <si>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</si>
  <si>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</si>
  <si>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</si>
  <si>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</si>
  <si>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</si>
  <si>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</si>
  <si>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</si>
  <si>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</si>
  <si>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</si>
  <si>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</si>
  <si>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</si>
  <si>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</si>
  <si>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</si>
  <si>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</si>
  <si>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</si>
  <si>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</si>
  <si>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</si>
  <si>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</si>
  <si>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</si>
  <si>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</si>
  <si>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</si>
  <si>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</si>
  <si>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</si>
  <si>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</si>
  <si>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</si>
  <si>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</si>
  <si>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</si>
  <si>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</si>
  <si>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</si>
  <si>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</si>
  <si>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nym - budowa węzła drogowego u zbiegu ulic: Żelazna, 1 Maja, Zagnańska</t>
  </si>
  <si>
    <t>wraz z przebudową Ronda im. Gustawa Herlinga-Grudzińskiego</t>
  </si>
  <si>
    <t>Wzrost aktywności zawodowej oraz zdolności do zatrudnienia 110 osób w wie-</t>
  </si>
  <si>
    <t>ku 15-24 zarejestrowanych w MUP Kielce w tym 48K i 62 M w latach 2012-2014</t>
  </si>
  <si>
    <t>Wydatki poniesione                do dnia              31.12.2013r.</t>
  </si>
  <si>
    <t>Planowane wydatki                      po zmianach                          na 31.12.2013r.</t>
  </si>
  <si>
    <t>Wykonanie                       na dzień            31.12.2013r.</t>
  </si>
  <si>
    <t>Szwajcarsko-Polski Program Współpracy</t>
  </si>
  <si>
    <t>Priorytet 4. Rozwój społeczny i zasobów ludzkich</t>
  </si>
  <si>
    <t xml:space="preserve">Poprawa usług podstawowej opieki zdrowotnej i usług opieki społecznej na </t>
  </si>
  <si>
    <t>peryferyjnych i zmarginalizowanych terenach obszarów objętych koncentra-</t>
  </si>
  <si>
    <t>cją geograficzną z preferencją dla wielosektorowego podejścia programowego</t>
  </si>
  <si>
    <t xml:space="preserve">Poprawa jakości usług opieki społecznej poprzez adaptację budynku na </t>
  </si>
  <si>
    <t xml:space="preserve">lokale aktywizujące dla osób niepełnosprawnych oraz podniesienie </t>
  </si>
  <si>
    <t>kwalifikacji zawodowych personelu Zespołu Placówek "Kamyk" w Kielcach</t>
  </si>
  <si>
    <t xml:space="preserve">Projekt nr KIK/57: Podniesienie jakości usług świadczonych w Jednostkach </t>
  </si>
  <si>
    <t xml:space="preserve">Organizacyjnych Pomocy Społecznej w celu wzmocnienia podmiotowości </t>
  </si>
  <si>
    <t>i aktywności życiowej podopiecznych</t>
  </si>
  <si>
    <t>852  85201</t>
  </si>
  <si>
    <t>Poprawa jakości usług opieki społecznej poprzez utworzenie lokali aktywizują-</t>
  </si>
  <si>
    <t>cych dla osób starszych i niepełnosprawnych oraz podniesienie kwalifikacji za-</t>
  </si>
  <si>
    <t>wodowych personelu Domu Pomocy Społecznej im. Jana Pawła II w Kielcach</t>
  </si>
  <si>
    <t>852  85202</t>
  </si>
  <si>
    <t xml:space="preserve">Każdy ma prawo do swojego miejsca w społeczeństwie - nowe oddziały </t>
  </si>
  <si>
    <t>integracyjne w przedszkolach dla dzieci z Gminy Kielce</t>
  </si>
  <si>
    <t xml:space="preserve">Celem projektu jest rozwój w zakresie edukacji przedszkolnej dzieci z Gminy </t>
  </si>
  <si>
    <t xml:space="preserve">Kielce w wieku 3-4 lata oraz dzieci w wieku 3-10 lat posiadających orzeczenia </t>
  </si>
  <si>
    <t>o potrzebie kształcenia specjalnego w nowo utworzonych oddziałach integracyj-</t>
  </si>
  <si>
    <t>nych w Przedszkolu Samorządowym nr 8 i Przedszkolu Samorządowym nr 19</t>
  </si>
  <si>
    <t>Kształcenie praktyczne gwarancją sukcesu</t>
  </si>
  <si>
    <t xml:space="preserve">Podniesienie jakości oferty edukacyjnej w celu lepszego przygotowania do </t>
  </si>
  <si>
    <t>pracy</t>
  </si>
  <si>
    <t>Przyszłość dla elektronika i energetyka</t>
  </si>
  <si>
    <t xml:space="preserve">Podniesienie jakości oferty edukacyjnej w celu lepszego przygotowania </t>
  </si>
  <si>
    <t>elektroników i energetyków do pracy</t>
  </si>
  <si>
    <t>Projekt mający na celu wspieranie umiejętności zawodowych i społecznych</t>
  </si>
  <si>
    <t>uczniów ZSZ</t>
  </si>
  <si>
    <t>Crossing bridges from past present</t>
  </si>
  <si>
    <t xml:space="preserve">Projekt ma na celu zapoznanie uczestników z historią, zwyczajami </t>
  </si>
  <si>
    <t>poszczególnych krajów a także próbę przeniesienia ich do teraźniejszości</t>
  </si>
  <si>
    <t>European little hearts discover the culture box with their magic steps</t>
  </si>
  <si>
    <t xml:space="preserve">Celem projektu jest zapoznanie uczniów z dawnymi zawodami; odkrycie na </t>
  </si>
  <si>
    <t xml:space="preserve">nowo starych zabaw i gier; odkrywanie walorów i adaptowanie do potrzeb </t>
  </si>
  <si>
    <t xml:space="preserve">dnia dzisiejszegodawnych ubiorów; odkrywanie piękna dawnych budowli i </t>
  </si>
  <si>
    <t xml:space="preserve">budynków. Podczas wyjazdów zagranicznych uczniowie i nauczyciele będą </t>
  </si>
  <si>
    <t xml:space="preserve">poznawać zabytki, zwyczaje i kulturę krajów partnerskich. Dyrekcja i </t>
  </si>
  <si>
    <t>nauczyciele poznają także nowoczesne rozwiązania edukacyjne i metody pracy</t>
  </si>
  <si>
    <t xml:space="preserve">Projekt będzie swoimi oddziaływaniami łączył propagowanie osiągnięć </t>
  </si>
  <si>
    <t xml:space="preserve">sportowych i wymiany informacji o ojczystych krajach. W projekcie biorą </t>
  </si>
  <si>
    <t>udział szkoły z Anglii (2 szkoły), Niemiec, Słowacji i Polski</t>
  </si>
  <si>
    <t>My town - my little homeland in Europe</t>
  </si>
  <si>
    <t xml:space="preserve">Projekt na zapoznanie dzieci ze szkoły podstawowej z krajami należącymi </t>
  </si>
  <si>
    <t>do Unii Europejskiej</t>
  </si>
  <si>
    <t>Shop and eat by colours</t>
  </si>
  <si>
    <t xml:space="preserve">Wyjazdy młodzieży do m.in. Belgii, Holandii, Włoch, Hiszpanii, Niemiec </t>
  </si>
  <si>
    <t xml:space="preserve">w celu poznania innych kultur, sposobów odżywiania oraz tradycyjnych </t>
  </si>
  <si>
    <t>potraw</t>
  </si>
  <si>
    <t>801   80130</t>
  </si>
  <si>
    <t>853   85395</t>
  </si>
  <si>
    <t>Od informacji do narracji - marketing w społeczeństwie informacyjnym</t>
  </si>
  <si>
    <t xml:space="preserve">Umożliwienie uczniom podniesienia kwalifikacji zawodowych i kompetencji </t>
  </si>
  <si>
    <t xml:space="preserve">językowych, zapewnienie równych szans edukacyjnych młodzieży ze </t>
  </si>
  <si>
    <t xml:space="preserve">środowisk niezamożnych i ze specjalnymi potrzebami, zastosowania i </t>
  </si>
  <si>
    <t xml:space="preserve">poszerzenie nabytej w szkole wiedzy i umiejętności w rzeczywistych </t>
  </si>
  <si>
    <t>warunkach pracy</t>
  </si>
  <si>
    <t xml:space="preserve">Podniesienie jakości kształcenia zawodowego poprzez wymianę partnerską </t>
  </si>
  <si>
    <t>z innymi krajami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</si>
  <si>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</si>
  <si>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</si>
  <si>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</si>
  <si>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</si>
  <si>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</si>
  <si>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</si>
  <si>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</si>
  <si>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</si>
  <si>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</si>
  <si>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</si>
  <si>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Rozwój infrastruktury i obszarów B+R Kieleckiego Parku Technologicznego</t>
  </si>
  <si>
    <t>Powiększenie i modernizacja istniejącej zabudowy wraz z infrastrukturą</t>
  </si>
  <si>
    <t xml:space="preserve">towarzyszącą oraz stworzenie nowoczesnych, dobrze wyposażonych </t>
  </si>
  <si>
    <t xml:space="preserve">powierzchni i kompleksowych rozwiązań dla innowacyjnego biznesu, w tym </t>
  </si>
  <si>
    <t>stworzenie zaplecza B+R dla przedsiębiorstw</t>
  </si>
  <si>
    <t xml:space="preserve"> - Przebudowa (adaptacja)budynku - Kielce, ul. Nowowiejska 14 </t>
  </si>
  <si>
    <t>z przeznaczeniem na lokale aktywizujące dla osób niepełnosprawnych</t>
  </si>
  <si>
    <t xml:space="preserve">Przebudowa części budynku Domu Pomocy Społecznej im. Jana Pawła II </t>
  </si>
  <si>
    <t>w Kielcach</t>
  </si>
  <si>
    <t xml:space="preserve">Metropolitalnym - Budowa bus-pasów w ciągu ulicy Grunwaldzkiej i Al. </t>
  </si>
  <si>
    <t xml:space="preserve">Szajnowicza-Iwanowa w Kielcach na odcinku od ul. Podklasztornej </t>
  </si>
  <si>
    <t>do ul. Massalskiego wraz ze skrzyżowaniem</t>
  </si>
  <si>
    <t>2014  2015</t>
  </si>
  <si>
    <t xml:space="preserve">Metropolitalnym - Zwiększenie bezpieczeństwa w komunikacji miejskiej </t>
  </si>
  <si>
    <t xml:space="preserve">obsługującej Kielecki Obszar Metropolitalny poprzez wyposażenie wszystkich </t>
  </si>
  <si>
    <t>autobusów w monitoring wizyjny</t>
  </si>
  <si>
    <t>Zadanie zostało zrealizowane</t>
  </si>
  <si>
    <t>Realizacja pozostałych podzadań z Projektu, tj. "Dostawa, wdrożenie i uruchomienie dla UM Kielce oprogramowania modułu integracji danych przestrzennych - interfejsu łączącego SIPWŚ z MSIP Kielce" nastąpi w 2014r., gdyż uzależnione są one od Lidera Projektu. Termin zakończenia Projektu został przesunięty przez  Urząd Marszałkowski do 30.06.2014r..</t>
  </si>
  <si>
    <t>Projekt realizowany jest od maja 2013 r., stąd niska realizacja planu.</t>
  </si>
  <si>
    <t>Realizacja projektu przebiega zgodnie z założeniami. Środki niewydatkowane w roku 2013 zostały przesunięte na lata następne.</t>
  </si>
  <si>
    <t>Środki niewydatkowane w roku 2013 zostaną przesunięte i wykorzystane w roku 2014. Realizacuja projektu została przedłużona do dnia 30.04.2014 r.</t>
  </si>
  <si>
    <t xml:space="preserve">Zmniejszenie planu na rok 2013 wynika m.in. z faktu, iż część beneficjentów ostatecznych zrezygnowała z uczestnictwa w projekcie. </t>
  </si>
  <si>
    <t>Zwiększenie planu w roku 2013 ma związek z faktem, iż wzrosło zainteresowanie beneficjentów ostatecznych uczestnictwem w szkoleniach, które dają możliwość uzyskania uzupełnienia lub doskonalenia umiejętności i kwalifikacji zawodowych.</t>
  </si>
  <si>
    <t xml:space="preserve">Projekt realizowany jest zgodnie z budżetem projektu. </t>
  </si>
  <si>
    <t>Środki niewykorzystane w latach ubiegłych zostały przesunięte na rok 2014.</t>
  </si>
  <si>
    <t>Projekt realizowany jest zgodnie z budżetem projektu. Środki niewykorzystane w roku 2013 zostały przesunięte na rok 2014. Realizacja projektu została przedłużona do dnia 31.12.2014 roku.</t>
  </si>
  <si>
    <t xml:space="preserve">Wykonano harmonogram kosztów i aktualizację studium wykonalności. Realizacja budynku została zakończona.  Budynek Centrum Geoedukacji jest użytkowany.      </t>
  </si>
  <si>
    <t>Wydatki poniesiono na przygotowanie konferencji pn.”Biznes w sieci”, wynagrodzenia dla zespołu projektowego, podróże służbowe, zakup materiałów biurowych oraz zakup usług telekomunikacyjnych.</t>
  </si>
  <si>
    <t xml:space="preserve"> W 2013r. wydatki poniesiono na wynagrodzenia zespołu projektowego, ekspertów krajowych, zorganizowanie Partner Search Forum, opracowanie 3 strategii wejścia na rynek nowych wzorniczo produktów, przeprowadzenie wzorniczych audytów technologicznych, usług proinnowacyjnych w formie rebrendingu marki, wyposażenie laboratorium Lab Design w meble. Poniesiono również koszty prowadzenia wydzielonego biura projektu. </t>
  </si>
  <si>
    <t xml:space="preserve">Wydatki poniesiono m.in.  na wynagrodzenie zespołu projektowego, obsługę prawną i doradztwo w zakresie PZP, zakup komputerów wraz z oprogramowaniem, organizacje i przeprowadzenie pracy warsztatowej dla studentów, wykonanie audytów technologicznych, wykonanie strategii wprowadzenia produktów na rynek, wyjazdy studyjne. </t>
  </si>
  <si>
    <t>Wydatki poniesiono na wynagrodzenia zespołu projektowego wraz z narzutami, wynagrodzenia trenerów szkolenia i doradztwa poszkoleniowego, obsługę prawną , promocje działań projektu w prasie regionalnej oraz wydatki związane z organizacją szkoleń.</t>
  </si>
  <si>
    <t>Wydatki poniesione zostały na realizację kampanii promocyjnej, wypłatę dodatków stażowych i ubezpieczenia stażystów oraz wynagrodzenia dla zespołu projektowego.</t>
  </si>
  <si>
    <t>Wydatki poniesione zostały na zakup komputera i oprogramowania, wynagrodzenia zespołu projektowego, promocję działań projektu w internecie i prasie, organizację spotkań brokerskich, wynagrodzenie trenera szkoleń z branży Modelowania</t>
  </si>
  <si>
    <t>Wydatki poniesione zostały m.in. na  organizację spotkań w ramach projektu pilotażowego, delegacje członków zespołu na spotkania projektowe, wynagrodzenia ekspertów krajowych i zagranicznych, opracowanie Policy Briefing (rekomendacji politycznych), tłumaczenia dokumentacji projektowej,  organizacje targów, przeprowadzenie szkoleń w zakresie biznesu.</t>
  </si>
  <si>
    <t>Poniesiono nakłady inwestycyjne na: wynagrodzenie  za przygotowanie dokumentacji technicznej, wykonanie robót budowlanych dot. przebudowy bufetu, zastępstwo inwestycyjne, koncepcję programowo - przestrzenną hali magazynowo - produkcyjnej z zapleczem socjalnym, wykonanie podziału działek.</t>
  </si>
  <si>
    <t>Projekt realizowany od 14.02.2013-30.09.2015.  Z rachunku projektu nie poniesiono żadnych wydatków dot. realizacji projektu. Umowę podpisano w dniu 31.12.2013r.</t>
  </si>
  <si>
    <t>Podpisano umowy ze Świętokrzyską Szkołą Wyższą w Kielcach  na organizację studiów podyplomowych na kierunkach: Neurologopedia (dla 1 osoby) i Resocjalizacja z socjoterapią (dla 6 osób). Pracownicy merytoryczni uczestniczą w zajęciach na ww. kierunkach.</t>
  </si>
  <si>
    <t xml:space="preserve"> 04.10.2013 roku zostały podpisane umowy z ZDZ w Kielcach oraz ReMed Centrum Fizjoedukacji w Kielcach, rozpoczęto realizację szkoleń. Do 12.13r. zrealizowano 16 szkoleń. Odbyły się negocjacje w trybie zamówienia z wolnej ręki na przeprowadzenie szkolenia z Metody laseroterapii i Metody Nordic Walking. </t>
  </si>
  <si>
    <t xml:space="preserve">Stan zaawansowania prac na dzień 31.12.2013r. : zatrudnionych - 31 osoby, Ogółem wsparciem w ramach projektu objętych było 365 osób – 234 osoby w kontraktach socjalnych 113 kobiet, 121 mężczyzn; 131 os. um. PAL 60 kobiet i 71 mężczyzn. 
Głównym zadaniem realizowanym w projekcie było podejmowanie działań sprzyjających wzrostowi kompetencji społeczno – zawodowych; zastosowano względem Odbiorców Projektu instrumenty aktywizacji
</t>
  </si>
  <si>
    <t>Dnia 14-05-2013r.podpisano umowę na dofinansowanie projektu. Zakończono rekrutację uczestników(BO). Wybrano 150 osob. Rozpoczęto procedurę przetargową na zakup sprzętu komputerowego</t>
  </si>
  <si>
    <t>W ramach projektu powstały 2 spółdzielnie socjalne:"AGRO-BUD" o profilu działalności remontowo-wykończeniowym oraz "Kielecka" w branży gastronomicznej.Uczestnicy projektu odbyli szkolenie zawodowe. Ze spóldzielniami zawarto umowy o przyznanie środków finansowych, na mocy których wypłacono dotację.</t>
  </si>
  <si>
    <t xml:space="preserve">Projekt został zrealizowany i zakończony 31.08.2013 r. Po zakończeniu projektu kontynuowana jest współpraca z Koalicjantami (regularne spotkania) Zatrudniono 2 streetworkerów. Funkcjonuje  noclegownia  i 6 mieszkań chronionych. </t>
  </si>
  <si>
    <t>22-10-2013r. podpisano aneks o wydłużenie realizacji projektu do końca marca 2015 roku. Bieżące działania to monitoring projektu i wydatki abonetowe za internet i usługę serwisową sprzętu komputerowego.</t>
  </si>
  <si>
    <t>Ogłoszono przetarg na usługi budowlane. Wyłoniono wykonawcę i w dn. 04-10-2013r. Podpisano z nim umowę. Do końca 2013 roku zakończył Etap 1 - Roboty rozbiórkowe i przygotowawcze,Zakończyły się również prace Etapu 2 - Roboty budowlane</t>
  </si>
  <si>
    <t> W dniu miesiącu październik 2013 roku ogłoszono przetarg na usługi budowlane "Przebudowa części budynku Domu Pomocy Społecznej im. Jana Pawła II w Kielcach. Wyłoniono wykonawcę na prace inwestycyjne i 29.11.2013 r. podpisano z nim umowę. </t>
  </si>
  <si>
    <t xml:space="preserve">Planowany termin zakończenia maj 2015 r. W trakcie realizacji nastąpiła konieczność dokonanania wzmocnienia podłoża gruntowego. Na terenie przebudowy drogi  jednocześnie realizowana jest przez Wodociągi Kieleckie - budowa kanalizacji sanitarnej.   </t>
  </si>
  <si>
    <t>Dokumentacja opracowana. Prawomocne pozwolenie na budowę. Przetarg na inżyniera kontraktu i na realizację zostanie ogłoszony w 2014 r.</t>
  </si>
  <si>
    <t>Konkurs na koncepcję wiat roztrzygnięty. Podpisano umowy na prace projektowe. Przetarg na inżyniera kontraktu i na realizację zostanie ogłoszony w 2014 r</t>
  </si>
  <si>
    <t>Inwestycja w trakcie realizacji. W roku 2013 rozliczono dokumentację projektową oraz wykupy gruntów. Przetarg na inżyniera kontraktu i na realizację zostanie ogłoszony w 2014 r. Realizacja zadania wspólnie z ZTM.</t>
  </si>
  <si>
    <t xml:space="preserve">Inwestycja w trakcie realizacji: zakończono prace budowlane, aktulanie trwa ich odbiór.  W roku  2014 r przewidziano: rozliczenie końcowe prac budowlanych,  wykupy gruntów, 5 % wartości robót, 10% manager projektu. CA 36 mln. </t>
  </si>
  <si>
    <t>Trwają prace projektowe prowadzone przez Świętokrzyski Zarząd Dróg Wojewódzkich.  Realizacja inwestycji w roku 2014.</t>
  </si>
  <si>
    <t>Inwestycja zakończona w części drogowej. Wszystkie prace zostały rozliczone. W roku 2014 zostały do rozliczenia wykupy gruntów związane z realizacją inwestycji na terenach należących do PKP. Czekamy na ostateczną decyzję z Ministerstwa.</t>
  </si>
  <si>
    <t>W ramach realizacji inwestycji wykonano: przebudowę drogi wojewódzkiej na dł. 6,90 km x 2 jezdnie, nowe 2 km ścieżek rowerowych, przebudowano 6 obiektów mostowych oraz  wybudowano 1 nowy most, przebudowano 28 przejść dla pieszych, 6,70 km chodników, wybudowano ekrany akustyczne o pow. 7 087,10.</t>
  </si>
  <si>
    <t xml:space="preserve">Inwestycja w trakcie realizacji. Zrealizowano wycinkę drzew, Trwają prace rozbiórkowe i przygotowawcze do realizacji części drogowej. Planowane zakończenie robót - listopad 2014 r. </t>
  </si>
  <si>
    <t>Inwestycja zakończona w części drogowej. Wszystkie prace w terenie zostały zakończone. W roku 2014 zostały do rozliczenia faktury końcowe za roboty budowlane oraz inżyniera kontraktu.</t>
  </si>
  <si>
    <t xml:space="preserve">Projekt zakończony </t>
  </si>
  <si>
    <t>Projekt zakończony w dniu 30.09.2013</t>
  </si>
  <si>
    <t>Projekt w trakcie realizacji</t>
  </si>
  <si>
    <t>Projekt zakończony w dniu 31.08.2013</t>
  </si>
  <si>
    <t>Projekt zakończony w dniu 28.02.2013</t>
  </si>
  <si>
    <t>Projekt zakończony w dniu 31.07.2013</t>
  </si>
  <si>
    <t>Projekt zakończony w dniu 31.10.2013</t>
  </si>
  <si>
    <t>Projekt zakończony w dniu 20.12.2013</t>
  </si>
  <si>
    <t>Projekt zakończony w dniu 31.12.2013</t>
  </si>
  <si>
    <t>Zaplanowane na ten cel środki finansowe z uwagi na zmianę harmonogramów rzeczowo – finansowych oraz podpisanie aneksów do umów i tym samym rozszerzenie projektu o dodatkowe zadania zostały przesunięte do realizacji w roku 2014r.</t>
  </si>
  <si>
    <t>Wydatki poniesiono na: aktualizacją ofert inwestycyjnych,  wykup publikacji, organizację konferencji i opłatę not księgowych, analizy, ekspertyzy projektu pilotażowego nt. atrakcyjności miasta Kielce w obszarze nowoczesnych usług outsourcingowych.</t>
  </si>
  <si>
    <t>Realizacja wydatków w I pólroczu dotyczących tego projektu objęła wydatki związane ze stworzeniem strony internetowej. Pozostałe  wydatki będą realizowane w  2014 roku.</t>
  </si>
  <si>
    <t xml:space="preserve">Wydatki w 2013 roku objęły wykonanie strony internetowej oraz zakup materiałów promocyjnych na potrzeby projektu. </t>
  </si>
  <si>
    <t xml:space="preserve">Wydatki w 2013 r. zostały poniesione na: zakup biletów lotniczych,  usługę moderacji spotkania Lokalnej Grupy Wsparcia w ramach projektu oraz opracowanie autorskiej strategii funkcjonowania Lokalnej Grupy Wsparcia. </t>
  </si>
  <si>
    <t>Zadanie przeniesione na 2014 rok</t>
  </si>
  <si>
    <t>Wykonane projekty na dwie toalety</t>
  </si>
  <si>
    <t>Wykonane projekty budowlane na 36 tablic realizacja w 2014 roku</t>
  </si>
  <si>
    <t>Zadanie zrealizowane</t>
  </si>
  <si>
    <t>Wykonany projekt toalety Olszewskiego</t>
  </si>
  <si>
    <t>Realizacja planowana w latach następnych</t>
  </si>
  <si>
    <t>Poniesione wydatki dotyczą m.in.: częściowych kosztów budowy kanalizacji i kabli światłowodowych, uzgodnień projektów zamiennych, uzgodnień branżowych, obsługi merytorycznej, prawnej, finansowo-księgowej, nadzoru inwestorskiego, zarządzania projektem, nadzoru autorskiego, opłat za zajęcie pasa drogowego (dróg w zarządzie GDDKiA), Pozostałe wydatki, tj. dot. rozliczenia końcowego z Wykonawcą, z Inżynierem Kontraktu oraz promocji Projektu będą poniesione w 2014r. .</t>
  </si>
  <si>
    <t>Realizacja przewidziana w latach następnych</t>
  </si>
  <si>
    <t>Wydział Inwestycji</t>
  </si>
  <si>
    <t>Zarząd Transportu Miejskiego</t>
  </si>
  <si>
    <t>własne pozaprojektowe</t>
  </si>
  <si>
    <t>Plan B</t>
  </si>
  <si>
    <t>Wykonanie B</t>
  </si>
  <si>
    <t>Plan D</t>
  </si>
  <si>
    <t>Wykonanie D</t>
  </si>
  <si>
    <t>Różnica</t>
  </si>
  <si>
    <t>Tabela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</si>
</sst>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0"/>
      <name val="Arial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b/>
      <sz val="10"/>
      <name val="Arial"/>
      <family val="2"/>
      <charset val="238"/>
    </font>
    <font>
      <sz val="8.5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6.5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6"/>
      <name val="Arial"/>
      <family val="2"/>
      <charset val="238"/>
    </font>
    <font>
      <b/>
      <i/>
      <sz val="9"/>
      <name val="Arial"/>
      <family val="2"/>
      <charset val="238"/>
    </font>
    <font>
      <b/>
      <u/>
      <sz val="9"/>
      <name val="Arial"/>
      <family val="2"/>
      <charset val="238"/>
    </font>
    <font>
      <sz val="9"/>
      <name val="Arial"/>
      <family val="2"/>
      <charset val="238"/>
    </font>
    <font>
      <b/>
      <sz val="7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9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4" fontId="5" fillId="2" borderId="5" xfId="0" applyNumberFormat="1" applyFont="1" applyFill="1" applyBorder="1" applyAlignment="1">
      <alignment vertical="center"/>
    </xf>
    <xf numFmtId="164" fontId="5" fillId="2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7" fillId="2" borderId="6" xfId="0" applyNumberFormat="1" applyFont="1" applyFill="1" applyBorder="1" applyAlignment="1">
      <alignment vertical="center"/>
    </xf>
    <xf numFmtId="4" fontId="7" fillId="2" borderId="5" xfId="0" applyNumberFormat="1" applyFont="1" applyFill="1" applyBorder="1" applyAlignment="1">
      <alignment vertical="center"/>
    </xf>
    <xf numFmtId="164" fontId="7" fillId="2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4" fontId="5" fillId="3" borderId="5" xfId="0" applyNumberFormat="1" applyFont="1" applyFill="1" applyBorder="1" applyAlignment="1">
      <alignment vertical="center"/>
    </xf>
    <xf numFmtId="164" fontId="5" fillId="3" borderId="5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4" fontId="7" fillId="3" borderId="5" xfId="0" applyNumberFormat="1" applyFont="1" applyFill="1" applyBorder="1" applyAlignment="1">
      <alignment vertical="center"/>
    </xf>
    <xf numFmtId="164" fontId="7" fillId="3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vertical="center"/>
    </xf>
    <xf numFmtId="4" fontId="5" fillId="4" borderId="5" xfId="0" applyNumberFormat="1" applyFont="1" applyFill="1" applyBorder="1" applyAlignment="1">
      <alignment vertical="center"/>
    </xf>
    <xf numFmtId="164" fontId="5" fillId="4" borderId="5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vertical="center"/>
    </xf>
    <xf numFmtId="0" fontId="7" fillId="4" borderId="7" xfId="0" applyFont="1" applyFill="1" applyBorder="1" applyAlignment="1">
      <alignment vertical="center"/>
    </xf>
    <xf numFmtId="49" fontId="7" fillId="4" borderId="6" xfId="0" applyNumberFormat="1" applyFont="1" applyFill="1" applyBorder="1" applyAlignment="1">
      <alignment vertical="center"/>
    </xf>
    <xf numFmtId="4" fontId="7" fillId="4" borderId="5" xfId="0" applyNumberFormat="1" applyFont="1" applyFill="1" applyBorder="1" applyAlignment="1">
      <alignment vertical="center"/>
    </xf>
    <xf numFmtId="164" fontId="7" fillId="4" borderId="5" xfId="0" applyNumberFormat="1" applyFont="1" applyFill="1" applyBorder="1" applyAlignment="1">
      <alignment horizontal="center" vertical="center"/>
    </xf>
    <xf numFmtId="4" fontId="5" fillId="0" borderId="5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vertical="center"/>
    </xf>
    <xf numFmtId="164" fontId="7" fillId="2" borderId="8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vertical="center"/>
    </xf>
    <xf numFmtId="164" fontId="7" fillId="3" borderId="2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/>
    </xf>
    <xf numFmtId="4" fontId="7" fillId="3" borderId="8" xfId="0" applyNumberFormat="1" applyFont="1" applyFill="1" applyBorder="1" applyAlignment="1">
      <alignment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vertical="center"/>
    </xf>
    <xf numFmtId="164" fontId="7" fillId="4" borderId="2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0" fontId="7" fillId="4" borderId="10" xfId="0" applyFont="1" applyFill="1" applyBorder="1" applyAlignment="1">
      <alignment vertical="center"/>
    </xf>
    <xf numFmtId="0" fontId="7" fillId="4" borderId="8" xfId="0" applyFont="1" applyFill="1" applyBorder="1" applyAlignment="1">
      <alignment horizontal="center" vertical="center"/>
    </xf>
    <xf numFmtId="4" fontId="7" fillId="4" borderId="8" xfId="0" applyNumberFormat="1" applyFont="1" applyFill="1" applyBorder="1" applyAlignment="1">
      <alignment vertical="center"/>
    </xf>
    <xf numFmtId="164" fontId="7" fillId="4" borderId="8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4" fontId="7" fillId="0" borderId="3" xfId="0" applyNumberFormat="1" applyFont="1" applyBorder="1" applyAlignment="1">
      <alignment vertical="center"/>
    </xf>
    <xf numFmtId="164" fontId="7" fillId="0" borderId="2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9" fontId="7" fillId="0" borderId="5" xfId="0" applyNumberFormat="1" applyFont="1" applyBorder="1" applyAlignment="1">
      <alignment vertical="center"/>
    </xf>
    <xf numFmtId="4" fontId="7" fillId="0" borderId="5" xfId="0" applyNumberFormat="1" applyFont="1" applyBorder="1" applyAlignment="1">
      <alignment vertical="center"/>
    </xf>
    <xf numFmtId="164" fontId="7" fillId="0" borderId="5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4" fontId="7" fillId="0" borderId="5" xfId="0" applyNumberFormat="1" applyFont="1" applyFill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4" fontId="7" fillId="0" borderId="9" xfId="0" applyNumberFormat="1" applyFont="1" applyBorder="1" applyAlignment="1">
      <alignment vertical="center"/>
    </xf>
    <xf numFmtId="164" fontId="7" fillId="0" borderId="8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5" borderId="6" xfId="0" applyFont="1" applyFill="1" applyBorder="1" applyAlignment="1">
      <alignment vertical="center"/>
    </xf>
    <xf numFmtId="0" fontId="7" fillId="5" borderId="7" xfId="0" applyFont="1" applyFill="1" applyBorder="1" applyAlignment="1">
      <alignment vertical="center" wrapText="1"/>
    </xf>
    <xf numFmtId="4" fontId="7" fillId="5" borderId="6" xfId="0" applyNumberFormat="1" applyFont="1" applyFill="1" applyBorder="1" applyAlignment="1">
      <alignment vertical="center"/>
    </xf>
    <xf numFmtId="164" fontId="7" fillId="5" borderId="5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7" fillId="3" borderId="7" xfId="0" applyNumberFormat="1" applyFont="1" applyFill="1" applyBorder="1" applyAlignment="1">
      <alignment vertical="center"/>
    </xf>
    <xf numFmtId="49" fontId="7" fillId="0" borderId="6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vertical="center"/>
    </xf>
    <xf numFmtId="4" fontId="9" fillId="0" borderId="6" xfId="0" applyNumberFormat="1" applyFont="1" applyBorder="1" applyAlignment="1">
      <alignment vertical="center"/>
    </xf>
    <xf numFmtId="4" fontId="9" fillId="0" borderId="6" xfId="0" applyNumberFormat="1" applyFont="1" applyFill="1" applyBorder="1" applyAlignment="1">
      <alignment vertical="center"/>
    </xf>
    <xf numFmtId="4" fontId="9" fillId="0" borderId="0" xfId="0" applyNumberFormat="1" applyFont="1" applyFill="1" applyAlignment="1">
      <alignment vertical="center"/>
    </xf>
    <xf numFmtId="49" fontId="9" fillId="0" borderId="6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vertical="center"/>
    </xf>
    <xf numFmtId="4" fontId="9" fillId="0" borderId="9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3" fontId="5" fillId="3" borderId="5" xfId="0" applyNumberFormat="1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7" fillId="3" borderId="8" xfId="0" applyNumberFormat="1" applyFont="1" applyFill="1" applyBorder="1" applyAlignment="1">
      <alignment vertical="center"/>
    </xf>
    <xf numFmtId="3" fontId="7" fillId="4" borderId="2" xfId="0" applyNumberFormat="1" applyFont="1" applyFill="1" applyBorder="1" applyAlignment="1">
      <alignment vertical="center"/>
    </xf>
    <xf numFmtId="3" fontId="5" fillId="4" borderId="5" xfId="0" applyNumberFormat="1" applyFont="1" applyFill="1" applyBorder="1" applyAlignment="1">
      <alignment vertical="center"/>
    </xf>
    <xf numFmtId="3" fontId="7" fillId="4" borderId="5" xfId="0" applyNumberFormat="1" applyFont="1" applyFill="1" applyBorder="1" applyAlignment="1">
      <alignment vertical="center"/>
    </xf>
    <xf numFmtId="3" fontId="7" fillId="4" borderId="8" xfId="0" applyNumberFormat="1" applyFont="1" applyFill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9" fillId="0" borderId="9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3" fontId="7" fillId="5" borderId="6" xfId="0" applyNumberFormat="1" applyFont="1" applyFill="1" applyBorder="1" applyAlignment="1">
      <alignment vertical="center"/>
    </xf>
    <xf numFmtId="3" fontId="7" fillId="5" borderId="5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164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right" vertical="center"/>
    </xf>
    <xf numFmtId="4" fontId="7" fillId="0" borderId="8" xfId="0" applyNumberFormat="1" applyFont="1" applyFill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horizontal="right" vertical="center"/>
    </xf>
    <xf numFmtId="4" fontId="7" fillId="0" borderId="6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4" fontId="7" fillId="0" borderId="0" xfId="0" applyNumberFormat="1" applyFont="1" applyAlignment="1">
      <alignment vertical="center"/>
    </xf>
    <xf numFmtId="4" fontId="7" fillId="0" borderId="8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4" fontId="7" fillId="0" borderId="9" xfId="0" applyNumberFormat="1" applyFont="1" applyBorder="1" applyAlignment="1">
      <alignment horizontal="center" vertical="center"/>
    </xf>
    <xf numFmtId="4" fontId="7" fillId="0" borderId="9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5" borderId="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7" fillId="0" borderId="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4" fontId="7" fillId="0" borderId="2" xfId="0" applyNumberFormat="1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3" fontId="7" fillId="0" borderId="2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4" fontId="7" fillId="0" borderId="3" xfId="0" applyNumberFormat="1" applyFont="1" applyFill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7" borderId="2" xfId="0" applyFont="1" applyFill="1" applyBorder="1" applyAlignment="1">
      <alignment vertical="center"/>
    </xf>
    <xf numFmtId="0" fontId="7" fillId="7" borderId="3" xfId="0" applyFont="1" applyFill="1" applyBorder="1" applyAlignment="1">
      <alignment vertical="center"/>
    </xf>
    <xf numFmtId="0" fontId="7" fillId="7" borderId="4" xfId="0" applyFont="1" applyFill="1" applyBorder="1" applyAlignment="1">
      <alignment vertical="center"/>
    </xf>
    <xf numFmtId="0" fontId="7" fillId="7" borderId="2" xfId="0" applyFont="1" applyFill="1" applyBorder="1" applyAlignment="1">
      <alignment horizontal="center" vertical="center"/>
    </xf>
    <xf numFmtId="3" fontId="7" fillId="7" borderId="2" xfId="0" applyNumberFormat="1" applyFont="1" applyFill="1" applyBorder="1" applyAlignment="1">
      <alignment vertical="center"/>
    </xf>
    <xf numFmtId="4" fontId="7" fillId="7" borderId="2" xfId="0" applyNumberFormat="1" applyFont="1" applyFill="1" applyBorder="1" applyAlignment="1">
      <alignment vertical="center"/>
    </xf>
    <xf numFmtId="164" fontId="7" fillId="7" borderId="2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vertical="center"/>
    </xf>
    <xf numFmtId="3" fontId="9" fillId="0" borderId="6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 wrapText="1"/>
    </xf>
    <xf numFmtId="0" fontId="4" fillId="0" borderId="0" xfId="0" applyFont="1"/>
    <xf numFmtId="4" fontId="0" fillId="0" borderId="0" xfId="0" applyNumberFormat="1"/>
    <xf numFmtId="4" fontId="4" fillId="0" borderId="0" xfId="0" applyNumberFormat="1" applyFont="1"/>
    <xf numFmtId="0" fontId="6" fillId="0" borderId="0" xfId="0" applyFont="1"/>
    <xf numFmtId="4" fontId="6" fillId="0" borderId="0" xfId="0" applyNumberFormat="1" applyFont="1"/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horizontal="center"/>
    </xf>
    <xf numFmtId="2" fontId="0" fillId="0" borderId="0" xfId="0" applyNumberFormat="1"/>
    <xf numFmtId="2" fontId="6" fillId="0" borderId="0" xfId="0" applyNumberFormat="1" applyFont="1"/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" fontId="1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/>
    </xf>
    <xf numFmtId="4" fontId="14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7" fillId="7" borderId="7" xfId="0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3" fontId="10" fillId="0" borderId="12" xfId="0" applyNumberFormat="1" applyFont="1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" fontId="10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16" fillId="0" borderId="1" xfId="0" applyFont="1" applyBorder="1" applyAlignment="1">
      <alignment vertical="center" wrapText="1"/>
    </xf>
    <xf numFmtId="4" fontId="16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 indent="1"/>
    </xf>
    <xf numFmtId="4" fontId="15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left" vertical="center" wrapText="1" indent="2"/>
    </xf>
    <xf numFmtId="4" fontId="17" fillId="0" borderId="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4" fontId="0" fillId="0" borderId="1" xfId="0" applyNumberForma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" fontId="10" fillId="6" borderId="2" xfId="0" applyNumberFormat="1" applyFont="1" applyFill="1" applyBorder="1" applyAlignment="1">
      <alignment horizontal="left" vertical="center" wrapText="1"/>
    </xf>
    <xf numFmtId="4" fontId="3" fillId="6" borderId="5" xfId="0" applyNumberFormat="1" applyFont="1" applyFill="1" applyBorder="1" applyAlignment="1">
      <alignment horizontal="left" vertical="center" wrapText="1"/>
    </xf>
    <xf numFmtId="4" fontId="3" fillId="6" borderId="8" xfId="0" applyNumberFormat="1" applyFont="1" applyFill="1" applyBorder="1" applyAlignment="1">
      <alignment horizontal="left" vertical="center" wrapText="1"/>
    </xf>
    <xf numFmtId="4" fontId="3" fillId="5" borderId="2" xfId="0" applyNumberFormat="1" applyFont="1" applyFill="1" applyBorder="1" applyAlignment="1">
      <alignment horizontal="left" vertical="center" wrapText="1"/>
    </xf>
    <xf numFmtId="4" fontId="3" fillId="5" borderId="5" xfId="0" applyNumberFormat="1" applyFont="1" applyFill="1" applyBorder="1" applyAlignment="1">
      <alignment horizontal="left" vertical="center" wrapText="1"/>
    </xf>
    <xf numFmtId="4" fontId="3" fillId="5" borderId="8" xfId="0" applyNumberFormat="1" applyFont="1" applyFill="1" applyBorder="1" applyAlignment="1">
      <alignment horizontal="left" vertical="center" wrapText="1"/>
    </xf>
    <xf numFmtId="4" fontId="3" fillId="7" borderId="2" xfId="0" applyNumberFormat="1" applyFont="1" applyFill="1" applyBorder="1" applyAlignment="1">
      <alignment horizontal="left" vertical="center" wrapText="1"/>
    </xf>
    <xf numFmtId="4" fontId="3" fillId="7" borderId="5" xfId="0" applyNumberFormat="1" applyFont="1" applyFill="1" applyBorder="1" applyAlignment="1">
      <alignment horizontal="left" vertical="center" wrapText="1"/>
    </xf>
    <xf numFmtId="4" fontId="3" fillId="7" borderId="8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Alignment="1">
      <alignment horizontal="left" vertical="center"/>
    </xf>
    <xf numFmtId="0" fontId="7" fillId="0" borderId="6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3" fillId="0" borderId="5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49" fontId="7" fillId="3" borderId="6" xfId="0" applyNumberFormat="1" applyFont="1" applyFill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4" fontId="3" fillId="0" borderId="5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 wrapText="1"/>
    </xf>
    <xf numFmtId="3" fontId="7" fillId="0" borderId="3" xfId="0" applyNumberFormat="1" applyFont="1" applyFill="1" applyBorder="1" applyAlignment="1">
      <alignment vertical="center"/>
    </xf>
    <xf numFmtId="164" fontId="7" fillId="0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64" fontId="5" fillId="0" borderId="5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vertical="center"/>
    </xf>
    <xf numFmtId="164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3" fontId="7" fillId="0" borderId="6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3" fontId="7" fillId="0" borderId="9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164" fontId="7" fillId="0" borderId="8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left" vertical="center" wrapText="1"/>
    </xf>
    <xf numFmtId="49" fontId="7" fillId="6" borderId="6" xfId="0" applyNumberFormat="1" applyFont="1" applyFill="1" applyBorder="1" applyAlignment="1">
      <alignment vertical="center"/>
    </xf>
    <xf numFmtId="49" fontId="7" fillId="6" borderId="7" xfId="0" applyNumberFormat="1" applyFont="1" applyFill="1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right" vertical="center"/>
    </xf>
    <xf numFmtId="3" fontId="7" fillId="0" borderId="9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vertical="center"/>
    </xf>
    <xf numFmtId="3" fontId="5" fillId="7" borderId="5" xfId="0" applyNumberFormat="1" applyFont="1" applyFill="1" applyBorder="1" applyAlignment="1">
      <alignment vertical="center"/>
    </xf>
    <xf numFmtId="3" fontId="7" fillId="7" borderId="5" xfId="0" applyNumberFormat="1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7" fillId="0" borderId="0" xfId="0" applyNumberFormat="1" applyFont="1" applyFill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" fontId="14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5" fillId="7" borderId="6" xfId="0" applyFont="1" applyFill="1" applyBorder="1" applyAlignment="1">
      <alignment vertical="center"/>
    </xf>
    <xf numFmtId="0" fontId="5" fillId="7" borderId="7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49" fontId="7" fillId="3" borderId="7" xfId="0" applyNumberFormat="1" applyFont="1" applyFill="1" applyBorder="1" applyAlignment="1">
      <alignment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49" fontId="7" fillId="2" borderId="6" xfId="0" applyNumberFormat="1" applyFont="1" applyFill="1" applyBorder="1" applyAlignment="1">
      <alignment vertical="center"/>
    </xf>
    <xf numFmtId="49" fontId="7" fillId="2" borderId="7" xfId="0" applyNumberFormat="1" applyFont="1" applyFill="1" applyBorder="1" applyAlignment="1">
      <alignment vertical="center"/>
    </xf>
    <xf numFmtId="49" fontId="7" fillId="6" borderId="6" xfId="0" applyNumberFormat="1" applyFont="1" applyFill="1" applyBorder="1" applyAlignment="1">
      <alignment vertical="center"/>
    </xf>
    <xf numFmtId="49" fontId="7" fillId="6" borderId="7" xfId="0" applyNumberFormat="1" applyFont="1" applyFill="1" applyBorder="1" applyAlignment="1">
      <alignment vertical="center"/>
    </xf>
    <xf numFmtId="4" fontId="3" fillId="0" borderId="8" xfId="0" applyNumberFormat="1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 wrapText="1"/>
    </xf>
    <xf numFmtId="4" fontId="13" fillId="0" borderId="9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4" fontId="13" fillId="0" borderId="8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" fontId="14" fillId="0" borderId="3" xfId="0" applyNumberFormat="1" applyFont="1" applyBorder="1" applyAlignment="1">
      <alignment horizontal="center" vertical="center" wrapText="1"/>
    </xf>
    <xf numFmtId="4" fontId="14" fillId="0" borderId="9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FF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231"/>
      <c:depthPercent val="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7"/>
          <c:dLbls>
            <c:dLbl>
              <c:idx val="0"/>
              <c:layout>
                <c:manualLayout>
                  <c:x val="-5.8497145285887675E-2"/>
                  <c:y val="-0.1908000136346592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5.3430479659987894E-2"/>
                  <c:y val="-2.164502164502165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5.8629649590963067E-3"/>
                  <c:y val="2.16446807785390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6.6737125305079775E-2"/>
                  <c:y val="4.7869925350240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pl-P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'Arkusz3 (2)'!$D$2:$G$2</c:f>
              <c:strCache>
                <c:ptCount val="4"/>
                <c:pt idx="0">
                  <c:v>środki własne</c:v>
                </c:pt>
                <c:pt idx="1">
                  <c:v>środki wymienione w art. 5 ust. 1 pkt 2 i 3 ufp</c:v>
                </c:pt>
                <c:pt idx="2">
                  <c:v>środki inne</c:v>
                </c:pt>
                <c:pt idx="3">
                  <c:v>środki własne pozaprojektowe</c:v>
                </c:pt>
              </c:strCache>
            </c:strRef>
          </c:cat>
          <c:val>
            <c:numRef>
              <c:f>'Arkusz3 (2)'!$D$3:$G$3</c:f>
              <c:numCache>
                <c:formatCode>#,##0.00</c:formatCode>
                <c:ptCount val="4"/>
                <c:pt idx="0">
                  <c:v>389061.61</c:v>
                </c:pt>
                <c:pt idx="1">
                  <c:v>11707749.08</c:v>
                </c:pt>
                <c:pt idx="2">
                  <c:v>1345072.71</c:v>
                </c:pt>
                <c:pt idx="3">
                  <c:v>7521.43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  <c:txPr>
        <a:bodyPr/>
        <a:lstStyle/>
        <a:p>
          <a:pPr rtl="0">
            <a:defRPr sz="1200">
              <a:latin typeface="Times New Roman" pitchFamily="18" charset="0"/>
              <a:cs typeface="Times New Roman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ln w="0">
      <a:noFill/>
    </a:ln>
  </c:spPr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17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8.452190881084504E-3"/>
                  <c:y val="-4.111599636569740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4791334041897581E-2"/>
                  <c:y val="2.936856883264092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6904381762169008E-2"/>
                  <c:y val="2.64317119493773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2678286321626328E-2"/>
                  <c:y val="2.64317119493773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2.3243524922981908E-2"/>
                  <c:y val="5.873713766528202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4.2260954405422034E-3"/>
                  <c:y val="6.461085143181033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7.1843622489216802E-2"/>
                  <c:y val="3.524228259916969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'Arkusz3 (2)'!$A$4:$A$10</c:f>
              <c:strCache>
                <c:ptCount val="7"/>
                <c:pt idx="0">
                  <c:v>POKL</c:v>
                </c:pt>
                <c:pt idx="1">
                  <c:v>Leonardo da Vinci</c:v>
                </c:pt>
                <c:pt idx="2">
                  <c:v>Inne</c:v>
                </c:pt>
                <c:pt idx="3">
                  <c:v>PORPW</c:v>
                </c:pt>
                <c:pt idx="4">
                  <c:v>Comenius</c:v>
                </c:pt>
                <c:pt idx="5">
                  <c:v>POIG</c:v>
                </c:pt>
                <c:pt idx="6">
                  <c:v>RPOWŚ</c:v>
                </c:pt>
              </c:strCache>
            </c:strRef>
          </c:cat>
          <c:val>
            <c:numRef>
              <c:f>'Arkusz3 (2)'!$C$4:$C$10</c:f>
              <c:numCache>
                <c:formatCode>#,##0.00</c:formatCode>
                <c:ptCount val="7"/>
                <c:pt idx="0">
                  <c:v>10786922.860000001</c:v>
                </c:pt>
                <c:pt idx="1">
                  <c:v>1065804.56</c:v>
                </c:pt>
                <c:pt idx="2">
                  <c:v>498114.29999999993</c:v>
                </c:pt>
                <c:pt idx="3">
                  <c:v>420549.58</c:v>
                </c:pt>
                <c:pt idx="4">
                  <c:v>358315.72</c:v>
                </c:pt>
                <c:pt idx="5">
                  <c:v>313055.81</c:v>
                </c:pt>
                <c:pt idx="6">
                  <c:v>6642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  <c:txPr>
        <a:bodyPr/>
        <a:lstStyle/>
        <a:p>
          <a:pPr rtl="0">
            <a:defRPr sz="1100">
              <a:latin typeface="Times New Roman" pitchFamily="18" charset="0"/>
              <a:cs typeface="Times New Roman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21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14"/>
          <c:dLbls>
            <c:dLbl>
              <c:idx val="0"/>
              <c:layout>
                <c:manualLayout>
                  <c:x val="-4.8859057648558551E-2"/>
                  <c:y val="3.537414552574082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7.2125275576443451E-2"/>
                  <c:y val="-6.43166282286204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3.024608330625048E-2"/>
                  <c:y val="1.607915705715469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8411628125963024E-2"/>
                  <c:y val="2.89424827028784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3.4899326891827474E-2"/>
                  <c:y val="5.466913399432598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2.5592839720673652E-2"/>
                  <c:y val="3.858997693717126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'Arkusz4 (2)'!$D$11:$I$11</c:f>
              <c:strCache>
                <c:ptCount val="6"/>
                <c:pt idx="0">
                  <c:v>środki własne</c:v>
                </c:pt>
                <c:pt idx="1">
                  <c:v>środki wymienione w art. 5 ust. 1 pkt 2 i 3 ufp</c:v>
                </c:pt>
                <c:pt idx="2">
                  <c:v>kredyty</c:v>
                </c:pt>
                <c:pt idx="3">
                  <c:v>środki inne</c:v>
                </c:pt>
                <c:pt idx="4">
                  <c:v>środki własne pozaprojektowe</c:v>
                </c:pt>
                <c:pt idx="5">
                  <c:v>kredyty pozaprojektowe</c:v>
                </c:pt>
              </c:strCache>
            </c:strRef>
          </c:cat>
          <c:val>
            <c:numRef>
              <c:f>'Arkusz4 (2)'!$D$12:$I$12</c:f>
              <c:numCache>
                <c:formatCode>#,##0.00</c:formatCode>
                <c:ptCount val="6"/>
                <c:pt idx="0">
                  <c:v>14672333.460000001</c:v>
                </c:pt>
                <c:pt idx="1">
                  <c:v>71413836.730000004</c:v>
                </c:pt>
                <c:pt idx="2">
                  <c:v>32871257.280000001</c:v>
                </c:pt>
                <c:pt idx="3">
                  <c:v>5723.22</c:v>
                </c:pt>
                <c:pt idx="4">
                  <c:v>7034377.5699999984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20891103474580661"/>
          <c:y val="0.70415161303065044"/>
          <c:w val="0.57752450372424358"/>
          <c:h val="0.27655339850076421"/>
        </c:manualLayout>
      </c:layout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169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10"/>
          <c:dLbls>
            <c:dLbl>
              <c:idx val="0"/>
              <c:layout>
                <c:manualLayout>
                  <c:x val="-2.2222222222222251E-2"/>
                  <c:y val="1.523809523809524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6666666666666701E-2"/>
                  <c:y val="-2.66666666666666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3.888888888888889E-2"/>
                  <c:y val="7.619047619047691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3.0555555555555582E-2"/>
                  <c:y val="3.428541432320960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0555555555555558"/>
                  <c:y val="1.523809523809524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'Arkusz4 (2)'!$A$13:$A$17</c:f>
              <c:strCache>
                <c:ptCount val="5"/>
                <c:pt idx="0">
                  <c:v>Program Operacyjny Rozwój Polski Wschodniej</c:v>
                </c:pt>
                <c:pt idx="1">
                  <c:v>Regionalny Program Operacyjny Województwa Świętokrzyskiego</c:v>
                </c:pt>
                <c:pt idx="2">
                  <c:v>Program Operacyjny Infrastruktura i Środowisko</c:v>
                </c:pt>
                <c:pt idx="3">
                  <c:v>Inne</c:v>
                </c:pt>
                <c:pt idx="4">
                  <c:v>Program Operacyjny Kapitał Ludzki</c:v>
                </c:pt>
              </c:strCache>
            </c:strRef>
          </c:cat>
          <c:val>
            <c:numRef>
              <c:f>'Arkusz4 (2)'!$C$13:$C$17</c:f>
              <c:numCache>
                <c:formatCode>#,##0.00</c:formatCode>
                <c:ptCount val="5"/>
                <c:pt idx="0">
                  <c:v>62923306.32</c:v>
                </c:pt>
                <c:pt idx="1">
                  <c:v>53196942.120000005</c:v>
                </c:pt>
                <c:pt idx="2">
                  <c:v>9433648.5700000003</c:v>
                </c:pt>
                <c:pt idx="3">
                  <c:v>381038.87000000005</c:v>
                </c:pt>
                <c:pt idx="4">
                  <c:v>62592.380000000005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9.4326990376203054E-2"/>
          <c:y val="0.67270641169853818"/>
          <c:w val="0.83079024496937903"/>
          <c:h val="0.30443644544431947"/>
        </c:manualLayout>
      </c:layout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485775</xdr:colOff>
      <xdr:row>11</xdr:row>
      <xdr:rowOff>47625</xdr:rowOff>
    </xdr:from>
    <xdr:to>
      <xdr:col>17</xdr:col>
      <xdr:colOff>95250</xdr:colOff>
      <xdr:row>29</xdr:row>
      <xdr:rowOff>66675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200024</xdr:colOff>
      <xdr:row>17</xdr:row>
      <xdr:rowOff>57149</xdr:rowOff>
    </xdr:from>
    <xdr:to>
      <xdr:col>7</xdr:col>
      <xdr:colOff>190500</xdr:colOff>
      <xdr:row>44</xdr:row>
      <xdr:rowOff>9525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161192</xdr:colOff>
      <xdr:row>17</xdr:row>
      <xdr:rowOff>0</xdr:rowOff>
    </xdr:from>
    <xdr:to>
      <xdr:col>18</xdr:col>
      <xdr:colOff>146539</xdr:colOff>
      <xdr:row>43</xdr:row>
      <xdr:rowOff>139212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73271</xdr:colOff>
      <xdr:row>19</xdr:row>
      <xdr:rowOff>29308</xdr:rowOff>
    </xdr:from>
    <xdr:to>
      <xdr:col>7</xdr:col>
      <xdr:colOff>285751</xdr:colOff>
      <xdr:row>41</xdr:row>
      <xdr:rowOff>139212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wypych\AppData\Local\Microsoft\Windows\Temporary%20Internet%20Files\Content.Outlook\GCVM77KW\Tab_Nr_8_roczne_unij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ącznik 9"/>
    </sheetNames>
    <sheetDataSet>
      <sheetData sheetId="0">
        <row r="10">
          <cell r="H10">
            <v>2448905.9300000002</v>
          </cell>
        </row>
        <row r="17">
          <cell r="G17">
            <v>7339</v>
          </cell>
          <cell r="H17">
            <v>7329.54</v>
          </cell>
        </row>
        <row r="18">
          <cell r="G18">
            <v>0</v>
          </cell>
          <cell r="H18">
            <v>0</v>
          </cell>
        </row>
        <row r="19">
          <cell r="G19">
            <v>7339</v>
          </cell>
          <cell r="H19">
            <v>7329.54</v>
          </cell>
        </row>
        <row r="20">
          <cell r="G20">
            <v>0</v>
          </cell>
          <cell r="H20">
            <v>0</v>
          </cell>
        </row>
        <row r="24">
          <cell r="H24">
            <v>7329.54</v>
          </cell>
        </row>
        <row r="31">
          <cell r="G31">
            <v>7339</v>
          </cell>
          <cell r="H31">
            <v>7329.54</v>
          </cell>
        </row>
        <row r="32">
          <cell r="G32">
            <v>0</v>
          </cell>
          <cell r="H32">
            <v>0</v>
          </cell>
        </row>
        <row r="33">
          <cell r="G33">
            <v>7339</v>
          </cell>
          <cell r="H33">
            <v>7329.54</v>
          </cell>
        </row>
        <row r="34">
          <cell r="G34">
            <v>0</v>
          </cell>
          <cell r="H34">
            <v>0</v>
          </cell>
        </row>
        <row r="45">
          <cell r="G45">
            <v>2631913</v>
          </cell>
          <cell r="H45">
            <v>2441576.39</v>
          </cell>
        </row>
        <row r="46">
          <cell r="G46">
            <v>1319546</v>
          </cell>
          <cell r="H46">
            <v>1280823.6000000001</v>
          </cell>
        </row>
        <row r="47">
          <cell r="G47">
            <v>1291807</v>
          </cell>
          <cell r="H47">
            <v>1155767.5699999998</v>
          </cell>
        </row>
        <row r="48">
          <cell r="G48">
            <v>20560</v>
          </cell>
          <cell r="H48">
            <v>4985.22</v>
          </cell>
        </row>
        <row r="52">
          <cell r="H52">
            <v>2410930.8000000003</v>
          </cell>
        </row>
        <row r="59">
          <cell r="G59">
            <v>25764</v>
          </cell>
          <cell r="H59">
            <v>21977.640000000003</v>
          </cell>
        </row>
        <row r="60">
          <cell r="G60">
            <v>0</v>
          </cell>
          <cell r="H60">
            <v>0</v>
          </cell>
        </row>
        <row r="61">
          <cell r="G61">
            <v>21899</v>
          </cell>
          <cell r="H61">
            <v>18680.990000000002</v>
          </cell>
        </row>
        <row r="62">
          <cell r="G62">
            <v>3865</v>
          </cell>
          <cell r="H62">
            <v>3296.65</v>
          </cell>
        </row>
        <row r="66">
          <cell r="G66">
            <v>2454746</v>
          </cell>
          <cell r="H66">
            <v>2378984.0099999998</v>
          </cell>
        </row>
        <row r="67">
          <cell r="G67">
            <v>1319546</v>
          </cell>
          <cell r="H67">
            <v>1280823.6000000001</v>
          </cell>
        </row>
        <row r="68">
          <cell r="G68">
            <v>1135200</v>
          </cell>
          <cell r="H68">
            <v>1098160.4099999999</v>
          </cell>
        </row>
        <row r="69">
          <cell r="G69">
            <v>0</v>
          </cell>
          <cell r="H69">
            <v>0</v>
          </cell>
        </row>
        <row r="73">
          <cell r="G73">
            <v>110000</v>
          </cell>
          <cell r="H73">
            <v>9969.1500000000015</v>
          </cell>
        </row>
        <row r="74">
          <cell r="G74">
            <v>0</v>
          </cell>
          <cell r="H74">
            <v>0</v>
          </cell>
        </row>
        <row r="75">
          <cell r="G75">
            <v>93500</v>
          </cell>
          <cell r="H75">
            <v>8473.7800000000007</v>
          </cell>
        </row>
        <row r="76">
          <cell r="G76">
            <v>16500</v>
          </cell>
          <cell r="H76">
            <v>1495.37</v>
          </cell>
        </row>
        <row r="80">
          <cell r="H80">
            <v>30645.59</v>
          </cell>
        </row>
        <row r="87">
          <cell r="G87">
            <v>922</v>
          </cell>
          <cell r="H87">
            <v>921.68</v>
          </cell>
        </row>
        <row r="89">
          <cell r="G89">
            <v>922</v>
          </cell>
          <cell r="H89">
            <v>921.68</v>
          </cell>
        </row>
        <row r="95">
          <cell r="G95">
            <v>29728</v>
          </cell>
          <cell r="H95">
            <v>29723.91</v>
          </cell>
        </row>
        <row r="96">
          <cell r="G96">
            <v>0</v>
          </cell>
          <cell r="H96">
            <v>0</v>
          </cell>
        </row>
        <row r="97">
          <cell r="G97">
            <v>29533</v>
          </cell>
          <cell r="H97">
            <v>29530.71</v>
          </cell>
        </row>
        <row r="98">
          <cell r="G98">
            <v>195</v>
          </cell>
          <cell r="H98">
            <v>193.2</v>
          </cell>
        </row>
        <row r="101">
          <cell r="G101">
            <v>10753</v>
          </cell>
          <cell r="H101">
            <v>0</v>
          </cell>
        </row>
        <row r="102">
          <cell r="G102">
            <v>0</v>
          </cell>
          <cell r="H102">
            <v>0</v>
          </cell>
        </row>
        <row r="103">
          <cell r="G103">
            <v>10753</v>
          </cell>
          <cell r="H103">
            <v>0</v>
          </cell>
        </row>
        <row r="104">
          <cell r="G104">
            <v>0</v>
          </cell>
          <cell r="H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0"/>
  <sheetViews>
    <sheetView tabSelected="1" zoomScaleNormal="100" zoomScaleSheetLayoutView="85" workbookViewId="0">
      <selection activeCell="O3" sqref="O3"/>
    </sheetView>
  </sheetViews>
  <sheetFormatPr defaultRowHeight="11.25" outlineLevelRow="1" x14ac:dyDescent="0.2"/>
  <cols>
    <col min="1" max="1" width="2.85546875" style="15" customWidth="1"/>
    <col min="2" max="2" width="7" style="15" customWidth="1"/>
    <col min="3" max="3" width="55.42578125" style="15" customWidth="1"/>
    <col min="4" max="4" width="4.7109375" style="9" customWidth="1"/>
    <col min="5" max="5" width="5.7109375" style="9" customWidth="1"/>
    <col min="6" max="6" width="33.85546875" style="15" customWidth="1"/>
    <col min="7" max="7" width="11.28515625" style="15" bestFit="1" customWidth="1"/>
    <col min="8" max="8" width="11.28515625" style="15" customWidth="1"/>
    <col min="9" max="9" width="6.7109375" style="15" customWidth="1"/>
    <col min="10" max="10" width="10.42578125" style="15" customWidth="1"/>
    <col min="11" max="11" width="9.7109375" style="15" customWidth="1"/>
    <col min="12" max="12" width="10.42578125" style="15" customWidth="1"/>
    <col min="13" max="13" width="11.7109375" style="15" customWidth="1"/>
    <col min="14" max="14" width="6.7109375" style="15" customWidth="1"/>
    <col min="15" max="15" width="25.42578125" style="329" customWidth="1"/>
    <col min="16" max="16384" width="9.140625" style="96"/>
  </cols>
  <sheetData>
    <row r="1" spans="1:15" s="1" customFormat="1" ht="12.75" customHeight="1" x14ac:dyDescent="0.2">
      <c r="C1" s="199"/>
      <c r="D1" s="199"/>
      <c r="O1" s="198"/>
    </row>
    <row r="2" spans="1:15" s="1" customFormat="1" ht="14.25" customHeight="1" x14ac:dyDescent="0.2">
      <c r="A2" s="200" t="s">
        <v>16</v>
      </c>
      <c r="C2" s="199"/>
      <c r="D2" s="199"/>
      <c r="H2" s="15"/>
      <c r="N2" s="15"/>
      <c r="O2" s="393"/>
    </row>
    <row r="3" spans="1:15" ht="14.25" customHeight="1" x14ac:dyDescent="0.2">
      <c r="A3" s="200"/>
      <c r="O3" s="198" t="s">
        <v>659</v>
      </c>
    </row>
    <row r="4" spans="1:15" s="104" customFormat="1" ht="15" customHeight="1" x14ac:dyDescent="0.2">
      <c r="A4" s="436" t="s">
        <v>17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</row>
    <row r="5" spans="1:15" s="104" customFormat="1" ht="15" customHeight="1" x14ac:dyDescent="0.2">
      <c r="A5" s="436" t="s">
        <v>18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</row>
    <row r="6" spans="1:15" ht="15.95" customHeight="1" x14ac:dyDescent="0.2">
      <c r="N6" s="40"/>
      <c r="O6" s="313" t="s">
        <v>4</v>
      </c>
    </row>
    <row r="7" spans="1:15" ht="15.95" customHeight="1" x14ac:dyDescent="0.2">
      <c r="A7" s="441" t="s">
        <v>5</v>
      </c>
      <c r="B7" s="441" t="s">
        <v>19</v>
      </c>
      <c r="C7" s="441"/>
      <c r="D7" s="442" t="s">
        <v>26</v>
      </c>
      <c r="E7" s="442" t="s">
        <v>29</v>
      </c>
      <c r="F7" s="441" t="s">
        <v>25</v>
      </c>
      <c r="G7" s="441"/>
      <c r="H7" s="441"/>
      <c r="I7" s="441"/>
      <c r="J7" s="433" t="s">
        <v>358</v>
      </c>
      <c r="K7" s="434"/>
      <c r="L7" s="434"/>
      <c r="M7" s="434"/>
      <c r="N7" s="434"/>
      <c r="O7" s="435"/>
    </row>
    <row r="8" spans="1:15" s="97" customFormat="1" ht="47.25" customHeight="1" x14ac:dyDescent="0.2">
      <c r="A8" s="441"/>
      <c r="B8" s="441"/>
      <c r="C8" s="441"/>
      <c r="D8" s="442"/>
      <c r="E8" s="442"/>
      <c r="F8" s="2" t="s">
        <v>6</v>
      </c>
      <c r="G8" s="3" t="s">
        <v>24</v>
      </c>
      <c r="H8" s="290" t="s">
        <v>501</v>
      </c>
      <c r="I8" s="188" t="s">
        <v>46</v>
      </c>
      <c r="J8" s="3" t="s">
        <v>14</v>
      </c>
      <c r="K8" s="3" t="s">
        <v>30</v>
      </c>
      <c r="L8" s="290" t="s">
        <v>502</v>
      </c>
      <c r="M8" s="290" t="s">
        <v>503</v>
      </c>
      <c r="N8" s="188" t="s">
        <v>47</v>
      </c>
      <c r="O8" s="102" t="s">
        <v>0</v>
      </c>
    </row>
    <row r="9" spans="1:15" s="99" customFormat="1" ht="12" customHeight="1" x14ac:dyDescent="0.2">
      <c r="A9" s="4" t="s">
        <v>32</v>
      </c>
      <c r="B9" s="437" t="s">
        <v>33</v>
      </c>
      <c r="C9" s="438"/>
      <c r="D9" s="4" t="s">
        <v>34</v>
      </c>
      <c r="E9" s="4" t="s">
        <v>35</v>
      </c>
      <c r="F9" s="4" t="s">
        <v>36</v>
      </c>
      <c r="G9" s="4" t="s">
        <v>37</v>
      </c>
      <c r="H9" s="4" t="s">
        <v>38</v>
      </c>
      <c r="I9" s="4" t="s">
        <v>39</v>
      </c>
      <c r="J9" s="4" t="s">
        <v>40</v>
      </c>
      <c r="K9" s="4" t="s">
        <v>31</v>
      </c>
      <c r="L9" s="5" t="s">
        <v>41</v>
      </c>
      <c r="M9" s="5" t="s">
        <v>42</v>
      </c>
      <c r="N9" s="4" t="s">
        <v>43</v>
      </c>
      <c r="O9" s="103" t="s">
        <v>44</v>
      </c>
    </row>
    <row r="10" spans="1:15" s="98" customFormat="1" ht="3.95" customHeight="1" outlineLevel="1" x14ac:dyDescent="0.2">
      <c r="A10" s="6"/>
      <c r="B10" s="7"/>
      <c r="C10" s="8"/>
      <c r="D10" s="6"/>
      <c r="E10" s="6"/>
      <c r="F10" s="6"/>
      <c r="G10" s="6"/>
      <c r="H10" s="6"/>
      <c r="I10" s="6"/>
      <c r="J10" s="100"/>
      <c r="K10" s="100"/>
      <c r="L10" s="101"/>
      <c r="M10" s="101"/>
      <c r="N10" s="100"/>
      <c r="O10" s="314"/>
    </row>
    <row r="11" spans="1:15" ht="11.45" customHeight="1" outlineLevel="1" x14ac:dyDescent="0.2">
      <c r="A11" s="10" t="s">
        <v>3</v>
      </c>
      <c r="B11" s="439" t="s">
        <v>20</v>
      </c>
      <c r="C11" s="440"/>
      <c r="D11" s="11"/>
      <c r="E11" s="11"/>
      <c r="F11" s="12"/>
      <c r="G11" s="124">
        <f>SUM(G12:G17)</f>
        <v>801047311.79000008</v>
      </c>
      <c r="H11" s="124">
        <f>SUM(H12:H17)</f>
        <v>482370695.64999998</v>
      </c>
      <c r="I11" s="14">
        <f t="shared" ref="I11:I17" si="0">IF(G11&gt;0,H11/G11*100,"-")</f>
        <v>60.217503829094262</v>
      </c>
      <c r="J11" s="124">
        <f>SUM(J12:J17)</f>
        <v>198736537</v>
      </c>
      <c r="K11" s="124">
        <f>SUM(K12:K17)</f>
        <v>-46672029</v>
      </c>
      <c r="L11" s="124">
        <f>SUM(L12:L17)</f>
        <v>152064508</v>
      </c>
      <c r="M11" s="13">
        <f>SUM(M12:M17)</f>
        <v>136998027.16</v>
      </c>
      <c r="N11" s="14">
        <f t="shared" ref="N11:N17" si="1">IF(L11&gt;0,M11/L11*100,"-")</f>
        <v>90.092046435977025</v>
      </c>
      <c r="O11" s="315"/>
    </row>
    <row r="12" spans="1:15" ht="11.45" customHeight="1" outlineLevel="1" x14ac:dyDescent="0.2">
      <c r="A12" s="12"/>
      <c r="B12" s="443" t="s">
        <v>15</v>
      </c>
      <c r="C12" s="444"/>
      <c r="D12" s="11"/>
      <c r="E12" s="11"/>
      <c r="F12" s="16"/>
      <c r="G12" s="125">
        <f t="shared" ref="G12:H17" si="2">G21+G696</f>
        <v>132402696</v>
      </c>
      <c r="H12" s="125">
        <f t="shared" si="2"/>
        <v>41328019</v>
      </c>
      <c r="I12" s="18">
        <f t="shared" si="0"/>
        <v>31.213880267211476</v>
      </c>
      <c r="J12" s="125">
        <f t="shared" ref="J12:M17" si="3">J21+J696</f>
        <v>17140419</v>
      </c>
      <c r="K12" s="125">
        <f t="shared" si="3"/>
        <v>-1980806</v>
      </c>
      <c r="L12" s="125">
        <f t="shared" si="3"/>
        <v>15159613</v>
      </c>
      <c r="M12" s="17">
        <f t="shared" si="3"/>
        <v>13780571.469999999</v>
      </c>
      <c r="N12" s="18">
        <f t="shared" si="1"/>
        <v>90.903187766072918</v>
      </c>
      <c r="O12" s="315"/>
    </row>
    <row r="13" spans="1:15" ht="11.45" customHeight="1" outlineLevel="1" x14ac:dyDescent="0.2">
      <c r="A13" s="12"/>
      <c r="B13" s="445" t="s">
        <v>7</v>
      </c>
      <c r="C13" s="446"/>
      <c r="D13" s="11"/>
      <c r="E13" s="11"/>
      <c r="F13" s="16"/>
      <c r="G13" s="125">
        <f t="shared" si="2"/>
        <v>471148977.19999999</v>
      </c>
      <c r="H13" s="125">
        <f t="shared" si="2"/>
        <v>278254862.25</v>
      </c>
      <c r="I13" s="18">
        <f t="shared" si="0"/>
        <v>59.058785164651319</v>
      </c>
      <c r="J13" s="125">
        <f t="shared" si="3"/>
        <v>121587308</v>
      </c>
      <c r="K13" s="125">
        <f t="shared" si="3"/>
        <v>-31609083</v>
      </c>
      <c r="L13" s="125">
        <f t="shared" si="3"/>
        <v>89978225</v>
      </c>
      <c r="M13" s="17">
        <f t="shared" si="3"/>
        <v>81958488.700000018</v>
      </c>
      <c r="N13" s="18">
        <f t="shared" si="1"/>
        <v>91.087025444211662</v>
      </c>
      <c r="O13" s="315"/>
    </row>
    <row r="14" spans="1:15" ht="11.45" customHeight="1" outlineLevel="1" x14ac:dyDescent="0.2">
      <c r="A14" s="12"/>
      <c r="B14" s="443" t="s">
        <v>8</v>
      </c>
      <c r="C14" s="444"/>
      <c r="D14" s="11"/>
      <c r="E14" s="11"/>
      <c r="F14" s="16"/>
      <c r="G14" s="125">
        <f t="shared" si="2"/>
        <v>173560058</v>
      </c>
      <c r="H14" s="125">
        <f t="shared" si="2"/>
        <v>146042480</v>
      </c>
      <c r="I14" s="18">
        <f t="shared" si="0"/>
        <v>84.145212719391921</v>
      </c>
      <c r="J14" s="125">
        <f t="shared" si="3"/>
        <v>48204297</v>
      </c>
      <c r="K14" s="125">
        <f t="shared" si="3"/>
        <v>-12060677</v>
      </c>
      <c r="L14" s="125">
        <f t="shared" si="3"/>
        <v>36143620</v>
      </c>
      <c r="M14" s="17">
        <f t="shared" si="3"/>
        <v>32871257.279999997</v>
      </c>
      <c r="N14" s="18">
        <f t="shared" si="1"/>
        <v>90.946223095528339</v>
      </c>
      <c r="O14" s="315"/>
    </row>
    <row r="15" spans="1:15" ht="11.45" customHeight="1" outlineLevel="1" x14ac:dyDescent="0.2">
      <c r="A15" s="12"/>
      <c r="B15" s="443" t="s">
        <v>22</v>
      </c>
      <c r="C15" s="444"/>
      <c r="D15" s="11"/>
      <c r="E15" s="11"/>
      <c r="F15" s="16"/>
      <c r="G15" s="125">
        <f t="shared" si="2"/>
        <v>10715816.59</v>
      </c>
      <c r="H15" s="125">
        <f t="shared" si="2"/>
        <v>5960674.4000000004</v>
      </c>
      <c r="I15" s="18">
        <f t="shared" si="0"/>
        <v>55.625013268354195</v>
      </c>
      <c r="J15" s="125">
        <f t="shared" si="3"/>
        <v>4012207</v>
      </c>
      <c r="K15" s="125">
        <f t="shared" si="3"/>
        <v>-2232143</v>
      </c>
      <c r="L15" s="125">
        <f t="shared" si="3"/>
        <v>1780064</v>
      </c>
      <c r="M15" s="17">
        <f t="shared" si="3"/>
        <v>1345810.71</v>
      </c>
      <c r="N15" s="18">
        <f t="shared" si="1"/>
        <v>75.604624889891596</v>
      </c>
      <c r="O15" s="315"/>
    </row>
    <row r="16" spans="1:15" ht="11.45" customHeight="1" outlineLevel="1" x14ac:dyDescent="0.2">
      <c r="A16" s="12"/>
      <c r="B16" s="370" t="s">
        <v>45</v>
      </c>
      <c r="C16" s="371"/>
      <c r="D16" s="11"/>
      <c r="E16" s="11"/>
      <c r="F16" s="16"/>
      <c r="G16" s="125">
        <f t="shared" si="2"/>
        <v>12136497</v>
      </c>
      <c r="H16" s="125">
        <f t="shared" si="2"/>
        <v>9701393</v>
      </c>
      <c r="I16" s="18">
        <f t="shared" si="0"/>
        <v>79.935693141109837</v>
      </c>
      <c r="J16" s="125">
        <f t="shared" si="3"/>
        <v>7792306</v>
      </c>
      <c r="K16" s="125">
        <f t="shared" si="3"/>
        <v>1210680</v>
      </c>
      <c r="L16" s="125">
        <f t="shared" si="3"/>
        <v>9002986</v>
      </c>
      <c r="M16" s="17">
        <f t="shared" si="3"/>
        <v>7041898.9999999991</v>
      </c>
      <c r="N16" s="18">
        <f t="shared" si="1"/>
        <v>78.217371436543388</v>
      </c>
      <c r="O16" s="315"/>
    </row>
    <row r="17" spans="1:15" ht="11.45" customHeight="1" outlineLevel="1" x14ac:dyDescent="0.2">
      <c r="A17" s="12"/>
      <c r="B17" s="370" t="s">
        <v>359</v>
      </c>
      <c r="C17" s="371"/>
      <c r="D17" s="11"/>
      <c r="E17" s="11"/>
      <c r="F17" s="16"/>
      <c r="G17" s="125">
        <f t="shared" si="2"/>
        <v>1083267</v>
      </c>
      <c r="H17" s="125">
        <f t="shared" si="2"/>
        <v>1083267</v>
      </c>
      <c r="I17" s="18">
        <f t="shared" si="0"/>
        <v>100</v>
      </c>
      <c r="J17" s="125">
        <f t="shared" si="3"/>
        <v>0</v>
      </c>
      <c r="K17" s="125">
        <f t="shared" si="3"/>
        <v>0</v>
      </c>
      <c r="L17" s="125">
        <f t="shared" si="3"/>
        <v>0</v>
      </c>
      <c r="M17" s="17">
        <f t="shared" si="3"/>
        <v>0</v>
      </c>
      <c r="N17" s="18" t="str">
        <f t="shared" si="1"/>
        <v>-</v>
      </c>
      <c r="O17" s="315"/>
    </row>
    <row r="18" spans="1:15" ht="3.95" customHeight="1" outlineLevel="1" x14ac:dyDescent="0.2">
      <c r="A18" s="41"/>
      <c r="B18" s="42"/>
      <c r="C18" s="43"/>
      <c r="D18" s="44"/>
      <c r="E18" s="44"/>
      <c r="F18" s="41"/>
      <c r="G18" s="126"/>
      <c r="H18" s="126"/>
      <c r="I18" s="41"/>
      <c r="J18" s="126"/>
      <c r="K18" s="126"/>
      <c r="L18" s="126"/>
      <c r="M18" s="45"/>
      <c r="N18" s="46"/>
      <c r="O18" s="316"/>
    </row>
    <row r="19" spans="1:15" ht="3.95" customHeight="1" outlineLevel="1" x14ac:dyDescent="0.2">
      <c r="A19" s="47"/>
      <c r="B19" s="48"/>
      <c r="C19" s="49"/>
      <c r="D19" s="50"/>
      <c r="E19" s="50"/>
      <c r="F19" s="47"/>
      <c r="G19" s="127"/>
      <c r="H19" s="127"/>
      <c r="I19" s="47"/>
      <c r="J19" s="127"/>
      <c r="K19" s="127"/>
      <c r="L19" s="127"/>
      <c r="M19" s="51"/>
      <c r="N19" s="52"/>
      <c r="O19" s="317"/>
    </row>
    <row r="20" spans="1:15" ht="11.45" customHeight="1" outlineLevel="1" x14ac:dyDescent="0.2">
      <c r="A20" s="19" t="s">
        <v>2</v>
      </c>
      <c r="B20" s="415" t="s">
        <v>21</v>
      </c>
      <c r="C20" s="416"/>
      <c r="D20" s="20"/>
      <c r="E20" s="20"/>
      <c r="F20" s="21"/>
      <c r="G20" s="128">
        <f>SUM(G21:G26)</f>
        <v>46819794.790000007</v>
      </c>
      <c r="H20" s="128">
        <f>SUM(H21:H26)</f>
        <v>32954444.649999999</v>
      </c>
      <c r="I20" s="23">
        <f t="shared" ref="I20:I26" si="4">IF(G20&gt;0,H20/G20*100,"-")</f>
        <v>70.385709287727522</v>
      </c>
      <c r="J20" s="128">
        <f>SUM(J21:J26)</f>
        <v>10494458</v>
      </c>
      <c r="K20" s="128">
        <f>SUM(K21:K26)</f>
        <v>7506360</v>
      </c>
      <c r="L20" s="128">
        <f>SUM(L21:L26)</f>
        <v>18000818</v>
      </c>
      <c r="M20" s="22">
        <f>SUM(M21:M26)</f>
        <v>13442075.289999999</v>
      </c>
      <c r="N20" s="23">
        <f t="shared" ref="N20:N26" si="5">IF(L20&gt;0,M20/L20*100,"-")</f>
        <v>74.674802500641917</v>
      </c>
      <c r="O20" s="318"/>
    </row>
    <row r="21" spans="1:15" ht="11.45" customHeight="1" outlineLevel="1" x14ac:dyDescent="0.2">
      <c r="A21" s="21"/>
      <c r="B21" s="25" t="s">
        <v>15</v>
      </c>
      <c r="C21" s="24"/>
      <c r="D21" s="20"/>
      <c r="E21" s="20"/>
      <c r="F21" s="25"/>
      <c r="G21" s="129">
        <f t="shared" ref="G21:H23" si="6">G30+G111+G247+G333+G607</f>
        <v>2303276</v>
      </c>
      <c r="H21" s="129">
        <f t="shared" si="6"/>
        <v>1903297</v>
      </c>
      <c r="I21" s="27">
        <f t="shared" si="4"/>
        <v>82.634343430835031</v>
      </c>
      <c r="J21" s="129">
        <f t="shared" ref="J21:M26" si="7">J30+J111+J247+J333+J607</f>
        <v>495142</v>
      </c>
      <c r="K21" s="129">
        <f t="shared" si="7"/>
        <v>93239</v>
      </c>
      <c r="L21" s="129">
        <f t="shared" si="7"/>
        <v>588381</v>
      </c>
      <c r="M21" s="26">
        <f t="shared" si="7"/>
        <v>389061.61000000004</v>
      </c>
      <c r="N21" s="27">
        <f t="shared" si="5"/>
        <v>66.12409476172752</v>
      </c>
      <c r="O21" s="318"/>
    </row>
    <row r="22" spans="1:15" ht="11.45" customHeight="1" outlineLevel="1" x14ac:dyDescent="0.2">
      <c r="A22" s="21"/>
      <c r="B22" s="25" t="s">
        <v>7</v>
      </c>
      <c r="C22" s="24"/>
      <c r="D22" s="20"/>
      <c r="E22" s="20"/>
      <c r="F22" s="25"/>
      <c r="G22" s="129">
        <f t="shared" si="6"/>
        <v>40124876.200000003</v>
      </c>
      <c r="H22" s="129">
        <f t="shared" si="6"/>
        <v>28227058.25</v>
      </c>
      <c r="I22" s="27">
        <f t="shared" si="4"/>
        <v>70.348025771603488</v>
      </c>
      <c r="J22" s="129">
        <f t="shared" si="7"/>
        <v>8908820</v>
      </c>
      <c r="K22" s="129">
        <f t="shared" si="7"/>
        <v>6716769</v>
      </c>
      <c r="L22" s="129">
        <f t="shared" si="7"/>
        <v>15625589</v>
      </c>
      <c r="M22" s="26">
        <f t="shared" si="7"/>
        <v>11700419.539999999</v>
      </c>
      <c r="N22" s="27">
        <f t="shared" si="5"/>
        <v>74.879862384707536</v>
      </c>
      <c r="O22" s="318"/>
    </row>
    <row r="23" spans="1:15" ht="11.45" customHeight="1" outlineLevel="1" x14ac:dyDescent="0.2">
      <c r="A23" s="21"/>
      <c r="B23" s="417" t="s">
        <v>8</v>
      </c>
      <c r="C23" s="418"/>
      <c r="D23" s="20"/>
      <c r="E23" s="20"/>
      <c r="F23" s="25"/>
      <c r="G23" s="129">
        <f t="shared" si="6"/>
        <v>0</v>
      </c>
      <c r="H23" s="129">
        <f t="shared" si="6"/>
        <v>0</v>
      </c>
      <c r="I23" s="27" t="str">
        <f t="shared" si="4"/>
        <v>-</v>
      </c>
      <c r="J23" s="129">
        <f t="shared" si="7"/>
        <v>0</v>
      </c>
      <c r="K23" s="129">
        <f t="shared" si="7"/>
        <v>0</v>
      </c>
      <c r="L23" s="129">
        <f t="shared" si="7"/>
        <v>0</v>
      </c>
      <c r="M23" s="26">
        <f t="shared" si="7"/>
        <v>0</v>
      </c>
      <c r="N23" s="27" t="str">
        <f t="shared" si="5"/>
        <v>-</v>
      </c>
      <c r="O23" s="318"/>
    </row>
    <row r="24" spans="1:15" ht="11.45" customHeight="1" outlineLevel="1" x14ac:dyDescent="0.2">
      <c r="A24" s="21"/>
      <c r="B24" s="25" t="s">
        <v>22</v>
      </c>
      <c r="C24" s="24"/>
      <c r="D24" s="20"/>
      <c r="E24" s="20"/>
      <c r="F24" s="25"/>
      <c r="G24" s="129">
        <f>G33+G114+G250+G336+G610+0.1</f>
        <v>4384120.59</v>
      </c>
      <c r="H24" s="129">
        <f>H33+H114+H250+H336+H610</f>
        <v>2816567.4</v>
      </c>
      <c r="I24" s="27">
        <f t="shared" si="4"/>
        <v>64.244751990273159</v>
      </c>
      <c r="J24" s="129">
        <f t="shared" si="7"/>
        <v>1090496</v>
      </c>
      <c r="K24" s="129">
        <f t="shared" si="7"/>
        <v>688830</v>
      </c>
      <c r="L24" s="129">
        <f t="shared" si="7"/>
        <v>1779326</v>
      </c>
      <c r="M24" s="26">
        <f t="shared" si="7"/>
        <v>1345072.71</v>
      </c>
      <c r="N24" s="27">
        <f t="shared" si="5"/>
        <v>75.594506571589477</v>
      </c>
      <c r="O24" s="318"/>
    </row>
    <row r="25" spans="1:15" ht="11.45" customHeight="1" outlineLevel="1" x14ac:dyDescent="0.2">
      <c r="A25" s="21"/>
      <c r="B25" s="337" t="s">
        <v>45</v>
      </c>
      <c r="C25" s="24"/>
      <c r="D25" s="20"/>
      <c r="E25" s="20"/>
      <c r="F25" s="25"/>
      <c r="G25" s="129">
        <f>G34+G115+G251+G337+G611</f>
        <v>7522</v>
      </c>
      <c r="H25" s="129">
        <f>H34+H115+H251+H337+H611</f>
        <v>7522</v>
      </c>
      <c r="I25" s="27">
        <f t="shared" si="4"/>
        <v>100</v>
      </c>
      <c r="J25" s="129">
        <f t="shared" si="7"/>
        <v>0</v>
      </c>
      <c r="K25" s="129">
        <f t="shared" si="7"/>
        <v>7522</v>
      </c>
      <c r="L25" s="129">
        <f t="shared" si="7"/>
        <v>7522</v>
      </c>
      <c r="M25" s="26">
        <f t="shared" si="7"/>
        <v>7521.43</v>
      </c>
      <c r="N25" s="27">
        <f t="shared" si="5"/>
        <v>99.99242222813082</v>
      </c>
      <c r="O25" s="318"/>
    </row>
    <row r="26" spans="1:15" ht="11.45" customHeight="1" outlineLevel="1" x14ac:dyDescent="0.2">
      <c r="A26" s="21"/>
      <c r="B26" s="337" t="s">
        <v>359</v>
      </c>
      <c r="C26" s="24"/>
      <c r="D26" s="20"/>
      <c r="E26" s="20"/>
      <c r="F26" s="25"/>
      <c r="G26" s="129">
        <f>G35+G116+G252+G338+G612</f>
        <v>0</v>
      </c>
      <c r="H26" s="129">
        <f>H35+H116+H252+H338+H612</f>
        <v>0</v>
      </c>
      <c r="I26" s="27" t="str">
        <f t="shared" si="4"/>
        <v>-</v>
      </c>
      <c r="J26" s="129">
        <f t="shared" si="7"/>
        <v>0</v>
      </c>
      <c r="K26" s="129">
        <f t="shared" si="7"/>
        <v>0</v>
      </c>
      <c r="L26" s="129">
        <f t="shared" si="7"/>
        <v>0</v>
      </c>
      <c r="M26" s="26">
        <f t="shared" si="7"/>
        <v>0</v>
      </c>
      <c r="N26" s="27" t="str">
        <f t="shared" si="5"/>
        <v>-</v>
      </c>
      <c r="O26" s="318"/>
    </row>
    <row r="27" spans="1:15" ht="3.95" customHeight="1" outlineLevel="1" x14ac:dyDescent="0.2">
      <c r="A27" s="53"/>
      <c r="B27" s="54"/>
      <c r="C27" s="55"/>
      <c r="D27" s="56"/>
      <c r="E27" s="56"/>
      <c r="F27" s="53"/>
      <c r="G27" s="130"/>
      <c r="H27" s="130"/>
      <c r="I27" s="53"/>
      <c r="J27" s="130"/>
      <c r="K27" s="130"/>
      <c r="L27" s="130"/>
      <c r="M27" s="57"/>
      <c r="N27" s="58"/>
      <c r="O27" s="319"/>
    </row>
    <row r="28" spans="1:15" ht="3.95" customHeight="1" outlineLevel="1" x14ac:dyDescent="0.2">
      <c r="A28" s="59"/>
      <c r="B28" s="60"/>
      <c r="C28" s="61"/>
      <c r="D28" s="62"/>
      <c r="E28" s="62"/>
      <c r="F28" s="59"/>
      <c r="G28" s="131"/>
      <c r="H28" s="131"/>
      <c r="I28" s="59"/>
      <c r="J28" s="131"/>
      <c r="K28" s="131"/>
      <c r="L28" s="131"/>
      <c r="M28" s="63"/>
      <c r="N28" s="64"/>
      <c r="O28" s="320"/>
    </row>
    <row r="29" spans="1:15" ht="11.45" customHeight="1" outlineLevel="1" x14ac:dyDescent="0.2">
      <c r="A29" s="28" t="s">
        <v>1</v>
      </c>
      <c r="B29" s="413" t="s">
        <v>48</v>
      </c>
      <c r="C29" s="414"/>
      <c r="D29" s="29"/>
      <c r="E29" s="29"/>
      <c r="F29" s="30"/>
      <c r="G29" s="132">
        <f>SUM(G30:G35)</f>
        <v>6246199.6900000004</v>
      </c>
      <c r="H29" s="132">
        <f>SUM(H30:H35)</f>
        <v>2908726.65</v>
      </c>
      <c r="I29" s="32">
        <f>IF(G29&gt;0,H29/G29*100,"-")</f>
        <v>46.567942018517179</v>
      </c>
      <c r="J29" s="132">
        <f>SUM(J30:J35)</f>
        <v>1109354</v>
      </c>
      <c r="K29" s="132">
        <f>SUM(K30:K35)</f>
        <v>1338322</v>
      </c>
      <c r="L29" s="132">
        <f>SUM(L30:L35)</f>
        <v>2447676</v>
      </c>
      <c r="M29" s="31">
        <f>SUM(M30:M35)</f>
        <v>1635162.42</v>
      </c>
      <c r="N29" s="32">
        <f t="shared" ref="N29:N35" si="8">IF(L29&gt;0,M29/L29*100,"-")</f>
        <v>66.804692287704739</v>
      </c>
      <c r="O29" s="321"/>
    </row>
    <row r="30" spans="1:15" ht="11.45" customHeight="1" outlineLevel="1" x14ac:dyDescent="0.2">
      <c r="A30" s="30"/>
      <c r="B30" s="33"/>
      <c r="C30" s="34"/>
      <c r="D30" s="29"/>
      <c r="E30" s="29"/>
      <c r="F30" s="35" t="s">
        <v>15</v>
      </c>
      <c r="G30" s="133">
        <f t="shared" ref="G30:H35" si="9">G39+G50+G59+G72+G82+G91+G102</f>
        <v>178111</v>
      </c>
      <c r="H30" s="133">
        <f t="shared" si="9"/>
        <v>109732</v>
      </c>
      <c r="I30" s="37">
        <f t="shared" ref="I30:I35" si="10">IF(G30&gt;0,H30/G30*100,"-")</f>
        <v>61.60877205787402</v>
      </c>
      <c r="J30" s="133">
        <f t="shared" ref="J30:M35" si="11">J39+J50+J59+J72+J82+J91+J102</f>
        <v>82365</v>
      </c>
      <c r="K30" s="133">
        <f t="shared" si="11"/>
        <v>24177</v>
      </c>
      <c r="L30" s="133">
        <f t="shared" si="11"/>
        <v>106542</v>
      </c>
      <c r="M30" s="36">
        <f t="shared" si="11"/>
        <v>63541.15</v>
      </c>
      <c r="N30" s="37">
        <f t="shared" si="8"/>
        <v>59.639531827823767</v>
      </c>
      <c r="O30" s="321"/>
    </row>
    <row r="31" spans="1:15" ht="11.45" customHeight="1" outlineLevel="1" x14ac:dyDescent="0.2">
      <c r="A31" s="30"/>
      <c r="B31" s="33"/>
      <c r="C31" s="34"/>
      <c r="D31" s="29"/>
      <c r="E31" s="29"/>
      <c r="F31" s="35" t="s">
        <v>7</v>
      </c>
      <c r="G31" s="379">
        <f t="shared" si="9"/>
        <v>5309266.2</v>
      </c>
      <c r="H31" s="133">
        <f t="shared" si="9"/>
        <v>2472413.25</v>
      </c>
      <c r="I31" s="37">
        <f t="shared" si="10"/>
        <v>46.567890116340372</v>
      </c>
      <c r="J31" s="133">
        <f t="shared" si="11"/>
        <v>942950</v>
      </c>
      <c r="K31" s="133">
        <f t="shared" si="11"/>
        <v>1137571</v>
      </c>
      <c r="L31" s="133">
        <f t="shared" si="11"/>
        <v>2080521</v>
      </c>
      <c r="M31" s="36">
        <f t="shared" si="11"/>
        <v>1389888.06</v>
      </c>
      <c r="N31" s="37">
        <f t="shared" si="8"/>
        <v>66.80480802645107</v>
      </c>
      <c r="O31" s="321"/>
    </row>
    <row r="32" spans="1:15" ht="11.45" customHeight="1" outlineLevel="1" x14ac:dyDescent="0.2">
      <c r="A32" s="30"/>
      <c r="B32" s="33"/>
      <c r="C32" s="34"/>
      <c r="D32" s="29"/>
      <c r="E32" s="29"/>
      <c r="F32" s="35" t="s">
        <v>8</v>
      </c>
      <c r="G32" s="133">
        <f t="shared" si="9"/>
        <v>0</v>
      </c>
      <c r="H32" s="133">
        <f t="shared" si="9"/>
        <v>0</v>
      </c>
      <c r="I32" s="37" t="str">
        <f t="shared" si="10"/>
        <v>-</v>
      </c>
      <c r="J32" s="133">
        <f t="shared" si="11"/>
        <v>0</v>
      </c>
      <c r="K32" s="133">
        <f t="shared" si="11"/>
        <v>0</v>
      </c>
      <c r="L32" s="133">
        <f t="shared" si="11"/>
        <v>0</v>
      </c>
      <c r="M32" s="36">
        <f t="shared" si="11"/>
        <v>0</v>
      </c>
      <c r="N32" s="37" t="str">
        <f t="shared" si="8"/>
        <v>-</v>
      </c>
      <c r="O32" s="321"/>
    </row>
    <row r="33" spans="1:15" ht="11.45" customHeight="1" outlineLevel="1" x14ac:dyDescent="0.2">
      <c r="A33" s="30"/>
      <c r="B33" s="33"/>
      <c r="C33" s="34"/>
      <c r="D33" s="29"/>
      <c r="E33" s="29"/>
      <c r="F33" s="35" t="s">
        <v>22</v>
      </c>
      <c r="G33" s="133">
        <f t="shared" si="9"/>
        <v>758822.49</v>
      </c>
      <c r="H33" s="133">
        <f t="shared" si="9"/>
        <v>326581.40000000002</v>
      </c>
      <c r="I33" s="37">
        <f t="shared" si="10"/>
        <v>43.03791786666735</v>
      </c>
      <c r="J33" s="133">
        <f t="shared" si="11"/>
        <v>84039</v>
      </c>
      <c r="K33" s="133">
        <f t="shared" si="11"/>
        <v>176574</v>
      </c>
      <c r="L33" s="133">
        <f t="shared" si="11"/>
        <v>260613</v>
      </c>
      <c r="M33" s="36">
        <f t="shared" si="11"/>
        <v>181733.21000000002</v>
      </c>
      <c r="N33" s="37">
        <f t="shared" si="8"/>
        <v>69.732979552056122</v>
      </c>
      <c r="O33" s="321"/>
    </row>
    <row r="34" spans="1:15" ht="11.45" customHeight="1" outlineLevel="1" x14ac:dyDescent="0.2">
      <c r="A34" s="30"/>
      <c r="B34" s="33"/>
      <c r="C34" s="34"/>
      <c r="D34" s="29"/>
      <c r="E34" s="29"/>
      <c r="F34" s="35" t="s">
        <v>45</v>
      </c>
      <c r="G34" s="133">
        <f t="shared" si="9"/>
        <v>0</v>
      </c>
      <c r="H34" s="133">
        <f t="shared" si="9"/>
        <v>0</v>
      </c>
      <c r="I34" s="37" t="str">
        <f t="shared" si="10"/>
        <v>-</v>
      </c>
      <c r="J34" s="133">
        <f t="shared" si="11"/>
        <v>0</v>
      </c>
      <c r="K34" s="133">
        <f t="shared" si="11"/>
        <v>0</v>
      </c>
      <c r="L34" s="133">
        <f t="shared" si="11"/>
        <v>0</v>
      </c>
      <c r="M34" s="36">
        <f t="shared" si="11"/>
        <v>0</v>
      </c>
      <c r="N34" s="37" t="str">
        <f t="shared" si="8"/>
        <v>-</v>
      </c>
      <c r="O34" s="321"/>
    </row>
    <row r="35" spans="1:15" ht="11.45" customHeight="1" outlineLevel="1" x14ac:dyDescent="0.2">
      <c r="A35" s="30"/>
      <c r="B35" s="33"/>
      <c r="C35" s="34"/>
      <c r="D35" s="29"/>
      <c r="E35" s="29"/>
      <c r="F35" s="35" t="s">
        <v>359</v>
      </c>
      <c r="G35" s="133">
        <f t="shared" si="9"/>
        <v>0</v>
      </c>
      <c r="H35" s="133">
        <f t="shared" si="9"/>
        <v>0</v>
      </c>
      <c r="I35" s="37" t="str">
        <f t="shared" si="10"/>
        <v>-</v>
      </c>
      <c r="J35" s="133">
        <f t="shared" si="11"/>
        <v>0</v>
      </c>
      <c r="K35" s="133">
        <f t="shared" si="11"/>
        <v>0</v>
      </c>
      <c r="L35" s="133">
        <f t="shared" si="11"/>
        <v>0</v>
      </c>
      <c r="M35" s="36">
        <f t="shared" si="11"/>
        <v>0</v>
      </c>
      <c r="N35" s="37" t="str">
        <f t="shared" si="8"/>
        <v>-</v>
      </c>
      <c r="O35" s="321"/>
    </row>
    <row r="36" spans="1:15" ht="3.95" customHeight="1" outlineLevel="1" x14ac:dyDescent="0.2">
      <c r="A36" s="65"/>
      <c r="B36" s="66"/>
      <c r="C36" s="67"/>
      <c r="D36" s="68"/>
      <c r="E36" s="68"/>
      <c r="F36" s="65"/>
      <c r="G36" s="134"/>
      <c r="H36" s="134"/>
      <c r="I36" s="70"/>
      <c r="J36" s="134"/>
      <c r="K36" s="134"/>
      <c r="L36" s="134"/>
      <c r="M36" s="69"/>
      <c r="N36" s="70"/>
      <c r="O36" s="322"/>
    </row>
    <row r="37" spans="1:15" s="95" customFormat="1" ht="3.95" customHeight="1" outlineLevel="1" x14ac:dyDescent="0.2">
      <c r="A37" s="152"/>
      <c r="B37" s="72"/>
      <c r="C37" s="73"/>
      <c r="D37" s="71"/>
      <c r="E37" s="71"/>
      <c r="F37" s="72"/>
      <c r="G37" s="135"/>
      <c r="H37" s="135"/>
      <c r="I37" s="75"/>
      <c r="J37" s="136"/>
      <c r="K37" s="136"/>
      <c r="L37" s="136"/>
      <c r="M37" s="154"/>
      <c r="N37" s="75"/>
      <c r="O37" s="408" t="s">
        <v>607</v>
      </c>
    </row>
    <row r="38" spans="1:15" s="95" customFormat="1" ht="11.1" customHeight="1" outlineLevel="1" x14ac:dyDescent="0.2">
      <c r="A38" s="409" t="s">
        <v>1</v>
      </c>
      <c r="B38" s="76" t="s">
        <v>9</v>
      </c>
      <c r="C38" s="77" t="s">
        <v>265</v>
      </c>
      <c r="D38" s="410" t="s">
        <v>272</v>
      </c>
      <c r="E38" s="410" t="s">
        <v>273</v>
      </c>
      <c r="F38" s="78" t="s">
        <v>28</v>
      </c>
      <c r="G38" s="137">
        <f>SUM(G39:G44)</f>
        <v>1097551</v>
      </c>
      <c r="H38" s="241">
        <f>SUM(H39:H44)</f>
        <v>641691</v>
      </c>
      <c r="I38" s="39">
        <f t="shared" ref="I38:I43" si="12">IF(G38&gt;0,H38/G38*100,"-")</f>
        <v>58.465711388354613</v>
      </c>
      <c r="J38" s="137">
        <f>SUM(J39:J42)</f>
        <v>549096</v>
      </c>
      <c r="K38" s="137">
        <f>SUM(K39:K42)</f>
        <v>161177</v>
      </c>
      <c r="L38" s="137">
        <f>SUM(L39:L42)</f>
        <v>710273</v>
      </c>
      <c r="M38" s="38">
        <f>SUM(M39:M42)</f>
        <v>423607.71</v>
      </c>
      <c r="N38" s="39">
        <f t="shared" ref="N38:N44" si="13">IF(L38&gt;0,M38/L38*100,"-")</f>
        <v>59.640125698147052</v>
      </c>
      <c r="O38" s="406"/>
    </row>
    <row r="39" spans="1:15" s="95" customFormat="1" ht="11.1" customHeight="1" outlineLevel="1" x14ac:dyDescent="0.2">
      <c r="A39" s="409"/>
      <c r="B39" s="76"/>
      <c r="C39" s="77" t="s">
        <v>266</v>
      </c>
      <c r="D39" s="410"/>
      <c r="E39" s="410"/>
      <c r="F39" s="79" t="s">
        <v>15</v>
      </c>
      <c r="G39" s="138">
        <v>164633</v>
      </c>
      <c r="H39" s="138">
        <f>ROUNDUP(32712+M39,0)</f>
        <v>96254</v>
      </c>
      <c r="I39" s="81">
        <f t="shared" si="12"/>
        <v>58.465799687790422</v>
      </c>
      <c r="J39" s="138">
        <v>82365</v>
      </c>
      <c r="K39" s="138">
        <f t="shared" ref="K39:K44" si="14">L39-J39</f>
        <v>24177</v>
      </c>
      <c r="L39" s="138">
        <v>106542</v>
      </c>
      <c r="M39" s="80">
        <v>63541.15</v>
      </c>
      <c r="N39" s="81">
        <f t="shared" si="13"/>
        <v>59.639531827823767</v>
      </c>
      <c r="O39" s="406"/>
    </row>
    <row r="40" spans="1:15" s="95" customFormat="1" ht="11.1" customHeight="1" outlineLevel="1" x14ac:dyDescent="0.2">
      <c r="A40" s="409"/>
      <c r="B40" s="76" t="s">
        <v>10</v>
      </c>
      <c r="C40" s="82" t="s">
        <v>267</v>
      </c>
      <c r="D40" s="410"/>
      <c r="E40" s="410"/>
      <c r="F40" s="79" t="s">
        <v>7</v>
      </c>
      <c r="G40" s="138">
        <v>932918</v>
      </c>
      <c r="H40" s="138">
        <f>ROUNDUP(185370+M40,0)</f>
        <v>545437</v>
      </c>
      <c r="I40" s="81">
        <f t="shared" si="12"/>
        <v>58.465695806062271</v>
      </c>
      <c r="J40" s="138">
        <v>466731</v>
      </c>
      <c r="K40" s="138">
        <f t="shared" si="14"/>
        <v>137000</v>
      </c>
      <c r="L40" s="138">
        <v>603731</v>
      </c>
      <c r="M40" s="80">
        <v>360066.56</v>
      </c>
      <c r="N40" s="81">
        <f t="shared" si="13"/>
        <v>59.640230500007455</v>
      </c>
      <c r="O40" s="406"/>
    </row>
    <row r="41" spans="1:15" s="95" customFormat="1" ht="11.1" customHeight="1" outlineLevel="1" x14ac:dyDescent="0.2">
      <c r="A41" s="117"/>
      <c r="B41" s="76" t="s">
        <v>11</v>
      </c>
      <c r="C41" s="77" t="s">
        <v>268</v>
      </c>
      <c r="D41" s="108"/>
      <c r="E41" s="108"/>
      <c r="F41" s="79" t="s">
        <v>8</v>
      </c>
      <c r="G41" s="138">
        <v>0</v>
      </c>
      <c r="H41" s="138">
        <f>ROUNDUP(0+M41,0)</f>
        <v>0</v>
      </c>
      <c r="I41" s="81" t="str">
        <f t="shared" si="12"/>
        <v>-</v>
      </c>
      <c r="J41" s="138">
        <v>0</v>
      </c>
      <c r="K41" s="138">
        <f t="shared" si="14"/>
        <v>0</v>
      </c>
      <c r="L41" s="138">
        <v>0</v>
      </c>
      <c r="M41" s="80">
        <v>0</v>
      </c>
      <c r="N41" s="81" t="str">
        <f t="shared" si="13"/>
        <v>-</v>
      </c>
      <c r="O41" s="406"/>
    </row>
    <row r="42" spans="1:15" s="95" customFormat="1" ht="11.1" customHeight="1" outlineLevel="1" x14ac:dyDescent="0.2">
      <c r="A42" s="117"/>
      <c r="B42" s="76" t="s">
        <v>12</v>
      </c>
      <c r="C42" s="82" t="s">
        <v>269</v>
      </c>
      <c r="D42" s="108"/>
      <c r="E42" s="108"/>
      <c r="F42" s="79" t="s">
        <v>22</v>
      </c>
      <c r="G42" s="138">
        <v>0</v>
      </c>
      <c r="H42" s="138">
        <f t="shared" ref="H42:H44" si="15">ROUNDUP(0+M42,0)</f>
        <v>0</v>
      </c>
      <c r="I42" s="81" t="str">
        <f t="shared" si="12"/>
        <v>-</v>
      </c>
      <c r="J42" s="138">
        <v>0</v>
      </c>
      <c r="K42" s="138">
        <f t="shared" si="14"/>
        <v>0</v>
      </c>
      <c r="L42" s="138">
        <v>0</v>
      </c>
      <c r="M42" s="80">
        <v>0</v>
      </c>
      <c r="N42" s="81" t="str">
        <f t="shared" si="13"/>
        <v>-</v>
      </c>
      <c r="O42" s="406"/>
    </row>
    <row r="43" spans="1:15" s="95" customFormat="1" ht="11.1" customHeight="1" outlineLevel="1" x14ac:dyDescent="0.2">
      <c r="A43" s="117"/>
      <c r="B43" s="76"/>
      <c r="C43" s="82" t="s">
        <v>270</v>
      </c>
      <c r="D43" s="282"/>
      <c r="E43" s="282"/>
      <c r="F43" s="106" t="s">
        <v>45</v>
      </c>
      <c r="G43" s="139">
        <v>0</v>
      </c>
      <c r="H43" s="138">
        <f t="shared" si="15"/>
        <v>0</v>
      </c>
      <c r="I43" s="81" t="str">
        <f t="shared" si="12"/>
        <v>-</v>
      </c>
      <c r="J43" s="138">
        <v>0</v>
      </c>
      <c r="K43" s="138">
        <f t="shared" si="14"/>
        <v>0</v>
      </c>
      <c r="L43" s="138">
        <v>0</v>
      </c>
      <c r="M43" s="83">
        <v>0</v>
      </c>
      <c r="N43" s="81" t="str">
        <f t="shared" si="13"/>
        <v>-</v>
      </c>
      <c r="O43" s="406"/>
    </row>
    <row r="44" spans="1:15" s="95" customFormat="1" ht="11.1" customHeight="1" outlineLevel="1" x14ac:dyDescent="0.2">
      <c r="A44" s="117"/>
      <c r="B44" s="76"/>
      <c r="C44" s="148" t="s">
        <v>271</v>
      </c>
      <c r="D44" s="282"/>
      <c r="E44" s="282"/>
      <c r="F44" s="106" t="s">
        <v>359</v>
      </c>
      <c r="G44" s="139">
        <v>0</v>
      </c>
      <c r="H44" s="138">
        <f t="shared" si="15"/>
        <v>0</v>
      </c>
      <c r="I44" s="81" t="str">
        <f>IF(G44&gt;0,H44/G44*100,"-")</f>
        <v>-</v>
      </c>
      <c r="J44" s="138">
        <v>0</v>
      </c>
      <c r="K44" s="138">
        <f t="shared" si="14"/>
        <v>0</v>
      </c>
      <c r="L44" s="138">
        <v>0</v>
      </c>
      <c r="M44" s="83">
        <v>0</v>
      </c>
      <c r="N44" s="81" t="str">
        <f t="shared" si="13"/>
        <v>-</v>
      </c>
      <c r="O44" s="406"/>
    </row>
    <row r="45" spans="1:15" s="95" customFormat="1" ht="11.1" customHeight="1" outlineLevel="1" x14ac:dyDescent="0.2">
      <c r="A45" s="117"/>
      <c r="B45" s="76" t="s">
        <v>23</v>
      </c>
      <c r="C45" s="82" t="s">
        <v>360</v>
      </c>
      <c r="D45" s="282"/>
      <c r="E45" s="282"/>
      <c r="F45" s="106"/>
      <c r="G45" s="139"/>
      <c r="H45" s="139"/>
      <c r="I45" s="81"/>
      <c r="J45" s="138"/>
      <c r="K45" s="138"/>
      <c r="L45" s="138"/>
      <c r="M45" s="83"/>
      <c r="N45" s="81"/>
      <c r="O45" s="406"/>
    </row>
    <row r="46" spans="1:15" s="95" customFormat="1" ht="11.1" customHeight="1" outlineLevel="1" x14ac:dyDescent="0.2">
      <c r="A46" s="117"/>
      <c r="B46" s="76"/>
      <c r="C46" s="82" t="s">
        <v>361</v>
      </c>
      <c r="D46" s="282"/>
      <c r="E46" s="282"/>
      <c r="F46" s="106"/>
      <c r="G46" s="139"/>
      <c r="H46" s="139"/>
      <c r="I46" s="81"/>
      <c r="J46" s="138"/>
      <c r="K46" s="138"/>
      <c r="L46" s="138"/>
      <c r="M46" s="83"/>
      <c r="N46" s="81"/>
      <c r="O46" s="406"/>
    </row>
    <row r="47" spans="1:15" s="95" customFormat="1" ht="3.95" customHeight="1" outlineLevel="1" x14ac:dyDescent="0.2">
      <c r="A47" s="118"/>
      <c r="B47" s="76"/>
      <c r="C47" s="82"/>
      <c r="D47" s="283"/>
      <c r="E47" s="283"/>
      <c r="F47" s="76"/>
      <c r="G47" s="139"/>
      <c r="H47" s="139"/>
      <c r="I47" s="81"/>
      <c r="J47" s="138"/>
      <c r="K47" s="141"/>
      <c r="L47" s="138"/>
      <c r="M47" s="80"/>
      <c r="N47" s="81"/>
      <c r="O47" s="407"/>
    </row>
    <row r="48" spans="1:15" s="95" customFormat="1" ht="3.95" customHeight="1" outlineLevel="1" x14ac:dyDescent="0.2">
      <c r="A48" s="152"/>
      <c r="B48" s="72"/>
      <c r="C48" s="73"/>
      <c r="D48" s="71"/>
      <c r="E48" s="71"/>
      <c r="F48" s="72"/>
      <c r="G48" s="135"/>
      <c r="H48" s="135"/>
      <c r="I48" s="75"/>
      <c r="J48" s="136"/>
      <c r="K48" s="136"/>
      <c r="L48" s="136"/>
      <c r="M48" s="154"/>
      <c r="N48" s="75"/>
      <c r="O48" s="408" t="s">
        <v>601</v>
      </c>
    </row>
    <row r="49" spans="1:15" s="95" customFormat="1" ht="11.1" customHeight="1" outlineLevel="1" x14ac:dyDescent="0.2">
      <c r="A49" s="409" t="s">
        <v>50</v>
      </c>
      <c r="B49" s="76" t="s">
        <v>9</v>
      </c>
      <c r="C49" s="77" t="s">
        <v>49</v>
      </c>
      <c r="D49" s="410" t="s">
        <v>51</v>
      </c>
      <c r="E49" s="410" t="s">
        <v>162</v>
      </c>
      <c r="F49" s="78" t="s">
        <v>28</v>
      </c>
      <c r="G49" s="137">
        <f>SUM(G50:G55)</f>
        <v>482488.64</v>
      </c>
      <c r="H49" s="241">
        <f>SUM(H50:H55)</f>
        <v>432063.65</v>
      </c>
      <c r="I49" s="39">
        <f t="shared" ref="I49:I54" si="16">IF(G49&gt;0,H49/G49*100,"-")</f>
        <v>89.548978811190253</v>
      </c>
      <c r="J49" s="137">
        <f>SUM(J50:J53)</f>
        <v>113480</v>
      </c>
      <c r="K49" s="137">
        <f>SUM(K50:K53)</f>
        <v>0</v>
      </c>
      <c r="L49" s="137">
        <f>SUM(L50:L53)</f>
        <v>113480</v>
      </c>
      <c r="M49" s="38">
        <f>SUM(M50:M53)</f>
        <v>63053.67</v>
      </c>
      <c r="N49" s="39">
        <f t="shared" ref="N49:N55" si="17">IF(L49&gt;0,M49/L49*100,"-")</f>
        <v>55.563685230877688</v>
      </c>
      <c r="O49" s="406"/>
    </row>
    <row r="50" spans="1:15" s="95" customFormat="1" ht="11.1" customHeight="1" outlineLevel="1" x14ac:dyDescent="0.2">
      <c r="A50" s="409"/>
      <c r="B50" s="76" t="s">
        <v>10</v>
      </c>
      <c r="C50" s="77" t="s">
        <v>177</v>
      </c>
      <c r="D50" s="410"/>
      <c r="E50" s="410"/>
      <c r="F50" s="79" t="s">
        <v>15</v>
      </c>
      <c r="G50" s="138">
        <v>0</v>
      </c>
      <c r="H50" s="138">
        <f>ROUNDUP(0+M50,0)</f>
        <v>0</v>
      </c>
      <c r="I50" s="81" t="str">
        <f t="shared" si="16"/>
        <v>-</v>
      </c>
      <c r="J50" s="138">
        <v>0</v>
      </c>
      <c r="K50" s="138">
        <f t="shared" ref="K50:K55" si="18">L50-J50</f>
        <v>0</v>
      </c>
      <c r="L50" s="138">
        <v>0</v>
      </c>
      <c r="M50" s="80">
        <v>0</v>
      </c>
      <c r="N50" s="81" t="str">
        <f t="shared" si="17"/>
        <v>-</v>
      </c>
      <c r="O50" s="406"/>
    </row>
    <row r="51" spans="1:15" s="95" customFormat="1" ht="11.1" customHeight="1" outlineLevel="1" x14ac:dyDescent="0.2">
      <c r="A51" s="409"/>
      <c r="B51" s="76" t="s">
        <v>11</v>
      </c>
      <c r="C51" s="82" t="s">
        <v>178</v>
      </c>
      <c r="D51" s="410"/>
      <c r="E51" s="410"/>
      <c r="F51" s="79" t="s">
        <v>7</v>
      </c>
      <c r="G51" s="138">
        <v>410115.4</v>
      </c>
      <c r="H51" s="138">
        <f>ROUNDUP(313657+M51,0)+0.45</f>
        <v>367253.45</v>
      </c>
      <c r="I51" s="81">
        <f t="shared" si="16"/>
        <v>89.548807481991659</v>
      </c>
      <c r="J51" s="138">
        <v>96458</v>
      </c>
      <c r="K51" s="138">
        <f t="shared" si="18"/>
        <v>0</v>
      </c>
      <c r="L51" s="138">
        <v>96458</v>
      </c>
      <c r="M51" s="80">
        <v>53595.62</v>
      </c>
      <c r="N51" s="81">
        <f t="shared" si="17"/>
        <v>55.563685749238012</v>
      </c>
      <c r="O51" s="406"/>
    </row>
    <row r="52" spans="1:15" s="95" customFormat="1" ht="11.1" customHeight="1" outlineLevel="1" x14ac:dyDescent="0.2">
      <c r="A52" s="117"/>
      <c r="B52" s="76"/>
      <c r="C52" s="82" t="s">
        <v>169</v>
      </c>
      <c r="D52" s="108"/>
      <c r="E52" s="108"/>
      <c r="F52" s="79" t="s">
        <v>8</v>
      </c>
      <c r="G52" s="138">
        <v>0</v>
      </c>
      <c r="H52" s="138">
        <f>ROUNDUP(0+M52,0)</f>
        <v>0</v>
      </c>
      <c r="I52" s="81" t="str">
        <f t="shared" si="16"/>
        <v>-</v>
      </c>
      <c r="J52" s="138">
        <v>0</v>
      </c>
      <c r="K52" s="138">
        <f t="shared" si="18"/>
        <v>0</v>
      </c>
      <c r="L52" s="138">
        <v>0</v>
      </c>
      <c r="M52" s="80">
        <v>0</v>
      </c>
      <c r="N52" s="81" t="str">
        <f t="shared" si="17"/>
        <v>-</v>
      </c>
      <c r="O52" s="406"/>
    </row>
    <row r="53" spans="1:15" s="95" customFormat="1" ht="11.1" customHeight="1" outlineLevel="1" x14ac:dyDescent="0.2">
      <c r="A53" s="117"/>
      <c r="B53" s="76" t="s">
        <v>12</v>
      </c>
      <c r="C53" s="148" t="s">
        <v>274</v>
      </c>
      <c r="D53" s="108"/>
      <c r="E53" s="108"/>
      <c r="F53" s="79" t="s">
        <v>22</v>
      </c>
      <c r="G53" s="138">
        <v>72373.240000000005</v>
      </c>
      <c r="H53" s="138">
        <f>ROUNDUP(55351+M53,0)+0.2</f>
        <v>64810.2</v>
      </c>
      <c r="I53" s="81">
        <f t="shared" si="16"/>
        <v>89.549949677532737</v>
      </c>
      <c r="J53" s="138">
        <v>17022</v>
      </c>
      <c r="K53" s="138">
        <f t="shared" si="18"/>
        <v>0</v>
      </c>
      <c r="L53" s="138">
        <v>17022</v>
      </c>
      <c r="M53" s="80">
        <v>9458.0499999999993</v>
      </c>
      <c r="N53" s="81">
        <f t="shared" si="17"/>
        <v>55.563682293502524</v>
      </c>
      <c r="O53" s="406"/>
    </row>
    <row r="54" spans="1:15" s="95" customFormat="1" ht="11.1" customHeight="1" outlineLevel="1" x14ac:dyDescent="0.2">
      <c r="A54" s="117"/>
      <c r="B54" s="76" t="s">
        <v>23</v>
      </c>
      <c r="C54" s="82" t="s">
        <v>156</v>
      </c>
      <c r="D54" s="90"/>
      <c r="E54" s="90"/>
      <c r="F54" s="106" t="s">
        <v>45</v>
      </c>
      <c r="G54" s="139">
        <v>0</v>
      </c>
      <c r="H54" s="138">
        <f>ROUNDUP(0+M54,0)</f>
        <v>0</v>
      </c>
      <c r="I54" s="81" t="str">
        <f t="shared" si="16"/>
        <v>-</v>
      </c>
      <c r="J54" s="138">
        <v>0</v>
      </c>
      <c r="K54" s="138">
        <f t="shared" si="18"/>
        <v>0</v>
      </c>
      <c r="L54" s="138">
        <v>0</v>
      </c>
      <c r="M54" s="80">
        <v>0</v>
      </c>
      <c r="N54" s="81" t="str">
        <f t="shared" si="17"/>
        <v>-</v>
      </c>
      <c r="O54" s="406"/>
    </row>
    <row r="55" spans="1:15" s="95" customFormat="1" ht="11.1" customHeight="1" outlineLevel="1" x14ac:dyDescent="0.2">
      <c r="A55" s="117"/>
      <c r="B55" s="76"/>
      <c r="C55" s="82"/>
      <c r="D55" s="90"/>
      <c r="E55" s="90"/>
      <c r="F55" s="106" t="s">
        <v>359</v>
      </c>
      <c r="G55" s="139">
        <v>0</v>
      </c>
      <c r="H55" s="138">
        <f>ROUNDUP(0+M55,0)</f>
        <v>0</v>
      </c>
      <c r="I55" s="81" t="str">
        <f>IF(G55&gt;0,H55/G55*100,"-")</f>
        <v>-</v>
      </c>
      <c r="J55" s="138"/>
      <c r="K55" s="138">
        <f t="shared" si="18"/>
        <v>0</v>
      </c>
      <c r="L55" s="138">
        <v>0</v>
      </c>
      <c r="M55" s="80">
        <v>0</v>
      </c>
      <c r="N55" s="81" t="str">
        <f t="shared" si="17"/>
        <v>-</v>
      </c>
      <c r="O55" s="406"/>
    </row>
    <row r="56" spans="1:15" s="95" customFormat="1" ht="3.95" customHeight="1" outlineLevel="1" x14ac:dyDescent="0.2">
      <c r="A56" s="118"/>
      <c r="B56" s="76"/>
      <c r="C56" s="82"/>
      <c r="D56" s="151"/>
      <c r="E56" s="151"/>
      <c r="F56" s="76"/>
      <c r="G56" s="139"/>
      <c r="H56" s="139"/>
      <c r="I56" s="81"/>
      <c r="J56" s="138"/>
      <c r="K56" s="141"/>
      <c r="L56" s="138"/>
      <c r="M56" s="80"/>
      <c r="N56" s="81"/>
      <c r="O56" s="407"/>
    </row>
    <row r="57" spans="1:15" s="95" customFormat="1" ht="3.95" customHeight="1" outlineLevel="1" x14ac:dyDescent="0.2">
      <c r="A57" s="185"/>
      <c r="B57" s="72"/>
      <c r="C57" s="73"/>
      <c r="D57" s="191"/>
      <c r="E57" s="71"/>
      <c r="F57" s="153"/>
      <c r="G57" s="136"/>
      <c r="H57" s="136"/>
      <c r="I57" s="193"/>
      <c r="J57" s="136"/>
      <c r="K57" s="136"/>
      <c r="L57" s="210"/>
      <c r="M57" s="154"/>
      <c r="N57" s="75"/>
      <c r="O57" s="426" t="s">
        <v>602</v>
      </c>
    </row>
    <row r="58" spans="1:15" s="15" customFormat="1" ht="11.1" customHeight="1" outlineLevel="1" x14ac:dyDescent="0.2">
      <c r="A58" s="409" t="s">
        <v>59</v>
      </c>
      <c r="B58" s="76" t="s">
        <v>9</v>
      </c>
      <c r="C58" s="77" t="s">
        <v>55</v>
      </c>
      <c r="D58" s="410" t="s">
        <v>51</v>
      </c>
      <c r="E58" s="410" t="s">
        <v>163</v>
      </c>
      <c r="F58" s="190" t="s">
        <v>157</v>
      </c>
      <c r="G58" s="137">
        <f>SUM(G59:G64)</f>
        <v>794449.4</v>
      </c>
      <c r="H58" s="241">
        <f>SUM(H59:H64)</f>
        <v>727920.4</v>
      </c>
      <c r="I58" s="39">
        <f t="shared" ref="I58:I64" si="19">IF(G58&gt;0,H58/G58*100,"-")</f>
        <v>91.625772516160254</v>
      </c>
      <c r="J58" s="137">
        <f>SUM(J59:J62)</f>
        <v>271450</v>
      </c>
      <c r="K58" s="137">
        <f>SUM(K59:K62)</f>
        <v>150914</v>
      </c>
      <c r="L58" s="213">
        <f>SUM(L59:L62)</f>
        <v>422364</v>
      </c>
      <c r="M58" s="38">
        <f>SUM(M59:M62)</f>
        <v>355833.74</v>
      </c>
      <c r="N58" s="39">
        <f t="shared" ref="N58:N64" si="20">IF(L58&gt;0,M58/L58*100,"-")</f>
        <v>84.248122472559217</v>
      </c>
      <c r="O58" s="406"/>
    </row>
    <row r="59" spans="1:15" s="15" customFormat="1" ht="11.1" customHeight="1" outlineLevel="1" x14ac:dyDescent="0.2">
      <c r="A59" s="409"/>
      <c r="B59" s="76" t="s">
        <v>10</v>
      </c>
      <c r="C59" s="77" t="s">
        <v>158</v>
      </c>
      <c r="D59" s="410"/>
      <c r="E59" s="410"/>
      <c r="F59" s="150" t="s">
        <v>15</v>
      </c>
      <c r="G59" s="138">
        <v>0</v>
      </c>
      <c r="H59" s="138">
        <f>ROUNDUP(0+M59,0)</f>
        <v>0</v>
      </c>
      <c r="I59" s="160" t="str">
        <f t="shared" si="19"/>
        <v>-</v>
      </c>
      <c r="J59" s="138">
        <v>0</v>
      </c>
      <c r="K59" s="138">
        <f t="shared" ref="K59:K64" si="21">L59-J59</f>
        <v>0</v>
      </c>
      <c r="L59" s="138">
        <v>0</v>
      </c>
      <c r="M59" s="80">
        <v>0</v>
      </c>
      <c r="N59" s="81" t="str">
        <f t="shared" si="20"/>
        <v>-</v>
      </c>
      <c r="O59" s="406"/>
    </row>
    <row r="60" spans="1:15" s="15" customFormat="1" ht="11.1" customHeight="1" outlineLevel="1" x14ac:dyDescent="0.2">
      <c r="A60" s="409"/>
      <c r="B60" s="76" t="s">
        <v>11</v>
      </c>
      <c r="C60" s="82" t="s">
        <v>159</v>
      </c>
      <c r="D60" s="410"/>
      <c r="E60" s="410"/>
      <c r="F60" s="150" t="s">
        <v>7</v>
      </c>
      <c r="G60" s="138">
        <v>675282.4</v>
      </c>
      <c r="H60" s="138">
        <f>ROUNDUP(316272+M60,0)+0.4</f>
        <v>618731.4</v>
      </c>
      <c r="I60" s="160">
        <f t="shared" si="19"/>
        <v>91.625577684239957</v>
      </c>
      <c r="J60" s="138">
        <v>230733</v>
      </c>
      <c r="K60" s="138">
        <f t="shared" si="21"/>
        <v>128277</v>
      </c>
      <c r="L60" s="138">
        <v>359010</v>
      </c>
      <c r="M60" s="80">
        <v>302458.68</v>
      </c>
      <c r="N60" s="81">
        <f t="shared" si="20"/>
        <v>84.247981950363496</v>
      </c>
      <c r="O60" s="406"/>
    </row>
    <row r="61" spans="1:15" s="15" customFormat="1" ht="11.1" customHeight="1" outlineLevel="1" x14ac:dyDescent="0.2">
      <c r="A61" s="117"/>
      <c r="B61" s="76" t="s">
        <v>12</v>
      </c>
      <c r="C61" s="148" t="s">
        <v>275</v>
      </c>
      <c r="D61" s="194"/>
      <c r="E61" s="108"/>
      <c r="F61" s="150" t="s">
        <v>8</v>
      </c>
      <c r="G61" s="138">
        <v>0</v>
      </c>
      <c r="H61" s="138">
        <f>ROUNDUP(0+M61,0)</f>
        <v>0</v>
      </c>
      <c r="I61" s="160" t="str">
        <f t="shared" si="19"/>
        <v>-</v>
      </c>
      <c r="J61" s="138">
        <v>0</v>
      </c>
      <c r="K61" s="138">
        <f t="shared" si="21"/>
        <v>0</v>
      </c>
      <c r="L61" s="138">
        <v>0</v>
      </c>
      <c r="M61" s="80">
        <v>0</v>
      </c>
      <c r="N61" s="81" t="str">
        <f t="shared" si="20"/>
        <v>-</v>
      </c>
      <c r="O61" s="406"/>
    </row>
    <row r="62" spans="1:15" s="15" customFormat="1" ht="11.1" customHeight="1" outlineLevel="1" x14ac:dyDescent="0.2">
      <c r="A62" s="117"/>
      <c r="B62" s="76" t="s">
        <v>23</v>
      </c>
      <c r="C62" s="201" t="s">
        <v>170</v>
      </c>
      <c r="D62" s="194"/>
      <c r="E62" s="108"/>
      <c r="F62" s="150" t="s">
        <v>22</v>
      </c>
      <c r="G62" s="138">
        <v>119167</v>
      </c>
      <c r="H62" s="138">
        <f>ROUNDUP(55813+M62,0)</f>
        <v>109189</v>
      </c>
      <c r="I62" s="160">
        <f t="shared" si="19"/>
        <v>91.626876568177423</v>
      </c>
      <c r="J62" s="138">
        <v>40717</v>
      </c>
      <c r="K62" s="138">
        <f t="shared" si="21"/>
        <v>22637</v>
      </c>
      <c r="L62" s="138">
        <v>63354</v>
      </c>
      <c r="M62" s="80">
        <v>53375.06</v>
      </c>
      <c r="N62" s="81">
        <f t="shared" si="20"/>
        <v>84.248918773873783</v>
      </c>
      <c r="O62" s="406"/>
    </row>
    <row r="63" spans="1:15" s="15" customFormat="1" ht="11.1" customHeight="1" outlineLevel="1" x14ac:dyDescent="0.2">
      <c r="A63" s="117"/>
      <c r="B63" s="76"/>
      <c r="C63" s="201" t="s">
        <v>171</v>
      </c>
      <c r="D63" s="156"/>
      <c r="E63" s="151"/>
      <c r="F63" s="106" t="s">
        <v>45</v>
      </c>
      <c r="G63" s="139">
        <v>0</v>
      </c>
      <c r="H63" s="138">
        <f>ROUNDUP(0+M63,0)</f>
        <v>0</v>
      </c>
      <c r="I63" s="81" t="str">
        <f t="shared" si="19"/>
        <v>-</v>
      </c>
      <c r="J63" s="138">
        <v>0</v>
      </c>
      <c r="K63" s="138">
        <f t="shared" si="21"/>
        <v>0</v>
      </c>
      <c r="L63" s="138">
        <v>0</v>
      </c>
      <c r="M63" s="80">
        <v>0</v>
      </c>
      <c r="N63" s="81" t="str">
        <f t="shared" si="20"/>
        <v>-</v>
      </c>
      <c r="O63" s="406"/>
    </row>
    <row r="64" spans="1:15" s="15" customFormat="1" ht="11.1" customHeight="1" outlineLevel="1" x14ac:dyDescent="0.2">
      <c r="A64" s="186"/>
      <c r="B64" s="76"/>
      <c r="C64" s="201" t="s">
        <v>172</v>
      </c>
      <c r="D64" s="156"/>
      <c r="E64" s="151"/>
      <c r="F64" s="106" t="s">
        <v>359</v>
      </c>
      <c r="G64" s="139">
        <v>0</v>
      </c>
      <c r="H64" s="138">
        <f>ROUNDUP(0+M64,0)</f>
        <v>0</v>
      </c>
      <c r="I64" s="81" t="str">
        <f t="shared" si="19"/>
        <v>-</v>
      </c>
      <c r="J64" s="138">
        <v>0</v>
      </c>
      <c r="K64" s="138">
        <f t="shared" si="21"/>
        <v>0</v>
      </c>
      <c r="L64" s="138">
        <v>0</v>
      </c>
      <c r="M64" s="80">
        <v>0</v>
      </c>
      <c r="N64" s="81" t="str">
        <f t="shared" si="20"/>
        <v>-</v>
      </c>
      <c r="O64" s="406"/>
    </row>
    <row r="65" spans="1:15" s="15" customFormat="1" ht="11.1" customHeight="1" outlineLevel="1" x14ac:dyDescent="0.2">
      <c r="A65" s="186"/>
      <c r="B65" s="76"/>
      <c r="C65" s="201" t="s">
        <v>173</v>
      </c>
      <c r="D65" s="156"/>
      <c r="E65" s="186"/>
      <c r="F65" s="79"/>
      <c r="G65" s="206"/>
      <c r="H65" s="206"/>
      <c r="I65" s="160"/>
      <c r="J65" s="206"/>
      <c r="K65" s="138"/>
      <c r="L65" s="211"/>
      <c r="M65" s="80"/>
      <c r="N65" s="117"/>
      <c r="O65" s="406"/>
    </row>
    <row r="66" spans="1:15" s="15" customFormat="1" ht="11.1" customHeight="1" outlineLevel="1" x14ac:dyDescent="0.2">
      <c r="A66" s="186"/>
      <c r="B66" s="76"/>
      <c r="C66" s="201" t="s">
        <v>174</v>
      </c>
      <c r="D66" s="156"/>
      <c r="E66" s="186"/>
      <c r="F66" s="79"/>
      <c r="G66" s="206"/>
      <c r="H66" s="206"/>
      <c r="I66" s="160"/>
      <c r="J66" s="206"/>
      <c r="K66" s="138"/>
      <c r="L66" s="211"/>
      <c r="M66" s="80"/>
      <c r="N66" s="117"/>
      <c r="O66" s="406"/>
    </row>
    <row r="67" spans="1:15" s="15" customFormat="1" ht="13.5" customHeight="1" outlineLevel="1" x14ac:dyDescent="0.2">
      <c r="A67" s="186"/>
      <c r="B67" s="76"/>
      <c r="C67" s="201" t="s">
        <v>175</v>
      </c>
      <c r="D67" s="156"/>
      <c r="E67" s="186"/>
      <c r="F67" s="79"/>
      <c r="G67" s="206"/>
      <c r="H67" s="206"/>
      <c r="I67" s="160"/>
      <c r="J67" s="206"/>
      <c r="K67" s="138"/>
      <c r="L67" s="211"/>
      <c r="M67" s="80"/>
      <c r="N67" s="117"/>
      <c r="O67" s="406"/>
    </row>
    <row r="68" spans="1:15" s="15" customFormat="1" ht="12.75" customHeight="1" outlineLevel="1" x14ac:dyDescent="0.2">
      <c r="A68" s="186"/>
      <c r="B68" s="76"/>
      <c r="C68" s="201" t="s">
        <v>176</v>
      </c>
      <c r="D68" s="156"/>
      <c r="E68" s="186"/>
      <c r="F68" s="79"/>
      <c r="G68" s="206"/>
      <c r="H68" s="206"/>
      <c r="I68" s="160"/>
      <c r="J68" s="206"/>
      <c r="K68" s="138"/>
      <c r="L68" s="211"/>
      <c r="M68" s="80"/>
      <c r="N68" s="117"/>
      <c r="O68" s="406"/>
    </row>
    <row r="69" spans="1:15" s="15" customFormat="1" ht="3.95" customHeight="1" outlineLevel="1" x14ac:dyDescent="0.2">
      <c r="A69" s="157"/>
      <c r="B69" s="85"/>
      <c r="C69" s="203"/>
      <c r="D69" s="287"/>
      <c r="E69" s="157"/>
      <c r="F69" s="158"/>
      <c r="G69" s="207"/>
      <c r="H69" s="207"/>
      <c r="I69" s="161"/>
      <c r="J69" s="207"/>
      <c r="K69" s="141"/>
      <c r="L69" s="288"/>
      <c r="M69" s="338"/>
      <c r="N69" s="118"/>
      <c r="O69" s="407"/>
    </row>
    <row r="70" spans="1:15" s="15" customFormat="1" ht="3.95" customHeight="1" outlineLevel="1" x14ac:dyDescent="0.2">
      <c r="A70" s="185"/>
      <c r="B70" s="72"/>
      <c r="C70" s="202"/>
      <c r="D70" s="191"/>
      <c r="E70" s="185"/>
      <c r="F70" s="192"/>
      <c r="G70" s="208"/>
      <c r="H70" s="208"/>
      <c r="I70" s="193"/>
      <c r="J70" s="208"/>
      <c r="K70" s="136"/>
      <c r="L70" s="209"/>
      <c r="M70" s="154"/>
      <c r="N70" s="152"/>
      <c r="O70" s="426" t="s">
        <v>604</v>
      </c>
    </row>
    <row r="71" spans="1:15" s="15" customFormat="1" ht="11.1" customHeight="1" outlineLevel="1" x14ac:dyDescent="0.2">
      <c r="A71" s="409" t="s">
        <v>61</v>
      </c>
      <c r="B71" s="76" t="s">
        <v>9</v>
      </c>
      <c r="C71" s="77" t="s">
        <v>55</v>
      </c>
      <c r="D71" s="410" t="s">
        <v>51</v>
      </c>
      <c r="E71" s="410" t="s">
        <v>164</v>
      </c>
      <c r="F71" s="78" t="s">
        <v>157</v>
      </c>
      <c r="G71" s="137">
        <f>SUM(G72:G77)</f>
        <v>199423</v>
      </c>
      <c r="H71" s="241">
        <f>SUM(H72:H77)</f>
        <v>188008</v>
      </c>
      <c r="I71" s="159">
        <f t="shared" ref="I71:I77" si="22">IF(G71&gt;0,H71/G71*100,"-")</f>
        <v>94.275986220245414</v>
      </c>
      <c r="J71" s="137">
        <f>SUM(J72:J75)</f>
        <v>37325</v>
      </c>
      <c r="K71" s="137">
        <f>SUM(K72:K75)</f>
        <v>8632</v>
      </c>
      <c r="L71" s="213">
        <f>SUM(L72:L75)</f>
        <v>45957</v>
      </c>
      <c r="M71" s="38">
        <f>SUM(M72:M75)</f>
        <v>34540.17</v>
      </c>
      <c r="N71" s="39">
        <f t="shared" ref="N71:N77" si="23">IF(L71&gt;0,M71/L71*100,"-")</f>
        <v>75.157582087603629</v>
      </c>
      <c r="O71" s="406"/>
    </row>
    <row r="72" spans="1:15" s="15" customFormat="1" ht="11.1" customHeight="1" outlineLevel="1" x14ac:dyDescent="0.2">
      <c r="A72" s="409"/>
      <c r="B72" s="76" t="s">
        <v>10</v>
      </c>
      <c r="C72" s="77" t="s">
        <v>158</v>
      </c>
      <c r="D72" s="410"/>
      <c r="E72" s="410"/>
      <c r="F72" s="79" t="s">
        <v>15</v>
      </c>
      <c r="G72" s="138">
        <v>13478</v>
      </c>
      <c r="H72" s="138">
        <f>ROUNDUP(13478+M72,0)</f>
        <v>13478</v>
      </c>
      <c r="I72" s="160">
        <f t="shared" si="22"/>
        <v>100</v>
      </c>
      <c r="J72" s="138">
        <v>0</v>
      </c>
      <c r="K72" s="138">
        <f t="shared" ref="K72:K77" si="24">L72-J72</f>
        <v>0</v>
      </c>
      <c r="L72" s="138">
        <v>0</v>
      </c>
      <c r="M72" s="80">
        <v>0</v>
      </c>
      <c r="N72" s="81" t="str">
        <f t="shared" si="23"/>
        <v>-</v>
      </c>
      <c r="O72" s="406"/>
    </row>
    <row r="73" spans="1:15" s="15" customFormat="1" ht="11.1" customHeight="1" outlineLevel="1" x14ac:dyDescent="0.2">
      <c r="A73" s="409"/>
      <c r="B73" s="76" t="s">
        <v>11</v>
      </c>
      <c r="C73" s="82" t="s">
        <v>160</v>
      </c>
      <c r="D73" s="410"/>
      <c r="E73" s="410"/>
      <c r="F73" s="79" t="s">
        <v>7</v>
      </c>
      <c r="G73" s="138">
        <v>169507</v>
      </c>
      <c r="H73" s="138">
        <f>ROUNDUP(130446+M73,0)</f>
        <v>159806</v>
      </c>
      <c r="I73" s="160">
        <f t="shared" si="22"/>
        <v>94.276932516061279</v>
      </c>
      <c r="J73" s="138">
        <v>31726</v>
      </c>
      <c r="K73" s="138">
        <f t="shared" si="24"/>
        <v>7335</v>
      </c>
      <c r="L73" s="138">
        <v>39061</v>
      </c>
      <c r="M73" s="80">
        <v>29359.14</v>
      </c>
      <c r="N73" s="81">
        <f t="shared" si="23"/>
        <v>75.162284631729861</v>
      </c>
      <c r="O73" s="406"/>
    </row>
    <row r="74" spans="1:15" s="15" customFormat="1" ht="11.1" customHeight="1" outlineLevel="1" x14ac:dyDescent="0.2">
      <c r="A74" s="117"/>
      <c r="B74" s="76" t="s">
        <v>12</v>
      </c>
      <c r="C74" s="148" t="s">
        <v>179</v>
      </c>
      <c r="D74" s="194"/>
      <c r="E74" s="108"/>
      <c r="F74" s="79" t="s">
        <v>8</v>
      </c>
      <c r="G74" s="138">
        <v>0</v>
      </c>
      <c r="H74" s="138">
        <f>ROUNDUP(0+M74,0)</f>
        <v>0</v>
      </c>
      <c r="I74" s="160" t="str">
        <f t="shared" si="22"/>
        <v>-</v>
      </c>
      <c r="J74" s="138">
        <v>0</v>
      </c>
      <c r="K74" s="138">
        <f t="shared" si="24"/>
        <v>0</v>
      </c>
      <c r="L74" s="138">
        <v>0</v>
      </c>
      <c r="M74" s="80">
        <v>0</v>
      </c>
      <c r="N74" s="81" t="str">
        <f t="shared" si="23"/>
        <v>-</v>
      </c>
      <c r="O74" s="406"/>
    </row>
    <row r="75" spans="1:15" s="15" customFormat="1" ht="11.1" customHeight="1" outlineLevel="1" x14ac:dyDescent="0.2">
      <c r="A75" s="117"/>
      <c r="B75" s="76"/>
      <c r="C75" s="82" t="s">
        <v>180</v>
      </c>
      <c r="D75" s="194"/>
      <c r="E75" s="108"/>
      <c r="F75" s="79" t="s">
        <v>22</v>
      </c>
      <c r="G75" s="138">
        <v>16438</v>
      </c>
      <c r="H75" s="138">
        <f>ROUNDUP(9542+M75,0)</f>
        <v>14724</v>
      </c>
      <c r="I75" s="160">
        <f t="shared" si="22"/>
        <v>89.572940747049529</v>
      </c>
      <c r="J75" s="138">
        <v>5599</v>
      </c>
      <c r="K75" s="138">
        <f t="shared" si="24"/>
        <v>1297</v>
      </c>
      <c r="L75" s="138">
        <v>6896</v>
      </c>
      <c r="M75" s="80">
        <v>5181.03</v>
      </c>
      <c r="N75" s="81">
        <f t="shared" si="23"/>
        <v>75.130945475638043</v>
      </c>
      <c r="O75" s="406"/>
    </row>
    <row r="76" spans="1:15" s="15" customFormat="1" ht="11.1" customHeight="1" outlineLevel="1" x14ac:dyDescent="0.2">
      <c r="A76" s="117"/>
      <c r="B76" s="76" t="s">
        <v>23</v>
      </c>
      <c r="C76" s="82" t="s">
        <v>161</v>
      </c>
      <c r="D76" s="194"/>
      <c r="E76" s="108"/>
      <c r="F76" s="106" t="s">
        <v>45</v>
      </c>
      <c r="G76" s="139">
        <v>0</v>
      </c>
      <c r="H76" s="138">
        <f>ROUNDUP(0+M76,0)</f>
        <v>0</v>
      </c>
      <c r="I76" s="81" t="str">
        <f t="shared" si="22"/>
        <v>-</v>
      </c>
      <c r="J76" s="138">
        <v>0</v>
      </c>
      <c r="K76" s="138">
        <f t="shared" si="24"/>
        <v>0</v>
      </c>
      <c r="L76" s="138">
        <v>0</v>
      </c>
      <c r="M76" s="80">
        <v>0</v>
      </c>
      <c r="N76" s="81" t="str">
        <f t="shared" si="23"/>
        <v>-</v>
      </c>
      <c r="O76" s="406"/>
    </row>
    <row r="77" spans="1:15" s="15" customFormat="1" ht="11.1" customHeight="1" outlineLevel="1" x14ac:dyDescent="0.2">
      <c r="A77" s="117"/>
      <c r="B77" s="76"/>
      <c r="C77" s="82"/>
      <c r="D77" s="194"/>
      <c r="E77" s="108"/>
      <c r="F77" s="106" t="s">
        <v>359</v>
      </c>
      <c r="G77" s="139">
        <v>0</v>
      </c>
      <c r="H77" s="138">
        <f>ROUNDUP(0+M77,0)</f>
        <v>0</v>
      </c>
      <c r="I77" s="81" t="str">
        <f t="shared" si="22"/>
        <v>-</v>
      </c>
      <c r="J77" s="138">
        <v>0</v>
      </c>
      <c r="K77" s="138">
        <f t="shared" si="24"/>
        <v>0</v>
      </c>
      <c r="L77" s="138">
        <v>0</v>
      </c>
      <c r="M77" s="80">
        <v>0</v>
      </c>
      <c r="N77" s="81" t="str">
        <f t="shared" si="23"/>
        <v>-</v>
      </c>
      <c r="O77" s="406"/>
    </row>
    <row r="78" spans="1:15" s="15" customFormat="1" ht="11.1" customHeight="1" outlineLevel="1" x14ac:dyDescent="0.2">
      <c r="A78" s="117"/>
      <c r="B78" s="76"/>
      <c r="C78" s="82"/>
      <c r="D78" s="194"/>
      <c r="E78" s="330"/>
      <c r="F78" s="79"/>
      <c r="G78" s="139"/>
      <c r="H78" s="138"/>
      <c r="I78" s="160"/>
      <c r="J78" s="138"/>
      <c r="K78" s="138"/>
      <c r="L78" s="212"/>
      <c r="M78" s="83"/>
      <c r="N78" s="81"/>
      <c r="O78" s="406"/>
    </row>
    <row r="79" spans="1:15" s="15" customFormat="1" ht="3.95" customHeight="1" outlineLevel="1" x14ac:dyDescent="0.2">
      <c r="A79" s="84"/>
      <c r="B79" s="85"/>
      <c r="C79" s="86"/>
      <c r="D79" s="195"/>
      <c r="E79" s="187"/>
      <c r="F79" s="158"/>
      <c r="G79" s="207"/>
      <c r="H79" s="207"/>
      <c r="I79" s="161"/>
      <c r="J79" s="207"/>
      <c r="K79" s="141"/>
      <c r="L79" s="214"/>
      <c r="M79" s="338"/>
      <c r="N79" s="88"/>
      <c r="O79" s="407"/>
    </row>
    <row r="80" spans="1:15" s="15" customFormat="1" ht="3.95" customHeight="1" outlineLevel="1" x14ac:dyDescent="0.2">
      <c r="A80" s="185"/>
      <c r="B80" s="72"/>
      <c r="C80" s="202"/>
      <c r="D80" s="191"/>
      <c r="E80" s="185"/>
      <c r="F80" s="192"/>
      <c r="G80" s="208"/>
      <c r="H80" s="208"/>
      <c r="I80" s="193"/>
      <c r="J80" s="208"/>
      <c r="K80" s="136"/>
      <c r="L80" s="209"/>
      <c r="M80" s="154"/>
      <c r="N80" s="152"/>
      <c r="O80" s="426" t="s">
        <v>606</v>
      </c>
    </row>
    <row r="81" spans="1:15" s="15" customFormat="1" ht="11.1" customHeight="1" outlineLevel="1" x14ac:dyDescent="0.2">
      <c r="A81" s="409" t="s">
        <v>76</v>
      </c>
      <c r="B81" s="76" t="s">
        <v>9</v>
      </c>
      <c r="C81" s="77" t="s">
        <v>55</v>
      </c>
      <c r="D81" s="410" t="s">
        <v>366</v>
      </c>
      <c r="E81" s="410" t="s">
        <v>165</v>
      </c>
      <c r="F81" s="78" t="s">
        <v>157</v>
      </c>
      <c r="G81" s="137">
        <f>SUM(G82:G87)</f>
        <v>818607</v>
      </c>
      <c r="H81" s="241">
        <f>SUM(H82:H87)</f>
        <v>69123</v>
      </c>
      <c r="I81" s="159">
        <f t="shared" ref="I81:I87" si="25">IF(G81&gt;0,H81/G81*100,"-")</f>
        <v>8.4439786124477312</v>
      </c>
      <c r="J81" s="137">
        <f>SUM(J82:J85)</f>
        <v>0</v>
      </c>
      <c r="K81" s="137">
        <f>SUM(K82:K85)</f>
        <v>108535</v>
      </c>
      <c r="L81" s="213">
        <f>SUM(L82:L85)</f>
        <v>108535</v>
      </c>
      <c r="M81" s="38">
        <f>SUM(M82:M85)</f>
        <v>69121.649999999994</v>
      </c>
      <c r="N81" s="39">
        <f t="shared" ref="N81:N87" si="26">IF(L81&gt;0,M81/L81*100,"-")</f>
        <v>63.686045975952453</v>
      </c>
      <c r="O81" s="406"/>
    </row>
    <row r="82" spans="1:15" s="15" customFormat="1" ht="11.1" customHeight="1" outlineLevel="1" x14ac:dyDescent="0.2">
      <c r="A82" s="409"/>
      <c r="B82" s="76" t="s">
        <v>10</v>
      </c>
      <c r="C82" s="77" t="s">
        <v>158</v>
      </c>
      <c r="D82" s="410"/>
      <c r="E82" s="410"/>
      <c r="F82" s="79" t="s">
        <v>15</v>
      </c>
      <c r="G82" s="138">
        <v>0</v>
      </c>
      <c r="H82" s="138">
        <f t="shared" ref="H82:H87" si="27">ROUNDUP(0+M82,0)</f>
        <v>0</v>
      </c>
      <c r="I82" s="160" t="str">
        <f t="shared" si="25"/>
        <v>-</v>
      </c>
      <c r="J82" s="138">
        <v>0</v>
      </c>
      <c r="K82" s="138">
        <f t="shared" ref="K82:K87" si="28">L82-J82</f>
        <v>0</v>
      </c>
      <c r="L82" s="138">
        <v>0</v>
      </c>
      <c r="M82" s="80">
        <v>0</v>
      </c>
      <c r="N82" s="81" t="str">
        <f t="shared" si="26"/>
        <v>-</v>
      </c>
      <c r="O82" s="406"/>
    </row>
    <row r="83" spans="1:15" s="15" customFormat="1" ht="11.1" customHeight="1" outlineLevel="1" x14ac:dyDescent="0.2">
      <c r="A83" s="409"/>
      <c r="B83" s="76" t="s">
        <v>11</v>
      </c>
      <c r="C83" s="82" t="s">
        <v>159</v>
      </c>
      <c r="D83" s="410"/>
      <c r="E83" s="410"/>
      <c r="F83" s="79" t="s">
        <v>7</v>
      </c>
      <c r="G83" s="138">
        <v>695816</v>
      </c>
      <c r="H83" s="138">
        <f t="shared" si="27"/>
        <v>58754</v>
      </c>
      <c r="I83" s="160">
        <f t="shared" si="25"/>
        <v>8.4438989617944973</v>
      </c>
      <c r="J83" s="138">
        <v>0</v>
      </c>
      <c r="K83" s="138">
        <f t="shared" si="28"/>
        <v>92255</v>
      </c>
      <c r="L83" s="138">
        <v>92255</v>
      </c>
      <c r="M83" s="80">
        <v>58753.4</v>
      </c>
      <c r="N83" s="81">
        <f t="shared" si="26"/>
        <v>63.685870684515741</v>
      </c>
      <c r="O83" s="406"/>
    </row>
    <row r="84" spans="1:15" s="15" customFormat="1" ht="11.1" customHeight="1" outlineLevel="1" x14ac:dyDescent="0.2">
      <c r="A84" s="117"/>
      <c r="B84" s="76" t="s">
        <v>12</v>
      </c>
      <c r="C84" s="148" t="s">
        <v>362</v>
      </c>
      <c r="D84" s="194"/>
      <c r="E84" s="108"/>
      <c r="F84" s="79" t="s">
        <v>8</v>
      </c>
      <c r="G84" s="138">
        <v>0</v>
      </c>
      <c r="H84" s="138">
        <f t="shared" si="27"/>
        <v>0</v>
      </c>
      <c r="I84" s="160" t="str">
        <f t="shared" si="25"/>
        <v>-</v>
      </c>
      <c r="J84" s="138">
        <v>0</v>
      </c>
      <c r="K84" s="138">
        <f t="shared" si="28"/>
        <v>0</v>
      </c>
      <c r="L84" s="138">
        <v>0</v>
      </c>
      <c r="M84" s="80">
        <v>0</v>
      </c>
      <c r="N84" s="81" t="str">
        <f t="shared" si="26"/>
        <v>-</v>
      </c>
      <c r="O84" s="406"/>
    </row>
    <row r="85" spans="1:15" s="15" customFormat="1" ht="11.1" customHeight="1" outlineLevel="1" x14ac:dyDescent="0.2">
      <c r="A85" s="117"/>
      <c r="B85" s="76"/>
      <c r="C85" s="82" t="s">
        <v>363</v>
      </c>
      <c r="D85" s="194"/>
      <c r="E85" s="108"/>
      <c r="F85" s="79" t="s">
        <v>22</v>
      </c>
      <c r="G85" s="138">
        <v>122791</v>
      </c>
      <c r="H85" s="138">
        <f t="shared" si="27"/>
        <v>10369</v>
      </c>
      <c r="I85" s="160">
        <f t="shared" si="25"/>
        <v>8.4444299663656128</v>
      </c>
      <c r="J85" s="138">
        <v>0</v>
      </c>
      <c r="K85" s="138">
        <f t="shared" si="28"/>
        <v>16280</v>
      </c>
      <c r="L85" s="138">
        <v>16280</v>
      </c>
      <c r="M85" s="80">
        <v>10368.25</v>
      </c>
      <c r="N85" s="81">
        <f t="shared" si="26"/>
        <v>63.687039312039317</v>
      </c>
      <c r="O85" s="406"/>
    </row>
    <row r="86" spans="1:15" s="15" customFormat="1" ht="11.1" customHeight="1" outlineLevel="1" x14ac:dyDescent="0.2">
      <c r="A86" s="117"/>
      <c r="B86" s="76"/>
      <c r="C86" s="82" t="s">
        <v>364</v>
      </c>
      <c r="D86" s="194"/>
      <c r="E86" s="108"/>
      <c r="F86" s="106" t="s">
        <v>45</v>
      </c>
      <c r="G86" s="139">
        <v>0</v>
      </c>
      <c r="H86" s="138">
        <f t="shared" si="27"/>
        <v>0</v>
      </c>
      <c r="I86" s="81" t="str">
        <f t="shared" si="25"/>
        <v>-</v>
      </c>
      <c r="J86" s="138">
        <v>0</v>
      </c>
      <c r="K86" s="138">
        <f t="shared" si="28"/>
        <v>0</v>
      </c>
      <c r="L86" s="138">
        <v>0</v>
      </c>
      <c r="M86" s="80">
        <v>0</v>
      </c>
      <c r="N86" s="81" t="str">
        <f t="shared" si="26"/>
        <v>-</v>
      </c>
      <c r="O86" s="406"/>
    </row>
    <row r="87" spans="1:15" s="15" customFormat="1" ht="11.1" customHeight="1" outlineLevel="1" x14ac:dyDescent="0.2">
      <c r="A87" s="117"/>
      <c r="B87" s="76" t="s">
        <v>23</v>
      </c>
      <c r="C87" s="82" t="s">
        <v>365</v>
      </c>
      <c r="D87" s="194"/>
      <c r="E87" s="108"/>
      <c r="F87" s="106" t="s">
        <v>359</v>
      </c>
      <c r="G87" s="139">
        <v>0</v>
      </c>
      <c r="H87" s="138">
        <f t="shared" si="27"/>
        <v>0</v>
      </c>
      <c r="I87" s="81" t="str">
        <f t="shared" si="25"/>
        <v>-</v>
      </c>
      <c r="J87" s="138">
        <v>0</v>
      </c>
      <c r="K87" s="138">
        <f t="shared" si="28"/>
        <v>0</v>
      </c>
      <c r="L87" s="138">
        <v>0</v>
      </c>
      <c r="M87" s="80">
        <v>0</v>
      </c>
      <c r="N87" s="81" t="str">
        <f t="shared" si="26"/>
        <v>-</v>
      </c>
      <c r="O87" s="406"/>
    </row>
    <row r="88" spans="1:15" s="15" customFormat="1" ht="3.95" customHeight="1" outlineLevel="1" x14ac:dyDescent="0.2">
      <c r="A88" s="84"/>
      <c r="B88" s="85"/>
      <c r="C88" s="86"/>
      <c r="D88" s="195"/>
      <c r="E88" s="187"/>
      <c r="F88" s="158"/>
      <c r="G88" s="207"/>
      <c r="H88" s="207"/>
      <c r="I88" s="161"/>
      <c r="J88" s="207"/>
      <c r="K88" s="141"/>
      <c r="L88" s="214"/>
      <c r="M88" s="338"/>
      <c r="N88" s="88"/>
      <c r="O88" s="407"/>
    </row>
    <row r="89" spans="1:15" s="15" customFormat="1" ht="3.95" customHeight="1" outlineLevel="1" x14ac:dyDescent="0.2">
      <c r="A89" s="185"/>
      <c r="B89" s="72"/>
      <c r="C89" s="202"/>
      <c r="D89" s="191"/>
      <c r="E89" s="185"/>
      <c r="F89" s="192"/>
      <c r="G89" s="208"/>
      <c r="H89" s="208"/>
      <c r="I89" s="193"/>
      <c r="J89" s="208"/>
      <c r="K89" s="136"/>
      <c r="L89" s="209"/>
      <c r="M89" s="154"/>
      <c r="N89" s="152"/>
      <c r="O89" s="426" t="s">
        <v>603</v>
      </c>
    </row>
    <row r="90" spans="1:15" s="15" customFormat="1" ht="11.1" customHeight="1" outlineLevel="1" x14ac:dyDescent="0.2">
      <c r="A90" s="409" t="s">
        <v>77</v>
      </c>
      <c r="B90" s="76" t="s">
        <v>9</v>
      </c>
      <c r="C90" s="77" t="s">
        <v>55</v>
      </c>
      <c r="D90" s="410" t="s">
        <v>366</v>
      </c>
      <c r="E90" s="410" t="s">
        <v>164</v>
      </c>
      <c r="F90" s="78" t="s">
        <v>157</v>
      </c>
      <c r="G90" s="137">
        <f>SUM(G91:G96)</f>
        <v>2474300</v>
      </c>
      <c r="H90" s="241">
        <f>SUM(H91:H96)</f>
        <v>473656</v>
      </c>
      <c r="I90" s="159">
        <f t="shared" ref="I90:I96" si="29">IF(G90&gt;0,H90/G90*100,"-")</f>
        <v>19.143030352018751</v>
      </c>
      <c r="J90" s="137">
        <f>SUM(J91:J94)</f>
        <v>0</v>
      </c>
      <c r="K90" s="137">
        <f>SUM(K91:K94)</f>
        <v>828600</v>
      </c>
      <c r="L90" s="213">
        <f>SUM(L91:L94)</f>
        <v>828600</v>
      </c>
      <c r="M90" s="38">
        <f>SUM(M91:M94)</f>
        <v>473654.94</v>
      </c>
      <c r="N90" s="39">
        <f t="shared" ref="N90:N96" si="30">IF(L90&gt;0,M90/L90*100,"-")</f>
        <v>57.163280231716151</v>
      </c>
      <c r="O90" s="406"/>
    </row>
    <row r="91" spans="1:15" s="15" customFormat="1" ht="11.1" customHeight="1" outlineLevel="1" x14ac:dyDescent="0.2">
      <c r="A91" s="409"/>
      <c r="B91" s="76" t="s">
        <v>10</v>
      </c>
      <c r="C91" s="77" t="s">
        <v>158</v>
      </c>
      <c r="D91" s="410"/>
      <c r="E91" s="410"/>
      <c r="F91" s="79" t="s">
        <v>15</v>
      </c>
      <c r="G91" s="138">
        <v>0</v>
      </c>
      <c r="H91" s="138">
        <f t="shared" ref="H91:H96" si="31">ROUNDUP(0+M91,0)</f>
        <v>0</v>
      </c>
      <c r="I91" s="160" t="str">
        <f t="shared" si="29"/>
        <v>-</v>
      </c>
      <c r="J91" s="138">
        <v>0</v>
      </c>
      <c r="K91" s="138">
        <f t="shared" ref="K91:K96" si="32">L91-J91</f>
        <v>0</v>
      </c>
      <c r="L91" s="138">
        <v>0</v>
      </c>
      <c r="M91" s="80">
        <v>0</v>
      </c>
      <c r="N91" s="81" t="str">
        <f t="shared" si="30"/>
        <v>-</v>
      </c>
      <c r="O91" s="406"/>
    </row>
    <row r="92" spans="1:15" s="15" customFormat="1" ht="11.1" customHeight="1" outlineLevel="1" x14ac:dyDescent="0.2">
      <c r="A92" s="409"/>
      <c r="B92" s="76" t="s">
        <v>11</v>
      </c>
      <c r="C92" s="82" t="s">
        <v>159</v>
      </c>
      <c r="D92" s="410"/>
      <c r="E92" s="410"/>
      <c r="F92" s="79" t="s">
        <v>7</v>
      </c>
      <c r="G92" s="138">
        <v>2103155</v>
      </c>
      <c r="H92" s="138">
        <f t="shared" si="31"/>
        <v>402607</v>
      </c>
      <c r="I92" s="160">
        <f t="shared" si="29"/>
        <v>19.143001823450959</v>
      </c>
      <c r="J92" s="138">
        <v>0</v>
      </c>
      <c r="K92" s="138">
        <f t="shared" si="32"/>
        <v>704310</v>
      </c>
      <c r="L92" s="138">
        <v>704310</v>
      </c>
      <c r="M92" s="80">
        <v>402606.69</v>
      </c>
      <c r="N92" s="81">
        <f t="shared" si="30"/>
        <v>57.163278953869742</v>
      </c>
      <c r="O92" s="406"/>
    </row>
    <row r="93" spans="1:15" s="15" customFormat="1" ht="11.1" customHeight="1" outlineLevel="1" x14ac:dyDescent="0.2">
      <c r="A93" s="117"/>
      <c r="B93" s="76" t="s">
        <v>12</v>
      </c>
      <c r="C93" s="148" t="s">
        <v>367</v>
      </c>
      <c r="D93" s="194"/>
      <c r="E93" s="108"/>
      <c r="F93" s="79" t="s">
        <v>8</v>
      </c>
      <c r="G93" s="138">
        <v>0</v>
      </c>
      <c r="H93" s="138">
        <f t="shared" si="31"/>
        <v>0</v>
      </c>
      <c r="I93" s="160" t="str">
        <f t="shared" si="29"/>
        <v>-</v>
      </c>
      <c r="J93" s="138">
        <v>0</v>
      </c>
      <c r="K93" s="138">
        <f t="shared" si="32"/>
        <v>0</v>
      </c>
      <c r="L93" s="138">
        <v>0</v>
      </c>
      <c r="M93" s="80">
        <v>0</v>
      </c>
      <c r="N93" s="81" t="str">
        <f t="shared" si="30"/>
        <v>-</v>
      </c>
      <c r="O93" s="406"/>
    </row>
    <row r="94" spans="1:15" s="15" customFormat="1" ht="11.1" customHeight="1" outlineLevel="1" x14ac:dyDescent="0.2">
      <c r="A94" s="117"/>
      <c r="B94" s="76" t="s">
        <v>23</v>
      </c>
      <c r="C94" s="82" t="s">
        <v>368</v>
      </c>
      <c r="D94" s="194"/>
      <c r="E94" s="108"/>
      <c r="F94" s="79" t="s">
        <v>22</v>
      </c>
      <c r="G94" s="138">
        <v>371145</v>
      </c>
      <c r="H94" s="138">
        <f t="shared" si="31"/>
        <v>71049</v>
      </c>
      <c r="I94" s="160">
        <f t="shared" si="29"/>
        <v>19.143192013902922</v>
      </c>
      <c r="J94" s="138">
        <v>0</v>
      </c>
      <c r="K94" s="138">
        <f t="shared" si="32"/>
        <v>124290</v>
      </c>
      <c r="L94" s="138">
        <v>124290</v>
      </c>
      <c r="M94" s="80">
        <v>71048.25</v>
      </c>
      <c r="N94" s="81">
        <f t="shared" si="30"/>
        <v>57.163287472845759</v>
      </c>
      <c r="O94" s="406"/>
    </row>
    <row r="95" spans="1:15" s="15" customFormat="1" ht="11.1" customHeight="1" outlineLevel="1" x14ac:dyDescent="0.2">
      <c r="A95" s="117"/>
      <c r="B95" s="76"/>
      <c r="C95" s="82" t="s">
        <v>369</v>
      </c>
      <c r="D95" s="194"/>
      <c r="E95" s="108"/>
      <c r="F95" s="106" t="s">
        <v>45</v>
      </c>
      <c r="G95" s="139">
        <v>0</v>
      </c>
      <c r="H95" s="138">
        <f t="shared" si="31"/>
        <v>0</v>
      </c>
      <c r="I95" s="81" t="str">
        <f t="shared" si="29"/>
        <v>-</v>
      </c>
      <c r="J95" s="138">
        <v>0</v>
      </c>
      <c r="K95" s="138">
        <f t="shared" si="32"/>
        <v>0</v>
      </c>
      <c r="L95" s="138">
        <v>0</v>
      </c>
      <c r="M95" s="80">
        <v>0</v>
      </c>
      <c r="N95" s="81" t="str">
        <f t="shared" si="30"/>
        <v>-</v>
      </c>
      <c r="O95" s="406"/>
    </row>
    <row r="96" spans="1:15" s="15" customFormat="1" ht="11.1" customHeight="1" outlineLevel="1" x14ac:dyDescent="0.2">
      <c r="A96" s="117"/>
      <c r="B96" s="76"/>
      <c r="C96" s="82" t="s">
        <v>370</v>
      </c>
      <c r="D96" s="194"/>
      <c r="E96" s="108"/>
      <c r="F96" s="106" t="s">
        <v>359</v>
      </c>
      <c r="G96" s="139">
        <v>0</v>
      </c>
      <c r="H96" s="138">
        <f t="shared" si="31"/>
        <v>0</v>
      </c>
      <c r="I96" s="81" t="str">
        <f t="shared" si="29"/>
        <v>-</v>
      </c>
      <c r="J96" s="138">
        <v>0</v>
      </c>
      <c r="K96" s="138">
        <f t="shared" si="32"/>
        <v>0</v>
      </c>
      <c r="L96" s="138">
        <v>0</v>
      </c>
      <c r="M96" s="80">
        <v>0</v>
      </c>
      <c r="N96" s="81" t="str">
        <f t="shared" si="30"/>
        <v>-</v>
      </c>
      <c r="O96" s="406"/>
    </row>
    <row r="97" spans="1:15" s="15" customFormat="1" ht="11.1" customHeight="1" outlineLevel="1" x14ac:dyDescent="0.2">
      <c r="A97" s="117"/>
      <c r="B97" s="76"/>
      <c r="C97" s="82" t="s">
        <v>372</v>
      </c>
      <c r="D97" s="194"/>
      <c r="E97" s="330"/>
      <c r="F97" s="106"/>
      <c r="G97" s="139"/>
      <c r="H97" s="138"/>
      <c r="I97" s="160"/>
      <c r="J97" s="138"/>
      <c r="K97" s="138"/>
      <c r="L97" s="212"/>
      <c r="M97" s="80"/>
      <c r="N97" s="81"/>
      <c r="O97" s="406"/>
    </row>
    <row r="98" spans="1:15" s="15" customFormat="1" ht="11.1" customHeight="1" outlineLevel="1" x14ac:dyDescent="0.2">
      <c r="A98" s="117"/>
      <c r="B98" s="76"/>
      <c r="C98" s="82" t="s">
        <v>371</v>
      </c>
      <c r="D98" s="194"/>
      <c r="E98" s="330"/>
      <c r="F98" s="79"/>
      <c r="G98" s="139"/>
      <c r="H98" s="138"/>
      <c r="I98" s="160"/>
      <c r="J98" s="138"/>
      <c r="K98" s="138"/>
      <c r="L98" s="212"/>
      <c r="M98" s="83"/>
      <c r="N98" s="81"/>
      <c r="O98" s="406"/>
    </row>
    <row r="99" spans="1:15" s="15" customFormat="1" ht="3.95" customHeight="1" outlineLevel="1" x14ac:dyDescent="0.2">
      <c r="A99" s="84"/>
      <c r="B99" s="85"/>
      <c r="C99" s="86"/>
      <c r="D99" s="195"/>
      <c r="E99" s="187"/>
      <c r="F99" s="158"/>
      <c r="G99" s="207"/>
      <c r="H99" s="207"/>
      <c r="I99" s="161"/>
      <c r="J99" s="207"/>
      <c r="K99" s="141"/>
      <c r="L99" s="214"/>
      <c r="M99" s="338"/>
      <c r="N99" s="88"/>
      <c r="O99" s="407"/>
    </row>
    <row r="100" spans="1:15" s="15" customFormat="1" ht="3.95" customHeight="1" outlineLevel="1" x14ac:dyDescent="0.2">
      <c r="A100" s="71"/>
      <c r="B100" s="72"/>
      <c r="C100" s="73"/>
      <c r="D100" s="196"/>
      <c r="E100" s="197"/>
      <c r="F100" s="192"/>
      <c r="G100" s="209"/>
      <c r="H100" s="208"/>
      <c r="I100" s="193"/>
      <c r="J100" s="208"/>
      <c r="K100" s="136"/>
      <c r="L100" s="209"/>
      <c r="M100" s="154"/>
      <c r="N100" s="75"/>
      <c r="O100" s="426" t="s">
        <v>605</v>
      </c>
    </row>
    <row r="101" spans="1:15" s="15" customFormat="1" ht="11.1" customHeight="1" outlineLevel="1" x14ac:dyDescent="0.2">
      <c r="A101" s="409" t="s">
        <v>79</v>
      </c>
      <c r="B101" s="76" t="s">
        <v>9</v>
      </c>
      <c r="C101" s="77" t="s">
        <v>55</v>
      </c>
      <c r="D101" s="410" t="s">
        <v>51</v>
      </c>
      <c r="E101" s="410" t="s">
        <v>165</v>
      </c>
      <c r="F101" s="78" t="s">
        <v>157</v>
      </c>
      <c r="G101" s="137">
        <f>SUM(G102:G107)</f>
        <v>379380.65</v>
      </c>
      <c r="H101" s="241">
        <f>SUM(H102:H107)</f>
        <v>376264.60000000003</v>
      </c>
      <c r="I101" s="39">
        <f t="shared" ref="I101:I107" si="33">IF(G101&gt;0,H101/G101*100,"-")</f>
        <v>99.17864814665694</v>
      </c>
      <c r="J101" s="137">
        <f>SUM(J102:J105)</f>
        <v>138003</v>
      </c>
      <c r="K101" s="137">
        <f>SUM(K102:K105)</f>
        <v>80464</v>
      </c>
      <c r="L101" s="213">
        <f>SUM(L102:L105)</f>
        <v>218467</v>
      </c>
      <c r="M101" s="38">
        <f>SUM(M102:M105)</f>
        <v>215350.54</v>
      </c>
      <c r="N101" s="39">
        <f t="shared" ref="N101:N107" si="34">IF(L101&gt;0,M101/L101*100,"-")</f>
        <v>98.573487071273931</v>
      </c>
      <c r="O101" s="406"/>
    </row>
    <row r="102" spans="1:15" s="15" customFormat="1" ht="11.1" customHeight="1" outlineLevel="1" x14ac:dyDescent="0.2">
      <c r="A102" s="409"/>
      <c r="B102" s="76" t="s">
        <v>10</v>
      </c>
      <c r="C102" s="77" t="s">
        <v>158</v>
      </c>
      <c r="D102" s="410"/>
      <c r="E102" s="410"/>
      <c r="F102" s="79" t="s">
        <v>15</v>
      </c>
      <c r="G102" s="177">
        <v>0</v>
      </c>
      <c r="H102" s="138">
        <f>ROUNDUP(0+M102,0)</f>
        <v>0</v>
      </c>
      <c r="I102" s="81" t="str">
        <f t="shared" si="33"/>
        <v>-</v>
      </c>
      <c r="J102" s="138">
        <v>0</v>
      </c>
      <c r="K102" s="138">
        <f t="shared" ref="K102:K107" si="35">L102-J102</f>
        <v>0</v>
      </c>
      <c r="L102" s="138">
        <v>0</v>
      </c>
      <c r="M102" s="80">
        <v>0</v>
      </c>
      <c r="N102" s="81" t="str">
        <f t="shared" si="34"/>
        <v>-</v>
      </c>
      <c r="O102" s="406"/>
    </row>
    <row r="103" spans="1:15" s="15" customFormat="1" ht="11.1" customHeight="1" outlineLevel="1" x14ac:dyDescent="0.2">
      <c r="A103" s="409"/>
      <c r="B103" s="76" t="s">
        <v>11</v>
      </c>
      <c r="C103" s="82" t="s">
        <v>159</v>
      </c>
      <c r="D103" s="410"/>
      <c r="E103" s="410"/>
      <c r="F103" s="79" t="s">
        <v>7</v>
      </c>
      <c r="G103" s="177">
        <v>322472.40000000002</v>
      </c>
      <c r="H103" s="138">
        <f>ROUNDUP(136776+M103,0)+0.4</f>
        <v>319824.40000000002</v>
      </c>
      <c r="I103" s="81">
        <f t="shared" si="33"/>
        <v>99.178844453044661</v>
      </c>
      <c r="J103" s="138">
        <v>117302</v>
      </c>
      <c r="K103" s="138">
        <f t="shared" si="35"/>
        <v>68394</v>
      </c>
      <c r="L103" s="138">
        <v>185696</v>
      </c>
      <c r="M103" s="80">
        <v>183047.97</v>
      </c>
      <c r="N103" s="81">
        <f t="shared" si="34"/>
        <v>98.57399728588662</v>
      </c>
      <c r="O103" s="406"/>
    </row>
    <row r="104" spans="1:15" s="15" customFormat="1" ht="11.1" customHeight="1" outlineLevel="1" x14ac:dyDescent="0.2">
      <c r="A104" s="117"/>
      <c r="B104" s="76" t="s">
        <v>12</v>
      </c>
      <c r="C104" s="148" t="s">
        <v>264</v>
      </c>
      <c r="D104" s="194"/>
      <c r="E104" s="108"/>
      <c r="F104" s="79" t="s">
        <v>8</v>
      </c>
      <c r="G104" s="177">
        <v>0</v>
      </c>
      <c r="H104" s="138">
        <f>ROUNDUP(0+M104,0)</f>
        <v>0</v>
      </c>
      <c r="I104" s="81" t="str">
        <f t="shared" si="33"/>
        <v>-</v>
      </c>
      <c r="J104" s="138">
        <v>0</v>
      </c>
      <c r="K104" s="138">
        <f t="shared" si="35"/>
        <v>0</v>
      </c>
      <c r="L104" s="138">
        <v>0</v>
      </c>
      <c r="M104" s="80">
        <v>0</v>
      </c>
      <c r="N104" s="81" t="str">
        <f t="shared" si="34"/>
        <v>-</v>
      </c>
      <c r="O104" s="406"/>
    </row>
    <row r="105" spans="1:15" s="15" customFormat="1" ht="11.1" customHeight="1" outlineLevel="1" x14ac:dyDescent="0.2">
      <c r="A105" s="117"/>
      <c r="B105" s="76"/>
      <c r="C105" s="82" t="s">
        <v>181</v>
      </c>
      <c r="D105" s="194"/>
      <c r="E105" s="108"/>
      <c r="F105" s="79" t="s">
        <v>22</v>
      </c>
      <c r="G105" s="177">
        <v>56908.25</v>
      </c>
      <c r="H105" s="139">
        <f>ROUNDUP(24137+M105,0)+0.2</f>
        <v>56440.2</v>
      </c>
      <c r="I105" s="81">
        <f t="shared" si="33"/>
        <v>99.177535770296927</v>
      </c>
      <c r="J105" s="138">
        <v>20701</v>
      </c>
      <c r="K105" s="138">
        <f t="shared" si="35"/>
        <v>12070</v>
      </c>
      <c r="L105" s="138">
        <v>32771</v>
      </c>
      <c r="M105" s="80">
        <v>32302.57</v>
      </c>
      <c r="N105" s="81">
        <f t="shared" si="34"/>
        <v>98.570595953739584</v>
      </c>
      <c r="O105" s="406"/>
    </row>
    <row r="106" spans="1:15" s="15" customFormat="1" ht="11.1" customHeight="1" outlineLevel="1" x14ac:dyDescent="0.2">
      <c r="A106" s="117"/>
      <c r="B106" s="76" t="s">
        <v>23</v>
      </c>
      <c r="C106" s="82" t="s">
        <v>373</v>
      </c>
      <c r="D106" s="151"/>
      <c r="E106" s="151"/>
      <c r="F106" s="106" t="s">
        <v>45</v>
      </c>
      <c r="G106" s="139">
        <v>0</v>
      </c>
      <c r="H106" s="138">
        <f>ROUNDUP(0+M106,0)</f>
        <v>0</v>
      </c>
      <c r="I106" s="81" t="str">
        <f t="shared" si="33"/>
        <v>-</v>
      </c>
      <c r="J106" s="138">
        <v>0</v>
      </c>
      <c r="K106" s="138">
        <f t="shared" si="35"/>
        <v>0</v>
      </c>
      <c r="L106" s="138">
        <v>0</v>
      </c>
      <c r="M106" s="80">
        <v>0</v>
      </c>
      <c r="N106" s="81" t="str">
        <f t="shared" si="34"/>
        <v>-</v>
      </c>
      <c r="O106" s="406"/>
    </row>
    <row r="107" spans="1:15" s="15" customFormat="1" ht="11.1" customHeight="1" outlineLevel="1" x14ac:dyDescent="0.2">
      <c r="A107" s="117"/>
      <c r="B107" s="76"/>
      <c r="C107" s="82" t="s">
        <v>374</v>
      </c>
      <c r="D107" s="117"/>
      <c r="E107" s="117"/>
      <c r="F107" s="106" t="s">
        <v>359</v>
      </c>
      <c r="G107" s="139">
        <v>0</v>
      </c>
      <c r="H107" s="138">
        <f>ROUNDUP(0+M107,0)</f>
        <v>0</v>
      </c>
      <c r="I107" s="81" t="str">
        <f t="shared" si="33"/>
        <v>-</v>
      </c>
      <c r="J107" s="138">
        <v>0</v>
      </c>
      <c r="K107" s="138">
        <f t="shared" si="35"/>
        <v>0</v>
      </c>
      <c r="L107" s="138">
        <v>0</v>
      </c>
      <c r="M107" s="80">
        <v>0</v>
      </c>
      <c r="N107" s="81" t="str">
        <f t="shared" si="34"/>
        <v>-</v>
      </c>
      <c r="O107" s="406"/>
    </row>
    <row r="108" spans="1:15" s="15" customFormat="1" ht="3.95" customHeight="1" outlineLevel="1" x14ac:dyDescent="0.2">
      <c r="A108" s="118"/>
      <c r="B108" s="85"/>
      <c r="C108" s="203"/>
      <c r="D108" s="118"/>
      <c r="E108" s="118"/>
      <c r="F108" s="204"/>
      <c r="G108" s="140"/>
      <c r="H108" s="140"/>
      <c r="I108" s="88"/>
      <c r="J108" s="141"/>
      <c r="K108" s="141"/>
      <c r="L108" s="215"/>
      <c r="M108" s="87"/>
      <c r="N108" s="88"/>
      <c r="O108" s="407"/>
    </row>
    <row r="109" spans="1:15" ht="3.95" customHeight="1" outlineLevel="1" x14ac:dyDescent="0.2">
      <c r="A109" s="59"/>
      <c r="B109" s="60"/>
      <c r="C109" s="61"/>
      <c r="D109" s="62"/>
      <c r="E109" s="62"/>
      <c r="F109" s="59"/>
      <c r="G109" s="131"/>
      <c r="H109" s="131"/>
      <c r="I109" s="59"/>
      <c r="J109" s="131"/>
      <c r="K109" s="131"/>
      <c r="L109" s="131"/>
      <c r="M109" s="63"/>
      <c r="N109" s="64"/>
      <c r="O109" s="320"/>
    </row>
    <row r="110" spans="1:15" ht="11.45" customHeight="1" outlineLevel="1" x14ac:dyDescent="0.2">
      <c r="A110" s="28" t="s">
        <v>50</v>
      </c>
      <c r="B110" s="411" t="s">
        <v>155</v>
      </c>
      <c r="C110" s="412"/>
      <c r="D110" s="29"/>
      <c r="E110" s="29"/>
      <c r="F110" s="30"/>
      <c r="G110" s="132">
        <f>SUM(G111:G116)</f>
        <v>18820234</v>
      </c>
      <c r="H110" s="132">
        <f>SUM(H111:H116)</f>
        <v>16566652</v>
      </c>
      <c r="I110" s="32">
        <f>IF(G110&gt;0,H110/G110*100,"-")</f>
        <v>88.025749307899147</v>
      </c>
      <c r="J110" s="132">
        <f>SUM(J111:J116)</f>
        <v>2177005</v>
      </c>
      <c r="K110" s="132">
        <f>SUM(K111:K116)</f>
        <v>2670030</v>
      </c>
      <c r="L110" s="132">
        <f>SUM(L111:L116)</f>
        <v>4847035</v>
      </c>
      <c r="M110" s="31">
        <f>SUM(M111:M116)</f>
        <v>3810755.02</v>
      </c>
      <c r="N110" s="32">
        <f t="shared" ref="N110:N116" si="36">IF(L110&gt;0,M110/L110*100,"-")</f>
        <v>78.620332223720283</v>
      </c>
      <c r="O110" s="321"/>
    </row>
    <row r="111" spans="1:15" ht="11.45" customHeight="1" outlineLevel="1" x14ac:dyDescent="0.2">
      <c r="A111" s="30"/>
      <c r="B111" s="33"/>
      <c r="C111" s="34"/>
      <c r="D111" s="29"/>
      <c r="E111" s="29"/>
      <c r="F111" s="35" t="s">
        <v>15</v>
      </c>
      <c r="G111" s="133">
        <f>G120+G130+G154+G200+G234+G210+G221</f>
        <v>1837619</v>
      </c>
      <c r="H111" s="133">
        <f>H120+H130+H154+H200+H234+H210+H221</f>
        <v>1693750</v>
      </c>
      <c r="I111" s="37">
        <f t="shared" ref="I111:I116" si="37">IF(G111&gt;0,H111/G111*100,"-")</f>
        <v>92.170901585149039</v>
      </c>
      <c r="J111" s="133">
        <f>J120+J130+J154+J200+J234+J210+J221</f>
        <v>289172</v>
      </c>
      <c r="K111" s="133">
        <f>K120+K130+K154+K200+K234+K210+K221</f>
        <v>37374</v>
      </c>
      <c r="L111" s="133">
        <f>L120+L130+L154+L200+L234+L210+L221</f>
        <v>326546</v>
      </c>
      <c r="M111" s="36">
        <f>M120+M130+M154+M200+M234+M210+M221</f>
        <v>258736.14</v>
      </c>
      <c r="N111" s="37">
        <f t="shared" si="36"/>
        <v>79.234208962902628</v>
      </c>
      <c r="O111" s="321"/>
    </row>
    <row r="112" spans="1:15" ht="11.45" customHeight="1" outlineLevel="1" x14ac:dyDescent="0.2">
      <c r="A112" s="30"/>
      <c r="B112" s="33"/>
      <c r="C112" s="34"/>
      <c r="D112" s="29"/>
      <c r="E112" s="29"/>
      <c r="F112" s="35" t="s">
        <v>7</v>
      </c>
      <c r="G112" s="133">
        <f t="shared" ref="G112:H116" si="38">G121+G131+G155+G201+G235+G211+G222</f>
        <v>15647008</v>
      </c>
      <c r="H112" s="133">
        <f t="shared" si="38"/>
        <v>13814259</v>
      </c>
      <c r="I112" s="37">
        <f t="shared" si="37"/>
        <v>88.286904435659523</v>
      </c>
      <c r="J112" s="133">
        <f t="shared" ref="J112:M112" si="39">J121+J131+J155+J201+J235+J211+J222</f>
        <v>1724322</v>
      </c>
      <c r="K112" s="133">
        <f t="shared" si="39"/>
        <v>2386283</v>
      </c>
      <c r="L112" s="133">
        <f t="shared" si="39"/>
        <v>4110605</v>
      </c>
      <c r="M112" s="36">
        <f t="shared" si="39"/>
        <v>3268252.94</v>
      </c>
      <c r="N112" s="37">
        <f t="shared" si="36"/>
        <v>79.507832545330913</v>
      </c>
      <c r="O112" s="321"/>
    </row>
    <row r="113" spans="1:15" ht="11.45" customHeight="1" outlineLevel="1" x14ac:dyDescent="0.2">
      <c r="A113" s="30"/>
      <c r="B113" s="33"/>
      <c r="C113" s="34"/>
      <c r="D113" s="29"/>
      <c r="E113" s="29"/>
      <c r="F113" s="35" t="s">
        <v>8</v>
      </c>
      <c r="G113" s="133">
        <f t="shared" si="38"/>
        <v>0</v>
      </c>
      <c r="H113" s="133">
        <f t="shared" si="38"/>
        <v>0</v>
      </c>
      <c r="I113" s="37" t="str">
        <f t="shared" si="37"/>
        <v>-</v>
      </c>
      <c r="J113" s="133">
        <f t="shared" ref="J113:M113" si="40">J122+J132+J156+J202+J236+J212+J223</f>
        <v>0</v>
      </c>
      <c r="K113" s="133">
        <f t="shared" si="40"/>
        <v>0</v>
      </c>
      <c r="L113" s="133">
        <f t="shared" si="40"/>
        <v>0</v>
      </c>
      <c r="M113" s="36">
        <f t="shared" si="40"/>
        <v>0</v>
      </c>
      <c r="N113" s="37" t="str">
        <f t="shared" si="36"/>
        <v>-</v>
      </c>
      <c r="O113" s="321"/>
    </row>
    <row r="114" spans="1:15" ht="11.45" customHeight="1" outlineLevel="1" x14ac:dyDescent="0.2">
      <c r="A114" s="30"/>
      <c r="B114" s="33"/>
      <c r="C114" s="34"/>
      <c r="D114" s="29"/>
      <c r="E114" s="29"/>
      <c r="F114" s="35" t="s">
        <v>22</v>
      </c>
      <c r="G114" s="133">
        <f t="shared" si="38"/>
        <v>1335607</v>
      </c>
      <c r="H114" s="133">
        <f t="shared" si="38"/>
        <v>1058643</v>
      </c>
      <c r="I114" s="37">
        <f t="shared" si="37"/>
        <v>79.263061664097307</v>
      </c>
      <c r="J114" s="133">
        <f t="shared" ref="J114:M114" si="41">J123+J133+J157+J203+J237+J213+J224</f>
        <v>163511</v>
      </c>
      <c r="K114" s="133">
        <f t="shared" si="41"/>
        <v>246373</v>
      </c>
      <c r="L114" s="133">
        <f t="shared" si="41"/>
        <v>409884</v>
      </c>
      <c r="M114" s="36">
        <f t="shared" si="41"/>
        <v>283765.94</v>
      </c>
      <c r="N114" s="37">
        <f t="shared" si="36"/>
        <v>69.230792126552871</v>
      </c>
      <c r="O114" s="321"/>
    </row>
    <row r="115" spans="1:15" ht="11.45" customHeight="1" outlineLevel="1" x14ac:dyDescent="0.2">
      <c r="A115" s="30"/>
      <c r="B115" s="33"/>
      <c r="C115" s="34"/>
      <c r="D115" s="29"/>
      <c r="E115" s="29"/>
      <c r="F115" s="35" t="s">
        <v>45</v>
      </c>
      <c r="G115" s="133">
        <f t="shared" si="38"/>
        <v>0</v>
      </c>
      <c r="H115" s="133">
        <f t="shared" si="38"/>
        <v>0</v>
      </c>
      <c r="I115" s="37" t="str">
        <f t="shared" si="37"/>
        <v>-</v>
      </c>
      <c r="J115" s="133">
        <f t="shared" ref="J115:M115" si="42">J124+J134+J158+J204+J238+J214+J225</f>
        <v>0</v>
      </c>
      <c r="K115" s="133">
        <f t="shared" si="42"/>
        <v>0</v>
      </c>
      <c r="L115" s="133">
        <f t="shared" si="42"/>
        <v>0</v>
      </c>
      <c r="M115" s="36">
        <f t="shared" si="42"/>
        <v>0</v>
      </c>
      <c r="N115" s="37" t="str">
        <f t="shared" si="36"/>
        <v>-</v>
      </c>
      <c r="O115" s="321"/>
    </row>
    <row r="116" spans="1:15" ht="11.45" customHeight="1" outlineLevel="1" x14ac:dyDescent="0.2">
      <c r="A116" s="30"/>
      <c r="B116" s="33"/>
      <c r="C116" s="34"/>
      <c r="D116" s="29"/>
      <c r="E116" s="29"/>
      <c r="F116" s="35" t="s">
        <v>359</v>
      </c>
      <c r="G116" s="133">
        <f t="shared" si="38"/>
        <v>0</v>
      </c>
      <c r="H116" s="133">
        <f t="shared" si="38"/>
        <v>0</v>
      </c>
      <c r="I116" s="37" t="str">
        <f t="shared" si="37"/>
        <v>-</v>
      </c>
      <c r="J116" s="133">
        <f t="shared" ref="J116:M116" si="43">J125+J135+J159+J205+J239+J215+J226</f>
        <v>0</v>
      </c>
      <c r="K116" s="133">
        <f t="shared" si="43"/>
        <v>0</v>
      </c>
      <c r="L116" s="133">
        <f t="shared" si="43"/>
        <v>0</v>
      </c>
      <c r="M116" s="36">
        <f t="shared" si="43"/>
        <v>0</v>
      </c>
      <c r="N116" s="37" t="str">
        <f t="shared" si="36"/>
        <v>-</v>
      </c>
      <c r="O116" s="321"/>
    </row>
    <row r="117" spans="1:15" ht="3.95" customHeight="1" outlineLevel="1" x14ac:dyDescent="0.2">
      <c r="A117" s="65"/>
      <c r="B117" s="66"/>
      <c r="C117" s="67"/>
      <c r="D117" s="68"/>
      <c r="E117" s="68"/>
      <c r="F117" s="65"/>
      <c r="G117" s="134"/>
      <c r="H117" s="134"/>
      <c r="I117" s="70"/>
      <c r="J117" s="134"/>
      <c r="K117" s="134"/>
      <c r="L117" s="134"/>
      <c r="M117" s="69"/>
      <c r="N117" s="70"/>
      <c r="O117" s="322"/>
    </row>
    <row r="118" spans="1:15" s="15" customFormat="1" ht="3.95" customHeight="1" outlineLevel="1" x14ac:dyDescent="0.2">
      <c r="A118" s="71"/>
      <c r="B118" s="72"/>
      <c r="C118" s="73"/>
      <c r="D118" s="196"/>
      <c r="E118" s="197"/>
      <c r="F118" s="192"/>
      <c r="G118" s="209"/>
      <c r="H118" s="208"/>
      <c r="I118" s="193"/>
      <c r="J118" s="208"/>
      <c r="K118" s="136"/>
      <c r="L118" s="209"/>
      <c r="M118" s="154"/>
      <c r="N118" s="75"/>
      <c r="O118" s="427" t="s">
        <v>613</v>
      </c>
    </row>
    <row r="119" spans="1:15" s="15" customFormat="1" ht="11.1" customHeight="1" outlineLevel="1" x14ac:dyDescent="0.2">
      <c r="A119" s="409" t="s">
        <v>460</v>
      </c>
      <c r="B119" s="76" t="s">
        <v>9</v>
      </c>
      <c r="C119" s="77" t="s">
        <v>49</v>
      </c>
      <c r="D119" s="410" t="s">
        <v>366</v>
      </c>
      <c r="E119" s="410" t="s">
        <v>54</v>
      </c>
      <c r="F119" s="78" t="s">
        <v>157</v>
      </c>
      <c r="G119" s="137">
        <f>SUM(G120:G125)</f>
        <v>1259801</v>
      </c>
      <c r="H119" s="241">
        <f>SUM(H120:H125)</f>
        <v>63759</v>
      </c>
      <c r="I119" s="39">
        <f t="shared" ref="I119:I125" si="44">IF(G119&gt;0,H119/G119*100,"-")</f>
        <v>5.0610374178144006</v>
      </c>
      <c r="J119" s="137">
        <f>SUM(J120:J123)</f>
        <v>0</v>
      </c>
      <c r="K119" s="137">
        <f>SUM(K120:K123)</f>
        <v>702967</v>
      </c>
      <c r="L119" s="213">
        <f>SUM(L120:L123)</f>
        <v>702967</v>
      </c>
      <c r="M119" s="38">
        <f>SUM(M120:M123)</f>
        <v>63758.03</v>
      </c>
      <c r="N119" s="39">
        <f t="shared" ref="N119:N125" si="45">IF(L119&gt;0,M119/L119*100,"-")</f>
        <v>9.0698468064645983</v>
      </c>
      <c r="O119" s="428"/>
    </row>
    <row r="120" spans="1:15" s="15" customFormat="1" ht="11.1" customHeight="1" outlineLevel="1" x14ac:dyDescent="0.2">
      <c r="A120" s="409"/>
      <c r="B120" s="76" t="s">
        <v>10</v>
      </c>
      <c r="C120" s="77" t="s">
        <v>65</v>
      </c>
      <c r="D120" s="410"/>
      <c r="E120" s="410"/>
      <c r="F120" s="79" t="s">
        <v>15</v>
      </c>
      <c r="G120" s="177">
        <v>0</v>
      </c>
      <c r="H120" s="138">
        <f t="shared" ref="H120:H125" si="46">ROUNDUP(0+M120,0)</f>
        <v>0</v>
      </c>
      <c r="I120" s="81" t="str">
        <f t="shared" si="44"/>
        <v>-</v>
      </c>
      <c r="J120" s="138">
        <v>0</v>
      </c>
      <c r="K120" s="138">
        <f t="shared" ref="K120:K125" si="47">L120-J120</f>
        <v>0</v>
      </c>
      <c r="L120" s="138">
        <v>0</v>
      </c>
      <c r="M120" s="80">
        <v>0</v>
      </c>
      <c r="N120" s="81" t="str">
        <f t="shared" si="45"/>
        <v>-</v>
      </c>
      <c r="O120" s="428"/>
    </row>
    <row r="121" spans="1:15" s="15" customFormat="1" ht="11.1" customHeight="1" outlineLevel="1" x14ac:dyDescent="0.2">
      <c r="A121" s="409"/>
      <c r="B121" s="76"/>
      <c r="C121" s="82" t="s">
        <v>64</v>
      </c>
      <c r="D121" s="410"/>
      <c r="E121" s="410"/>
      <c r="F121" s="79" t="s">
        <v>7</v>
      </c>
      <c r="G121" s="177">
        <v>1070831</v>
      </c>
      <c r="H121" s="138">
        <f t="shared" si="46"/>
        <v>54195</v>
      </c>
      <c r="I121" s="81">
        <f t="shared" si="44"/>
        <v>5.0610227010611384</v>
      </c>
      <c r="J121" s="138">
        <v>0</v>
      </c>
      <c r="K121" s="138">
        <f t="shared" si="47"/>
        <v>597522</v>
      </c>
      <c r="L121" s="138">
        <v>597522</v>
      </c>
      <c r="M121" s="80">
        <v>54194.33</v>
      </c>
      <c r="N121" s="81">
        <f t="shared" si="45"/>
        <v>9.069846800619894</v>
      </c>
      <c r="O121" s="428"/>
    </row>
    <row r="122" spans="1:15" s="15" customFormat="1" ht="11.1" customHeight="1" outlineLevel="1" x14ac:dyDescent="0.2">
      <c r="A122" s="117"/>
      <c r="B122" s="76" t="s">
        <v>11</v>
      </c>
      <c r="C122" s="82" t="s">
        <v>66</v>
      </c>
      <c r="D122" s="194"/>
      <c r="E122" s="108"/>
      <c r="F122" s="79" t="s">
        <v>8</v>
      </c>
      <c r="G122" s="177">
        <v>0</v>
      </c>
      <c r="H122" s="138">
        <f t="shared" si="46"/>
        <v>0</v>
      </c>
      <c r="I122" s="81" t="str">
        <f t="shared" si="44"/>
        <v>-</v>
      </c>
      <c r="J122" s="138">
        <v>0</v>
      </c>
      <c r="K122" s="138">
        <f t="shared" si="47"/>
        <v>0</v>
      </c>
      <c r="L122" s="138">
        <v>0</v>
      </c>
      <c r="M122" s="80">
        <v>0</v>
      </c>
      <c r="N122" s="81" t="str">
        <f t="shared" si="45"/>
        <v>-</v>
      </c>
      <c r="O122" s="428"/>
    </row>
    <row r="123" spans="1:15" s="15" customFormat="1" ht="11.1" customHeight="1" outlineLevel="1" x14ac:dyDescent="0.2">
      <c r="A123" s="117"/>
      <c r="B123" s="76" t="s">
        <v>12</v>
      </c>
      <c r="C123" s="82" t="s">
        <v>375</v>
      </c>
      <c r="D123" s="194"/>
      <c r="E123" s="108"/>
      <c r="F123" s="79" t="s">
        <v>22</v>
      </c>
      <c r="G123" s="177">
        <v>188970</v>
      </c>
      <c r="H123" s="138">
        <f t="shared" si="46"/>
        <v>9564</v>
      </c>
      <c r="I123" s="81">
        <f t="shared" si="44"/>
        <v>5.0611208128274328</v>
      </c>
      <c r="J123" s="138">
        <v>0</v>
      </c>
      <c r="K123" s="138">
        <f t="shared" si="47"/>
        <v>105445</v>
      </c>
      <c r="L123" s="138">
        <v>105445</v>
      </c>
      <c r="M123" s="80">
        <v>9563.7000000000007</v>
      </c>
      <c r="N123" s="81">
        <f t="shared" si="45"/>
        <v>9.0698468395846188</v>
      </c>
      <c r="O123" s="428"/>
    </row>
    <row r="124" spans="1:15" s="15" customFormat="1" ht="11.1" customHeight="1" outlineLevel="1" x14ac:dyDescent="0.2">
      <c r="A124" s="117"/>
      <c r="B124" s="76" t="s">
        <v>23</v>
      </c>
      <c r="C124" s="82" t="s">
        <v>376</v>
      </c>
      <c r="D124" s="336"/>
      <c r="E124" s="336"/>
      <c r="F124" s="106" t="s">
        <v>45</v>
      </c>
      <c r="G124" s="139">
        <v>0</v>
      </c>
      <c r="H124" s="138">
        <f t="shared" si="46"/>
        <v>0</v>
      </c>
      <c r="I124" s="81" t="str">
        <f t="shared" si="44"/>
        <v>-</v>
      </c>
      <c r="J124" s="138">
        <v>0</v>
      </c>
      <c r="K124" s="138">
        <f t="shared" si="47"/>
        <v>0</v>
      </c>
      <c r="L124" s="138">
        <v>0</v>
      </c>
      <c r="M124" s="80">
        <v>0</v>
      </c>
      <c r="N124" s="81" t="str">
        <f t="shared" si="45"/>
        <v>-</v>
      </c>
      <c r="O124" s="428"/>
    </row>
    <row r="125" spans="1:15" s="15" customFormat="1" ht="11.1" customHeight="1" outlineLevel="1" x14ac:dyDescent="0.2">
      <c r="A125" s="117"/>
      <c r="B125" s="76"/>
      <c r="C125" s="82" t="s">
        <v>377</v>
      </c>
      <c r="D125" s="117"/>
      <c r="E125" s="117"/>
      <c r="F125" s="106" t="s">
        <v>359</v>
      </c>
      <c r="G125" s="139">
        <v>0</v>
      </c>
      <c r="H125" s="138">
        <f t="shared" si="46"/>
        <v>0</v>
      </c>
      <c r="I125" s="81" t="str">
        <f t="shared" si="44"/>
        <v>-</v>
      </c>
      <c r="J125" s="138">
        <v>0</v>
      </c>
      <c r="K125" s="138">
        <f t="shared" si="47"/>
        <v>0</v>
      </c>
      <c r="L125" s="138">
        <v>0</v>
      </c>
      <c r="M125" s="80">
        <v>0</v>
      </c>
      <c r="N125" s="81" t="str">
        <f t="shared" si="45"/>
        <v>-</v>
      </c>
      <c r="O125" s="428"/>
    </row>
    <row r="126" spans="1:15" s="15" customFormat="1" ht="11.1" customHeight="1" outlineLevel="1" x14ac:dyDescent="0.2">
      <c r="A126" s="117"/>
      <c r="B126" s="76"/>
      <c r="C126" s="82" t="s">
        <v>378</v>
      </c>
      <c r="D126" s="117"/>
      <c r="E126" s="117"/>
      <c r="F126" s="106"/>
      <c r="G126" s="139"/>
      <c r="H126" s="139"/>
      <c r="I126" s="81"/>
      <c r="J126" s="138"/>
      <c r="K126" s="138"/>
      <c r="L126" s="212"/>
      <c r="M126" s="89"/>
      <c r="N126" s="81"/>
      <c r="O126" s="428"/>
    </row>
    <row r="127" spans="1:15" s="15" customFormat="1" ht="3.95" customHeight="1" outlineLevel="1" x14ac:dyDescent="0.2">
      <c r="A127" s="118"/>
      <c r="B127" s="85"/>
      <c r="C127" s="203"/>
      <c r="D127" s="118"/>
      <c r="E127" s="118"/>
      <c r="F127" s="204"/>
      <c r="G127" s="140"/>
      <c r="H127" s="140"/>
      <c r="I127" s="88"/>
      <c r="J127" s="141"/>
      <c r="K127" s="141"/>
      <c r="L127" s="215"/>
      <c r="M127" s="87"/>
      <c r="N127" s="88"/>
      <c r="O127" s="429"/>
    </row>
    <row r="128" spans="1:15" s="95" customFormat="1" ht="3.95" customHeight="1" outlineLevel="1" x14ac:dyDescent="0.2">
      <c r="A128" s="152"/>
      <c r="B128" s="72"/>
      <c r="C128" s="73"/>
      <c r="D128" s="71"/>
      <c r="E128" s="71"/>
      <c r="F128" s="72"/>
      <c r="G128" s="135"/>
      <c r="H128" s="135"/>
      <c r="I128" s="75"/>
      <c r="J128" s="135"/>
      <c r="K128" s="135"/>
      <c r="L128" s="136"/>
      <c r="M128" s="74"/>
      <c r="N128" s="75"/>
      <c r="O128" s="323"/>
    </row>
    <row r="129" spans="1:15" s="95" customFormat="1" ht="11.1" customHeight="1" outlineLevel="1" x14ac:dyDescent="0.2">
      <c r="A129" s="409" t="s">
        <v>461</v>
      </c>
      <c r="B129" s="76" t="s">
        <v>9</v>
      </c>
      <c r="C129" s="77" t="s">
        <v>49</v>
      </c>
      <c r="D129" s="410" t="s">
        <v>305</v>
      </c>
      <c r="E129" s="410"/>
      <c r="F129" s="78" t="s">
        <v>28</v>
      </c>
      <c r="G129" s="241">
        <f>SUM(G130:G135)</f>
        <v>1487962</v>
      </c>
      <c r="H129" s="137">
        <f>SUM(H130:H135)</f>
        <v>1112772</v>
      </c>
      <c r="I129" s="39">
        <f t="shared" ref="I129:I135" si="48">IF(G129&gt;0,H129/G129*100,"-")</f>
        <v>74.784974347463177</v>
      </c>
      <c r="J129" s="137">
        <f>SUM(J130:J135)</f>
        <v>213874</v>
      </c>
      <c r="K129" s="137">
        <f>SUM(K130:K135)</f>
        <v>0</v>
      </c>
      <c r="L129" s="137">
        <f>SUM(L130:L135)</f>
        <v>213874</v>
      </c>
      <c r="M129" s="38">
        <f>SUM(M130:M135)</f>
        <v>186244.11</v>
      </c>
      <c r="N129" s="39">
        <f t="shared" ref="N129:N135" si="49">IF(L129&gt;0,M129/L129*100,"-")</f>
        <v>87.081230070041244</v>
      </c>
      <c r="O129" s="449" t="s">
        <v>616</v>
      </c>
    </row>
    <row r="130" spans="1:15" s="95" customFormat="1" ht="11.1" customHeight="1" outlineLevel="1" x14ac:dyDescent="0.2">
      <c r="A130" s="409"/>
      <c r="B130" s="76" t="s">
        <v>10</v>
      </c>
      <c r="C130" s="77" t="s">
        <v>65</v>
      </c>
      <c r="D130" s="410"/>
      <c r="E130" s="410"/>
      <c r="F130" s="79" t="s">
        <v>15</v>
      </c>
      <c r="G130" s="138">
        <f t="shared" ref="G130:H135" si="50">G137+G145</f>
        <v>191005</v>
      </c>
      <c r="H130" s="138">
        <f t="shared" si="50"/>
        <v>138871</v>
      </c>
      <c r="I130" s="81">
        <f t="shared" si="48"/>
        <v>72.705426559514152</v>
      </c>
      <c r="J130" s="138">
        <f t="shared" ref="J130:M135" si="51">J137+J145</f>
        <v>32082</v>
      </c>
      <c r="K130" s="138">
        <f t="shared" si="51"/>
        <v>-32082</v>
      </c>
      <c r="L130" s="138">
        <f t="shared" si="51"/>
        <v>0</v>
      </c>
      <c r="M130" s="80">
        <f t="shared" si="51"/>
        <v>0</v>
      </c>
      <c r="N130" s="81" t="str">
        <f t="shared" si="49"/>
        <v>-</v>
      </c>
      <c r="O130" s="449"/>
    </row>
    <row r="131" spans="1:15" s="95" customFormat="1" ht="11.1" customHeight="1" outlineLevel="1" x14ac:dyDescent="0.2">
      <c r="A131" s="409"/>
      <c r="B131" s="76"/>
      <c r="C131" s="82" t="s">
        <v>64</v>
      </c>
      <c r="D131" s="410"/>
      <c r="E131" s="410"/>
      <c r="F131" s="79" t="s">
        <v>7</v>
      </c>
      <c r="G131" s="138">
        <f t="shared" si="50"/>
        <v>1102415</v>
      </c>
      <c r="H131" s="138">
        <f t="shared" si="50"/>
        <v>827816</v>
      </c>
      <c r="I131" s="81">
        <f t="shared" si="48"/>
        <v>75.091140813577468</v>
      </c>
      <c r="J131" s="138">
        <f t="shared" si="51"/>
        <v>154523</v>
      </c>
      <c r="K131" s="138">
        <f t="shared" si="51"/>
        <v>27271</v>
      </c>
      <c r="L131" s="138">
        <f t="shared" si="51"/>
        <v>181794</v>
      </c>
      <c r="M131" s="80">
        <f t="shared" si="51"/>
        <v>158307.49</v>
      </c>
      <c r="N131" s="81">
        <f t="shared" si="49"/>
        <v>87.080701233264023</v>
      </c>
      <c r="O131" s="449"/>
    </row>
    <row r="132" spans="1:15" s="95" customFormat="1" ht="11.1" customHeight="1" outlineLevel="1" x14ac:dyDescent="0.2">
      <c r="A132" s="117"/>
      <c r="B132" s="76" t="s">
        <v>11</v>
      </c>
      <c r="C132" s="82" t="s">
        <v>66</v>
      </c>
      <c r="D132" s="108"/>
      <c r="E132" s="410"/>
      <c r="F132" s="79" t="s">
        <v>8</v>
      </c>
      <c r="G132" s="138">
        <f t="shared" si="50"/>
        <v>0</v>
      </c>
      <c r="H132" s="138">
        <f t="shared" si="50"/>
        <v>0</v>
      </c>
      <c r="I132" s="81" t="str">
        <f t="shared" si="48"/>
        <v>-</v>
      </c>
      <c r="J132" s="138">
        <f t="shared" si="51"/>
        <v>0</v>
      </c>
      <c r="K132" s="138">
        <f t="shared" si="51"/>
        <v>0</v>
      </c>
      <c r="L132" s="138">
        <f t="shared" si="51"/>
        <v>0</v>
      </c>
      <c r="M132" s="80">
        <f t="shared" si="51"/>
        <v>0</v>
      </c>
      <c r="N132" s="81" t="str">
        <f t="shared" si="49"/>
        <v>-</v>
      </c>
      <c r="O132" s="449"/>
    </row>
    <row r="133" spans="1:15" s="95" customFormat="1" ht="11.1" customHeight="1" outlineLevel="1" x14ac:dyDescent="0.2">
      <c r="A133" s="117"/>
      <c r="B133" s="76" t="s">
        <v>12</v>
      </c>
      <c r="C133" s="82" t="s">
        <v>192</v>
      </c>
      <c r="D133" s="108"/>
      <c r="E133" s="410"/>
      <c r="F133" s="79" t="s">
        <v>22</v>
      </c>
      <c r="G133" s="138">
        <f t="shared" si="50"/>
        <v>194542</v>
      </c>
      <c r="H133" s="138">
        <f t="shared" si="50"/>
        <v>146085</v>
      </c>
      <c r="I133" s="81">
        <f t="shared" si="48"/>
        <v>75.091753965724621</v>
      </c>
      <c r="J133" s="138">
        <f t="shared" si="51"/>
        <v>27269</v>
      </c>
      <c r="K133" s="138">
        <f t="shared" si="51"/>
        <v>4811</v>
      </c>
      <c r="L133" s="138">
        <f t="shared" si="51"/>
        <v>32080</v>
      </c>
      <c r="M133" s="80">
        <f t="shared" si="51"/>
        <v>27936.62</v>
      </c>
      <c r="N133" s="81">
        <f t="shared" si="49"/>
        <v>87.084226932668329</v>
      </c>
      <c r="O133" s="449"/>
    </row>
    <row r="134" spans="1:15" s="95" customFormat="1" ht="11.1" customHeight="1" outlineLevel="1" x14ac:dyDescent="0.2">
      <c r="A134" s="117"/>
      <c r="B134" s="76" t="s">
        <v>23</v>
      </c>
      <c r="C134" s="82" t="s">
        <v>67</v>
      </c>
      <c r="D134" s="108"/>
      <c r="E134" s="90"/>
      <c r="F134" s="106" t="s">
        <v>45</v>
      </c>
      <c r="G134" s="138">
        <f t="shared" si="50"/>
        <v>0</v>
      </c>
      <c r="H134" s="138">
        <f t="shared" si="50"/>
        <v>0</v>
      </c>
      <c r="I134" s="81" t="str">
        <f t="shared" si="48"/>
        <v>-</v>
      </c>
      <c r="J134" s="138">
        <f t="shared" si="51"/>
        <v>0</v>
      </c>
      <c r="K134" s="138">
        <f t="shared" si="51"/>
        <v>0</v>
      </c>
      <c r="L134" s="138">
        <f t="shared" si="51"/>
        <v>0</v>
      </c>
      <c r="M134" s="80">
        <f t="shared" si="51"/>
        <v>0</v>
      </c>
      <c r="N134" s="81" t="str">
        <f t="shared" si="49"/>
        <v>-</v>
      </c>
      <c r="O134" s="449"/>
    </row>
    <row r="135" spans="1:15" s="95" customFormat="1" ht="11.1" customHeight="1" outlineLevel="1" x14ac:dyDescent="0.2">
      <c r="A135" s="117"/>
      <c r="B135" s="76"/>
      <c r="C135" s="82"/>
      <c r="D135" s="108"/>
      <c r="E135" s="90"/>
      <c r="F135" s="106" t="s">
        <v>359</v>
      </c>
      <c r="G135" s="138">
        <f t="shared" si="50"/>
        <v>0</v>
      </c>
      <c r="H135" s="138">
        <f t="shared" si="50"/>
        <v>0</v>
      </c>
      <c r="I135" s="81" t="str">
        <f t="shared" si="48"/>
        <v>-</v>
      </c>
      <c r="J135" s="138">
        <f t="shared" si="51"/>
        <v>0</v>
      </c>
      <c r="K135" s="138">
        <f t="shared" si="51"/>
        <v>0</v>
      </c>
      <c r="L135" s="138">
        <f t="shared" si="51"/>
        <v>0</v>
      </c>
      <c r="M135" s="80">
        <f t="shared" si="51"/>
        <v>0</v>
      </c>
      <c r="N135" s="81" t="str">
        <f t="shared" si="49"/>
        <v>-</v>
      </c>
      <c r="O135" s="449"/>
    </row>
    <row r="136" spans="1:15" s="95" customFormat="1" ht="10.5" customHeight="1" outlineLevel="1" x14ac:dyDescent="0.2">
      <c r="A136" s="117"/>
      <c r="B136" s="76"/>
      <c r="C136" s="82"/>
      <c r="D136" s="108"/>
      <c r="E136" s="90"/>
      <c r="F136" s="106"/>
      <c r="G136" s="139"/>
      <c r="H136" s="139"/>
      <c r="I136" s="81"/>
      <c r="J136" s="139"/>
      <c r="K136" s="139"/>
      <c r="L136" s="138"/>
      <c r="M136" s="89"/>
      <c r="N136" s="81"/>
      <c r="O136" s="449"/>
    </row>
    <row r="137" spans="1:15" s="115" customFormat="1" ht="11.1" customHeight="1" outlineLevel="1" x14ac:dyDescent="0.2">
      <c r="A137" s="117"/>
      <c r="B137" s="109"/>
      <c r="C137" s="110"/>
      <c r="D137" s="111"/>
      <c r="E137" s="425" t="s">
        <v>53</v>
      </c>
      <c r="F137" s="112" t="s">
        <v>15</v>
      </c>
      <c r="G137" s="142">
        <v>191005</v>
      </c>
      <c r="H137" s="142">
        <f>ROUNDUP(138871+M137,0)</f>
        <v>138871</v>
      </c>
      <c r="I137" s="81">
        <f t="shared" ref="I137:I142" si="52">IF(G137&gt;0,H137/G137*100,"-")</f>
        <v>72.705426559514152</v>
      </c>
      <c r="J137" s="142">
        <v>32082</v>
      </c>
      <c r="K137" s="142">
        <f t="shared" ref="K137:K142" si="53">L137-J137</f>
        <v>-32082</v>
      </c>
      <c r="L137" s="142">
        <v>0</v>
      </c>
      <c r="M137" s="113">
        <v>0</v>
      </c>
      <c r="N137" s="81" t="str">
        <f t="shared" ref="N137:N142" si="54">IF(L137&gt;0,M137/L137*100,"-")</f>
        <v>-</v>
      </c>
      <c r="O137" s="449"/>
    </row>
    <row r="138" spans="1:15" s="115" customFormat="1" ht="11.1" customHeight="1" outlineLevel="1" x14ac:dyDescent="0.2">
      <c r="A138" s="117"/>
      <c r="B138" s="109"/>
      <c r="C138" s="110"/>
      <c r="D138" s="111"/>
      <c r="E138" s="425"/>
      <c r="F138" s="112" t="s">
        <v>7</v>
      </c>
      <c r="G138" s="142">
        <v>0</v>
      </c>
      <c r="H138" s="142">
        <f>ROUNDUP(0+M138,0)</f>
        <v>0</v>
      </c>
      <c r="I138" s="81" t="str">
        <f t="shared" si="52"/>
        <v>-</v>
      </c>
      <c r="J138" s="142"/>
      <c r="K138" s="142">
        <f t="shared" si="53"/>
        <v>0</v>
      </c>
      <c r="L138" s="142">
        <v>0</v>
      </c>
      <c r="M138" s="113">
        <v>0</v>
      </c>
      <c r="N138" s="81" t="str">
        <f t="shared" si="54"/>
        <v>-</v>
      </c>
      <c r="O138" s="449"/>
    </row>
    <row r="139" spans="1:15" s="115" customFormat="1" ht="11.1" customHeight="1" outlineLevel="1" x14ac:dyDescent="0.2">
      <c r="A139" s="117"/>
      <c r="B139" s="109"/>
      <c r="C139" s="110"/>
      <c r="D139" s="111"/>
      <c r="E139" s="425"/>
      <c r="F139" s="112" t="s">
        <v>8</v>
      </c>
      <c r="G139" s="142">
        <v>0</v>
      </c>
      <c r="H139" s="142">
        <f t="shared" ref="H139:H150" si="55">ROUNDUP(0+M139,0)</f>
        <v>0</v>
      </c>
      <c r="I139" s="81" t="str">
        <f t="shared" si="52"/>
        <v>-</v>
      </c>
      <c r="J139" s="142"/>
      <c r="K139" s="142">
        <f t="shared" si="53"/>
        <v>0</v>
      </c>
      <c r="L139" s="142">
        <v>0</v>
      </c>
      <c r="M139" s="113">
        <v>0</v>
      </c>
      <c r="N139" s="81" t="str">
        <f t="shared" si="54"/>
        <v>-</v>
      </c>
      <c r="O139" s="449"/>
    </row>
    <row r="140" spans="1:15" s="115" customFormat="1" ht="11.1" customHeight="1" outlineLevel="1" x14ac:dyDescent="0.2">
      <c r="A140" s="117"/>
      <c r="B140" s="109"/>
      <c r="C140" s="110"/>
      <c r="D140" s="111"/>
      <c r="E140" s="189"/>
      <c r="F140" s="112" t="s">
        <v>22</v>
      </c>
      <c r="G140" s="142">
        <v>0</v>
      </c>
      <c r="H140" s="142">
        <f t="shared" si="55"/>
        <v>0</v>
      </c>
      <c r="I140" s="81" t="str">
        <f t="shared" si="52"/>
        <v>-</v>
      </c>
      <c r="J140" s="142"/>
      <c r="K140" s="142">
        <f t="shared" si="53"/>
        <v>0</v>
      </c>
      <c r="L140" s="142">
        <v>0</v>
      </c>
      <c r="M140" s="113">
        <v>0</v>
      </c>
      <c r="N140" s="81" t="str">
        <f t="shared" si="54"/>
        <v>-</v>
      </c>
      <c r="O140" s="449"/>
    </row>
    <row r="141" spans="1:15" s="115" customFormat="1" ht="11.1" customHeight="1" outlineLevel="1" x14ac:dyDescent="0.2">
      <c r="A141" s="117"/>
      <c r="B141" s="109"/>
      <c r="C141" s="110"/>
      <c r="D141" s="111"/>
      <c r="E141" s="189"/>
      <c r="F141" s="112" t="s">
        <v>45</v>
      </c>
      <c r="G141" s="142">
        <v>0</v>
      </c>
      <c r="H141" s="142">
        <f t="shared" si="55"/>
        <v>0</v>
      </c>
      <c r="I141" s="81" t="str">
        <f t="shared" si="52"/>
        <v>-</v>
      </c>
      <c r="J141" s="142"/>
      <c r="K141" s="142">
        <f t="shared" si="53"/>
        <v>0</v>
      </c>
      <c r="L141" s="142">
        <v>0</v>
      </c>
      <c r="M141" s="113">
        <v>0</v>
      </c>
      <c r="N141" s="81" t="str">
        <f t="shared" si="54"/>
        <v>-</v>
      </c>
      <c r="O141" s="449"/>
    </row>
    <row r="142" spans="1:15" s="115" customFormat="1" ht="11.1" customHeight="1" outlineLevel="1" x14ac:dyDescent="0.2">
      <c r="A142" s="117"/>
      <c r="B142" s="109"/>
      <c r="C142" s="110"/>
      <c r="D142" s="111"/>
      <c r="E142" s="189"/>
      <c r="F142" s="112" t="s">
        <v>359</v>
      </c>
      <c r="G142" s="142">
        <v>0</v>
      </c>
      <c r="H142" s="142">
        <f t="shared" si="55"/>
        <v>0</v>
      </c>
      <c r="I142" s="81" t="str">
        <f t="shared" si="52"/>
        <v>-</v>
      </c>
      <c r="J142" s="142"/>
      <c r="K142" s="142">
        <f t="shared" si="53"/>
        <v>0</v>
      </c>
      <c r="L142" s="142">
        <v>0</v>
      </c>
      <c r="M142" s="113">
        <v>0</v>
      </c>
      <c r="N142" s="81" t="str">
        <f t="shared" si="54"/>
        <v>-</v>
      </c>
      <c r="O142" s="449"/>
    </row>
    <row r="143" spans="1:15" s="115" customFormat="1" ht="3.95" customHeight="1" outlineLevel="1" x14ac:dyDescent="0.2">
      <c r="A143" s="118"/>
      <c r="B143" s="119"/>
      <c r="C143" s="120"/>
      <c r="D143" s="121"/>
      <c r="E143" s="121"/>
      <c r="F143" s="122"/>
      <c r="G143" s="144"/>
      <c r="H143" s="144"/>
      <c r="I143" s="88"/>
      <c r="J143" s="144"/>
      <c r="K143" s="144"/>
      <c r="L143" s="145"/>
      <c r="M143" s="123"/>
      <c r="N143" s="88"/>
      <c r="O143" s="183"/>
    </row>
    <row r="144" spans="1:15" s="115" customFormat="1" ht="3.95" customHeight="1" outlineLevel="1" x14ac:dyDescent="0.2">
      <c r="A144" s="117"/>
      <c r="B144" s="109"/>
      <c r="C144" s="110"/>
      <c r="D144" s="372"/>
      <c r="E144" s="372"/>
      <c r="F144" s="116"/>
      <c r="G144" s="142"/>
      <c r="H144" s="142"/>
      <c r="I144" s="81"/>
      <c r="J144" s="142"/>
      <c r="K144" s="142"/>
      <c r="L144" s="142"/>
      <c r="M144" s="114"/>
      <c r="N144" s="81"/>
      <c r="O144" s="182"/>
    </row>
    <row r="145" spans="1:15" s="115" customFormat="1" ht="11.1" customHeight="1" outlineLevel="1" x14ac:dyDescent="0.2">
      <c r="A145" s="117"/>
      <c r="B145" s="109"/>
      <c r="C145" s="110"/>
      <c r="D145" s="111"/>
      <c r="E145" s="425" t="s">
        <v>54</v>
      </c>
      <c r="F145" s="112" t="s">
        <v>15</v>
      </c>
      <c r="G145" s="142">
        <v>0</v>
      </c>
      <c r="H145" s="142">
        <f t="shared" si="55"/>
        <v>0</v>
      </c>
      <c r="I145" s="81" t="str">
        <f t="shared" ref="I145:I150" si="56">IF(G145&gt;0,H145/G145*100,"-")</f>
        <v>-</v>
      </c>
      <c r="J145" s="142">
        <v>0</v>
      </c>
      <c r="K145" s="142">
        <f t="shared" ref="K145:K150" si="57">L145-J145</f>
        <v>0</v>
      </c>
      <c r="L145" s="142">
        <v>0</v>
      </c>
      <c r="M145" s="113">
        <v>0</v>
      </c>
      <c r="N145" s="81" t="str">
        <f t="shared" ref="N145:N150" si="58">IF(L145&gt;0,M145/L145*100,"-")</f>
        <v>-</v>
      </c>
      <c r="O145" s="182"/>
    </row>
    <row r="146" spans="1:15" s="115" customFormat="1" ht="11.1" customHeight="1" outlineLevel="1" x14ac:dyDescent="0.2">
      <c r="A146" s="117"/>
      <c r="B146" s="109"/>
      <c r="C146" s="110"/>
      <c r="D146" s="111"/>
      <c r="E146" s="425"/>
      <c r="F146" s="112" t="s">
        <v>7</v>
      </c>
      <c r="G146" s="142">
        <v>1102415</v>
      </c>
      <c r="H146" s="142">
        <f>ROUNDUP(669508+M146,0)</f>
        <v>827816</v>
      </c>
      <c r="I146" s="81">
        <f t="shared" si="56"/>
        <v>75.091140813577468</v>
      </c>
      <c r="J146" s="142">
        <v>154523</v>
      </c>
      <c r="K146" s="142">
        <f t="shared" si="57"/>
        <v>27271</v>
      </c>
      <c r="L146" s="142">
        <v>181794</v>
      </c>
      <c r="M146" s="113">
        <v>158307.49</v>
      </c>
      <c r="N146" s="81">
        <f t="shared" si="58"/>
        <v>87.080701233264023</v>
      </c>
      <c r="O146" s="182"/>
    </row>
    <row r="147" spans="1:15" s="115" customFormat="1" ht="11.1" customHeight="1" outlineLevel="1" x14ac:dyDescent="0.2">
      <c r="A147" s="117"/>
      <c r="B147" s="109"/>
      <c r="C147" s="110"/>
      <c r="D147" s="111"/>
      <c r="E147" s="425"/>
      <c r="F147" s="112" t="s">
        <v>8</v>
      </c>
      <c r="G147" s="142">
        <v>0</v>
      </c>
      <c r="H147" s="142">
        <f t="shared" si="55"/>
        <v>0</v>
      </c>
      <c r="I147" s="81" t="str">
        <f t="shared" si="56"/>
        <v>-</v>
      </c>
      <c r="J147" s="142">
        <v>0</v>
      </c>
      <c r="K147" s="142">
        <f t="shared" si="57"/>
        <v>0</v>
      </c>
      <c r="L147" s="142">
        <v>0</v>
      </c>
      <c r="M147" s="113">
        <v>0</v>
      </c>
      <c r="N147" s="81" t="str">
        <f t="shared" si="58"/>
        <v>-</v>
      </c>
      <c r="O147" s="182"/>
    </row>
    <row r="148" spans="1:15" s="115" customFormat="1" ht="11.1" customHeight="1" outlineLevel="1" x14ac:dyDescent="0.2">
      <c r="A148" s="117"/>
      <c r="B148" s="109"/>
      <c r="C148" s="110"/>
      <c r="D148" s="111"/>
      <c r="E148" s="189"/>
      <c r="F148" s="112" t="s">
        <v>22</v>
      </c>
      <c r="G148" s="242">
        <v>194542</v>
      </c>
      <c r="H148" s="242">
        <f>ROUNDUP(118148+M148,0)</f>
        <v>146085</v>
      </c>
      <c r="I148" s="357">
        <f t="shared" si="56"/>
        <v>75.091753965724621</v>
      </c>
      <c r="J148" s="242">
        <v>27269</v>
      </c>
      <c r="K148" s="242">
        <f t="shared" si="57"/>
        <v>4811</v>
      </c>
      <c r="L148" s="242">
        <v>32080</v>
      </c>
      <c r="M148" s="114">
        <v>27936.62</v>
      </c>
      <c r="N148" s="81">
        <f t="shared" si="58"/>
        <v>87.084226932668329</v>
      </c>
      <c r="O148" s="182"/>
    </row>
    <row r="149" spans="1:15" s="115" customFormat="1" ht="11.1" customHeight="1" outlineLevel="1" x14ac:dyDescent="0.2">
      <c r="A149" s="117"/>
      <c r="B149" s="109"/>
      <c r="C149" s="110"/>
      <c r="D149" s="111"/>
      <c r="E149" s="189"/>
      <c r="F149" s="112" t="s">
        <v>45</v>
      </c>
      <c r="G149" s="142">
        <v>0</v>
      </c>
      <c r="H149" s="142">
        <f t="shared" si="55"/>
        <v>0</v>
      </c>
      <c r="I149" s="81" t="str">
        <f t="shared" si="56"/>
        <v>-</v>
      </c>
      <c r="J149" s="142">
        <v>0</v>
      </c>
      <c r="K149" s="142">
        <f t="shared" si="57"/>
        <v>0</v>
      </c>
      <c r="L149" s="142">
        <v>0</v>
      </c>
      <c r="M149" s="113">
        <v>0</v>
      </c>
      <c r="N149" s="81" t="str">
        <f t="shared" si="58"/>
        <v>-</v>
      </c>
      <c r="O149" s="182"/>
    </row>
    <row r="150" spans="1:15" s="115" customFormat="1" ht="11.1" customHeight="1" outlineLevel="1" x14ac:dyDescent="0.2">
      <c r="A150" s="117"/>
      <c r="B150" s="109"/>
      <c r="C150" s="110"/>
      <c r="D150" s="111"/>
      <c r="E150" s="189"/>
      <c r="F150" s="112" t="s">
        <v>359</v>
      </c>
      <c r="G150" s="142">
        <v>0</v>
      </c>
      <c r="H150" s="142">
        <f t="shared" si="55"/>
        <v>0</v>
      </c>
      <c r="I150" s="81" t="str">
        <f t="shared" si="56"/>
        <v>-</v>
      </c>
      <c r="J150" s="142">
        <v>0</v>
      </c>
      <c r="K150" s="142">
        <f t="shared" si="57"/>
        <v>0</v>
      </c>
      <c r="L150" s="142">
        <v>0</v>
      </c>
      <c r="M150" s="113">
        <v>0</v>
      </c>
      <c r="N150" s="81" t="str">
        <f t="shared" si="58"/>
        <v>-</v>
      </c>
      <c r="O150" s="182"/>
    </row>
    <row r="151" spans="1:15" s="95" customFormat="1" ht="3.95" customHeight="1" outlineLevel="1" x14ac:dyDescent="0.2">
      <c r="A151" s="118"/>
      <c r="B151" s="85"/>
      <c r="C151" s="86"/>
      <c r="D151" s="84"/>
      <c r="E151" s="84"/>
      <c r="F151" s="85"/>
      <c r="G151" s="140"/>
      <c r="H151" s="140"/>
      <c r="I151" s="88"/>
      <c r="J151" s="140"/>
      <c r="K151" s="140"/>
      <c r="L151" s="141"/>
      <c r="M151" s="87"/>
      <c r="N151" s="88"/>
      <c r="O151" s="183"/>
    </row>
    <row r="152" spans="1:15" s="95" customFormat="1" ht="3.95" customHeight="1" outlineLevel="1" x14ac:dyDescent="0.2">
      <c r="A152" s="152"/>
      <c r="B152" s="72"/>
      <c r="C152" s="73"/>
      <c r="D152" s="71"/>
      <c r="E152" s="71"/>
      <c r="F152" s="72"/>
      <c r="G152" s="135"/>
      <c r="H152" s="135"/>
      <c r="I152" s="75"/>
      <c r="J152" s="135"/>
      <c r="K152" s="135"/>
      <c r="L152" s="136"/>
      <c r="M152" s="74"/>
      <c r="N152" s="75"/>
      <c r="O152" s="323"/>
    </row>
    <row r="153" spans="1:15" s="95" customFormat="1" ht="11.1" customHeight="1" outlineLevel="1" x14ac:dyDescent="0.2">
      <c r="A153" s="409" t="s">
        <v>462</v>
      </c>
      <c r="B153" s="76" t="s">
        <v>9</v>
      </c>
      <c r="C153" s="77" t="s">
        <v>55</v>
      </c>
      <c r="D153" s="410" t="s">
        <v>147</v>
      </c>
      <c r="E153" s="410"/>
      <c r="F153" s="78" t="s">
        <v>28</v>
      </c>
      <c r="G153" s="137">
        <f>SUM(G154:G159)</f>
        <v>14668482</v>
      </c>
      <c r="H153" s="137">
        <f>SUM(H154:H159)</f>
        <v>14399008</v>
      </c>
      <c r="I153" s="39">
        <f t="shared" ref="I153:I159" si="59">IF(G153&gt;0,H153/G153*100,"-")</f>
        <v>98.162904655028385</v>
      </c>
      <c r="J153" s="241">
        <f>SUM(J154:J159)</f>
        <v>1457090</v>
      </c>
      <c r="K153" s="241">
        <f>SUM(K154:K159)</f>
        <v>1488457</v>
      </c>
      <c r="L153" s="241">
        <f>SUM(L154:L159)</f>
        <v>2945547</v>
      </c>
      <c r="M153" s="38">
        <f>SUM(M154:M159)</f>
        <v>2676070.94</v>
      </c>
      <c r="N153" s="39">
        <f t="shared" ref="N153:N159" si="60">IF(L153&gt;0,M153/L153*100,"-")</f>
        <v>90.851408583872541</v>
      </c>
      <c r="O153" s="448" t="s">
        <v>612</v>
      </c>
    </row>
    <row r="154" spans="1:15" s="95" customFormat="1" ht="11.1" customHeight="1" outlineLevel="1" x14ac:dyDescent="0.2">
      <c r="A154" s="409"/>
      <c r="B154" s="76" t="s">
        <v>10</v>
      </c>
      <c r="C154" s="77" t="s">
        <v>63</v>
      </c>
      <c r="D154" s="410"/>
      <c r="E154" s="410"/>
      <c r="F154" s="79" t="s">
        <v>15</v>
      </c>
      <c r="G154" s="138">
        <f t="shared" ref="G154:H159" si="61">G162+G170+G177+G184+G191</f>
        <v>1605425</v>
      </c>
      <c r="H154" s="138">
        <f t="shared" si="61"/>
        <v>1549004</v>
      </c>
      <c r="I154" s="81">
        <f t="shared" si="59"/>
        <v>96.485603500630674</v>
      </c>
      <c r="J154" s="138">
        <f t="shared" ref="J154:M159" si="62">J162+J170+J177+J184+J191</f>
        <v>257090</v>
      </c>
      <c r="K154" s="138">
        <f t="shared" si="62"/>
        <v>52194</v>
      </c>
      <c r="L154" s="138">
        <f t="shared" si="62"/>
        <v>309284</v>
      </c>
      <c r="M154" s="80">
        <f t="shared" si="62"/>
        <v>252861.90000000002</v>
      </c>
      <c r="N154" s="81">
        <f t="shared" si="60"/>
        <v>81.757187568707096</v>
      </c>
      <c r="O154" s="448"/>
    </row>
    <row r="155" spans="1:15" s="95" customFormat="1" ht="11.1" customHeight="1" outlineLevel="1" x14ac:dyDescent="0.2">
      <c r="A155" s="409"/>
      <c r="B155" s="76" t="s">
        <v>11</v>
      </c>
      <c r="C155" s="82" t="s">
        <v>68</v>
      </c>
      <c r="D155" s="410"/>
      <c r="E155" s="410"/>
      <c r="F155" s="79" t="s">
        <v>7</v>
      </c>
      <c r="G155" s="138">
        <f t="shared" si="61"/>
        <v>12289745</v>
      </c>
      <c r="H155" s="138">
        <f t="shared" si="61"/>
        <v>12087404</v>
      </c>
      <c r="I155" s="81">
        <f t="shared" si="59"/>
        <v>98.353578532345466</v>
      </c>
      <c r="J155" s="138">
        <f t="shared" si="62"/>
        <v>1139663</v>
      </c>
      <c r="K155" s="138">
        <f t="shared" si="62"/>
        <v>1364050</v>
      </c>
      <c r="L155" s="138">
        <f t="shared" si="62"/>
        <v>2503713</v>
      </c>
      <c r="M155" s="80">
        <f t="shared" si="62"/>
        <v>2301371.71</v>
      </c>
      <c r="N155" s="81">
        <f t="shared" si="60"/>
        <v>91.918351264701656</v>
      </c>
      <c r="O155" s="448"/>
    </row>
    <row r="156" spans="1:15" s="95" customFormat="1" ht="11.1" customHeight="1" outlineLevel="1" x14ac:dyDescent="0.2">
      <c r="A156" s="117"/>
      <c r="B156" s="76" t="s">
        <v>12</v>
      </c>
      <c r="C156" s="82" t="s">
        <v>193</v>
      </c>
      <c r="D156" s="108"/>
      <c r="E156" s="410"/>
      <c r="F156" s="79" t="s">
        <v>8</v>
      </c>
      <c r="G156" s="138">
        <f t="shared" si="61"/>
        <v>0</v>
      </c>
      <c r="H156" s="138">
        <f t="shared" si="61"/>
        <v>0</v>
      </c>
      <c r="I156" s="81" t="str">
        <f t="shared" si="59"/>
        <v>-</v>
      </c>
      <c r="J156" s="138">
        <f t="shared" si="62"/>
        <v>0</v>
      </c>
      <c r="K156" s="138">
        <f t="shared" si="62"/>
        <v>0</v>
      </c>
      <c r="L156" s="138">
        <f t="shared" si="62"/>
        <v>0</v>
      </c>
      <c r="M156" s="80">
        <f t="shared" si="62"/>
        <v>0</v>
      </c>
      <c r="N156" s="81" t="str">
        <f t="shared" si="60"/>
        <v>-</v>
      </c>
      <c r="O156" s="448"/>
    </row>
    <row r="157" spans="1:15" s="95" customFormat="1" ht="11.1" customHeight="1" outlineLevel="1" x14ac:dyDescent="0.2">
      <c r="A157" s="117"/>
      <c r="B157" s="76" t="s">
        <v>23</v>
      </c>
      <c r="C157" s="82" t="s">
        <v>69</v>
      </c>
      <c r="D157" s="108"/>
      <c r="E157" s="410"/>
      <c r="F157" s="79" t="s">
        <v>22</v>
      </c>
      <c r="G157" s="138">
        <f t="shared" si="61"/>
        <v>773312</v>
      </c>
      <c r="H157" s="138">
        <f t="shared" si="61"/>
        <v>762600</v>
      </c>
      <c r="I157" s="81">
        <f t="shared" si="59"/>
        <v>98.61478937349996</v>
      </c>
      <c r="J157" s="138">
        <f t="shared" si="62"/>
        <v>60337</v>
      </c>
      <c r="K157" s="138">
        <f t="shared" si="62"/>
        <v>72213</v>
      </c>
      <c r="L157" s="138">
        <f t="shared" si="62"/>
        <v>132550</v>
      </c>
      <c r="M157" s="80">
        <f t="shared" si="62"/>
        <v>121837.33</v>
      </c>
      <c r="N157" s="81">
        <f t="shared" si="60"/>
        <v>91.918015843078081</v>
      </c>
      <c r="O157" s="448"/>
    </row>
    <row r="158" spans="1:15" s="95" customFormat="1" ht="11.1" customHeight="1" outlineLevel="1" x14ac:dyDescent="0.2">
      <c r="A158" s="117"/>
      <c r="B158" s="76"/>
      <c r="C158" s="82" t="s">
        <v>70</v>
      </c>
      <c r="D158" s="108"/>
      <c r="E158" s="90"/>
      <c r="F158" s="106" t="s">
        <v>45</v>
      </c>
      <c r="G158" s="138">
        <f t="shared" si="61"/>
        <v>0</v>
      </c>
      <c r="H158" s="138">
        <f t="shared" si="61"/>
        <v>0</v>
      </c>
      <c r="I158" s="81" t="str">
        <f t="shared" si="59"/>
        <v>-</v>
      </c>
      <c r="J158" s="138">
        <f t="shared" si="62"/>
        <v>0</v>
      </c>
      <c r="K158" s="138">
        <f t="shared" si="62"/>
        <v>0</v>
      </c>
      <c r="L158" s="138">
        <f t="shared" si="62"/>
        <v>0</v>
      </c>
      <c r="M158" s="80">
        <f t="shared" si="62"/>
        <v>0</v>
      </c>
      <c r="N158" s="81" t="str">
        <f t="shared" si="60"/>
        <v>-</v>
      </c>
      <c r="O158" s="448"/>
    </row>
    <row r="159" spans="1:15" s="95" customFormat="1" ht="11.1" customHeight="1" outlineLevel="1" x14ac:dyDescent="0.2">
      <c r="A159" s="117"/>
      <c r="B159" s="76"/>
      <c r="C159" s="82" t="s">
        <v>71</v>
      </c>
      <c r="D159" s="108"/>
      <c r="E159" s="90"/>
      <c r="F159" s="106" t="s">
        <v>359</v>
      </c>
      <c r="G159" s="138">
        <f t="shared" si="61"/>
        <v>0</v>
      </c>
      <c r="H159" s="138">
        <f t="shared" si="61"/>
        <v>0</v>
      </c>
      <c r="I159" s="81" t="str">
        <f t="shared" si="59"/>
        <v>-</v>
      </c>
      <c r="J159" s="138">
        <f t="shared" si="62"/>
        <v>0</v>
      </c>
      <c r="K159" s="138">
        <f t="shared" si="62"/>
        <v>0</v>
      </c>
      <c r="L159" s="138">
        <f t="shared" si="62"/>
        <v>0</v>
      </c>
      <c r="M159" s="80">
        <f t="shared" si="62"/>
        <v>0</v>
      </c>
      <c r="N159" s="81" t="str">
        <f t="shared" si="60"/>
        <v>-</v>
      </c>
      <c r="O159" s="448"/>
    </row>
    <row r="160" spans="1:15" s="95" customFormat="1" ht="11.1" customHeight="1" outlineLevel="1" x14ac:dyDescent="0.2">
      <c r="A160" s="117"/>
      <c r="B160" s="76"/>
      <c r="C160" s="82" t="s">
        <v>72</v>
      </c>
      <c r="D160" s="108"/>
      <c r="E160" s="90"/>
      <c r="F160" s="106"/>
      <c r="G160" s="139"/>
      <c r="H160" s="139"/>
      <c r="I160" s="81"/>
      <c r="J160" s="139"/>
      <c r="K160" s="139"/>
      <c r="L160" s="138"/>
      <c r="M160" s="89"/>
      <c r="N160" s="81"/>
      <c r="O160" s="448"/>
    </row>
    <row r="161" spans="1:15" s="95" customFormat="1" ht="10.5" customHeight="1" outlineLevel="1" x14ac:dyDescent="0.2">
      <c r="A161" s="117"/>
      <c r="B161" s="76"/>
      <c r="C161" s="82"/>
      <c r="D161" s="90"/>
      <c r="E161" s="90"/>
      <c r="F161" s="106"/>
      <c r="G161" s="139"/>
      <c r="H161" s="139"/>
      <c r="I161" s="81"/>
      <c r="J161" s="139"/>
      <c r="K161" s="139"/>
      <c r="L161" s="138"/>
      <c r="M161" s="89"/>
      <c r="N161" s="81"/>
      <c r="O161" s="448"/>
    </row>
    <row r="162" spans="1:15" s="115" customFormat="1" ht="11.1" customHeight="1" outlineLevel="1" x14ac:dyDescent="0.2">
      <c r="A162" s="117"/>
      <c r="B162" s="109"/>
      <c r="C162" s="110"/>
      <c r="D162" s="111"/>
      <c r="E162" s="425" t="s">
        <v>56</v>
      </c>
      <c r="F162" s="112" t="s">
        <v>15</v>
      </c>
      <c r="G162" s="242">
        <v>250179</v>
      </c>
      <c r="H162" s="142">
        <f>ROUNDUP(242096+M162,0)</f>
        <v>242591</v>
      </c>
      <c r="I162" s="81">
        <f t="shared" ref="I162:I167" si="63">IF(G162&gt;0,H162/G162*100,"-")</f>
        <v>96.966971648299818</v>
      </c>
      <c r="J162" s="142">
        <v>4941</v>
      </c>
      <c r="K162" s="142">
        <f t="shared" ref="K162:K167" si="64">L162-J162</f>
        <v>3142</v>
      </c>
      <c r="L162" s="142">
        <v>8083</v>
      </c>
      <c r="M162" s="113">
        <v>494.1</v>
      </c>
      <c r="N162" s="81">
        <f t="shared" ref="N162:N167" si="65">IF(L162&gt;0,M162/L162*100,"-")</f>
        <v>6.1128293950265995</v>
      </c>
      <c r="O162" s="448"/>
    </row>
    <row r="163" spans="1:15" s="115" customFormat="1" ht="11.1" customHeight="1" outlineLevel="1" x14ac:dyDescent="0.2">
      <c r="A163" s="117"/>
      <c r="B163" s="109"/>
      <c r="C163" s="110"/>
      <c r="D163" s="111"/>
      <c r="E163" s="425"/>
      <c r="F163" s="112" t="s">
        <v>7</v>
      </c>
      <c r="G163" s="142">
        <v>0</v>
      </c>
      <c r="H163" s="142">
        <f t="shared" ref="H163:H167" si="66">ROUNDUP(0+M163,0)</f>
        <v>0</v>
      </c>
      <c r="I163" s="81" t="str">
        <f t="shared" si="63"/>
        <v>-</v>
      </c>
      <c r="J163" s="142">
        <v>0</v>
      </c>
      <c r="K163" s="142">
        <f t="shared" si="64"/>
        <v>0</v>
      </c>
      <c r="L163" s="142">
        <v>0</v>
      </c>
      <c r="M163" s="113">
        <v>0</v>
      </c>
      <c r="N163" s="81" t="str">
        <f t="shared" si="65"/>
        <v>-</v>
      </c>
      <c r="O163" s="448"/>
    </row>
    <row r="164" spans="1:15" s="115" customFormat="1" ht="11.1" customHeight="1" outlineLevel="1" x14ac:dyDescent="0.2">
      <c r="A164" s="117"/>
      <c r="B164" s="109"/>
      <c r="C164" s="110"/>
      <c r="D164" s="111"/>
      <c r="E164" s="425"/>
      <c r="F164" s="112" t="s">
        <v>8</v>
      </c>
      <c r="G164" s="142">
        <v>0</v>
      </c>
      <c r="H164" s="142">
        <f t="shared" si="66"/>
        <v>0</v>
      </c>
      <c r="I164" s="81" t="str">
        <f t="shared" si="63"/>
        <v>-</v>
      </c>
      <c r="J164" s="142">
        <v>0</v>
      </c>
      <c r="K164" s="142">
        <f t="shared" si="64"/>
        <v>0</v>
      </c>
      <c r="L164" s="142">
        <v>0</v>
      </c>
      <c r="M164" s="113">
        <v>0</v>
      </c>
      <c r="N164" s="81" t="str">
        <f t="shared" si="65"/>
        <v>-</v>
      </c>
      <c r="O164" s="448"/>
    </row>
    <row r="165" spans="1:15" s="115" customFormat="1" ht="11.1" customHeight="1" outlineLevel="1" x14ac:dyDescent="0.2">
      <c r="A165" s="117"/>
      <c r="B165" s="109"/>
      <c r="C165" s="110"/>
      <c r="D165" s="111"/>
      <c r="E165" s="189"/>
      <c r="F165" s="112" t="s">
        <v>22</v>
      </c>
      <c r="G165" s="142">
        <v>0</v>
      </c>
      <c r="H165" s="142">
        <f t="shared" si="66"/>
        <v>0</v>
      </c>
      <c r="I165" s="81" t="str">
        <f t="shared" si="63"/>
        <v>-</v>
      </c>
      <c r="J165" s="142">
        <v>0</v>
      </c>
      <c r="K165" s="142">
        <f t="shared" si="64"/>
        <v>0</v>
      </c>
      <c r="L165" s="142">
        <v>0</v>
      </c>
      <c r="M165" s="113">
        <v>0</v>
      </c>
      <c r="N165" s="81" t="str">
        <f t="shared" si="65"/>
        <v>-</v>
      </c>
      <c r="O165" s="448"/>
    </row>
    <row r="166" spans="1:15" s="115" customFormat="1" ht="11.1" customHeight="1" outlineLevel="1" x14ac:dyDescent="0.2">
      <c r="A166" s="117"/>
      <c r="B166" s="109"/>
      <c r="C166" s="110"/>
      <c r="D166" s="111"/>
      <c r="E166" s="189"/>
      <c r="F166" s="112" t="s">
        <v>45</v>
      </c>
      <c r="G166" s="142">
        <v>0</v>
      </c>
      <c r="H166" s="142">
        <f t="shared" si="66"/>
        <v>0</v>
      </c>
      <c r="I166" s="81" t="str">
        <f t="shared" si="63"/>
        <v>-</v>
      </c>
      <c r="J166" s="142">
        <v>0</v>
      </c>
      <c r="K166" s="142">
        <f t="shared" si="64"/>
        <v>0</v>
      </c>
      <c r="L166" s="142">
        <v>0</v>
      </c>
      <c r="M166" s="113">
        <v>0</v>
      </c>
      <c r="N166" s="81" t="str">
        <f t="shared" si="65"/>
        <v>-</v>
      </c>
      <c r="O166" s="448"/>
    </row>
    <row r="167" spans="1:15" s="115" customFormat="1" ht="11.1" customHeight="1" outlineLevel="1" x14ac:dyDescent="0.2">
      <c r="A167" s="117"/>
      <c r="B167" s="109"/>
      <c r="C167" s="110"/>
      <c r="D167" s="285"/>
      <c r="E167" s="189"/>
      <c r="F167" s="112" t="s">
        <v>359</v>
      </c>
      <c r="G167" s="142">
        <v>0</v>
      </c>
      <c r="H167" s="142">
        <f t="shared" si="66"/>
        <v>0</v>
      </c>
      <c r="I167" s="81" t="str">
        <f t="shared" si="63"/>
        <v>-</v>
      </c>
      <c r="J167" s="142">
        <v>0</v>
      </c>
      <c r="K167" s="142">
        <f t="shared" si="64"/>
        <v>0</v>
      </c>
      <c r="L167" s="142">
        <v>0</v>
      </c>
      <c r="M167" s="113">
        <v>0</v>
      </c>
      <c r="N167" s="81" t="str">
        <f t="shared" si="65"/>
        <v>-</v>
      </c>
      <c r="O167" s="448"/>
    </row>
    <row r="168" spans="1:15" s="115" customFormat="1" ht="3.95" customHeight="1" outlineLevel="1" x14ac:dyDescent="0.2">
      <c r="A168" s="117"/>
      <c r="B168" s="109"/>
      <c r="C168" s="110"/>
      <c r="D168" s="372"/>
      <c r="E168" s="189"/>
      <c r="F168" s="116"/>
      <c r="G168" s="142"/>
      <c r="H168" s="142"/>
      <c r="I168" s="81"/>
      <c r="J168" s="142"/>
      <c r="K168" s="142"/>
      <c r="L168" s="143"/>
      <c r="M168" s="114"/>
      <c r="N168" s="81"/>
      <c r="O168" s="182"/>
    </row>
    <row r="169" spans="1:15" s="115" customFormat="1" ht="3" customHeight="1" outlineLevel="1" x14ac:dyDescent="0.2">
      <c r="A169" s="117"/>
      <c r="B169" s="109"/>
      <c r="C169" s="110"/>
      <c r="D169" s="275"/>
      <c r="E169" s="275"/>
      <c r="F169" s="116"/>
      <c r="G169" s="142"/>
      <c r="H169" s="142"/>
      <c r="I169" s="276"/>
      <c r="J169" s="142"/>
      <c r="K169" s="142"/>
      <c r="L169" s="143"/>
      <c r="M169" s="114"/>
      <c r="N169" s="276"/>
      <c r="O169" s="182"/>
    </row>
    <row r="170" spans="1:15" s="115" customFormat="1" ht="11.1" customHeight="1" outlineLevel="1" x14ac:dyDescent="0.2">
      <c r="A170" s="117"/>
      <c r="B170" s="109"/>
      <c r="C170" s="110"/>
      <c r="D170" s="111"/>
      <c r="E170" s="425" t="s">
        <v>57</v>
      </c>
      <c r="F170" s="112" t="s">
        <v>15</v>
      </c>
      <c r="G170" s="242">
        <v>432843</v>
      </c>
      <c r="H170" s="142">
        <f>ROUNDUP(361795+M170,0)</f>
        <v>432802</v>
      </c>
      <c r="I170" s="81">
        <f t="shared" ref="I170:I175" si="67">IF(G170&gt;0,H170/G170*100,"-")</f>
        <v>99.99052774331571</v>
      </c>
      <c r="J170" s="142">
        <v>58076</v>
      </c>
      <c r="K170" s="142">
        <f t="shared" ref="K170:K175" si="68">L170-J170</f>
        <v>12972</v>
      </c>
      <c r="L170" s="142">
        <v>71048</v>
      </c>
      <c r="M170" s="113">
        <v>71006.89</v>
      </c>
      <c r="N170" s="81">
        <f t="shared" ref="N170:N175" si="69">IF(L170&gt;0,M170/L170*100,"-")</f>
        <v>99.942137709717372</v>
      </c>
      <c r="O170" s="182"/>
    </row>
    <row r="171" spans="1:15" s="115" customFormat="1" ht="11.1" customHeight="1" outlineLevel="1" x14ac:dyDescent="0.2">
      <c r="A171" s="117"/>
      <c r="B171" s="109"/>
      <c r="C171" s="110"/>
      <c r="D171" s="111"/>
      <c r="E171" s="425"/>
      <c r="F171" s="112" t="s">
        <v>7</v>
      </c>
      <c r="G171" s="142">
        <v>0</v>
      </c>
      <c r="H171" s="142">
        <f t="shared" ref="H171:H175" si="70">ROUNDUP(0+M171,0)</f>
        <v>0</v>
      </c>
      <c r="I171" s="81" t="str">
        <f t="shared" si="67"/>
        <v>-</v>
      </c>
      <c r="J171" s="142">
        <v>0</v>
      </c>
      <c r="K171" s="142">
        <f t="shared" si="68"/>
        <v>0</v>
      </c>
      <c r="L171" s="142">
        <v>0</v>
      </c>
      <c r="M171" s="113">
        <v>0</v>
      </c>
      <c r="N171" s="81" t="str">
        <f t="shared" si="69"/>
        <v>-</v>
      </c>
      <c r="O171" s="182"/>
    </row>
    <row r="172" spans="1:15" s="115" customFormat="1" ht="11.1" customHeight="1" outlineLevel="1" x14ac:dyDescent="0.2">
      <c r="A172" s="117"/>
      <c r="B172" s="109"/>
      <c r="C172" s="110"/>
      <c r="D172" s="111"/>
      <c r="E172" s="425"/>
      <c r="F172" s="112" t="s">
        <v>8</v>
      </c>
      <c r="G172" s="142">
        <v>0</v>
      </c>
      <c r="H172" s="142">
        <f t="shared" si="70"/>
        <v>0</v>
      </c>
      <c r="I172" s="81" t="str">
        <f t="shared" si="67"/>
        <v>-</v>
      </c>
      <c r="J172" s="142">
        <v>0</v>
      </c>
      <c r="K172" s="142">
        <f t="shared" si="68"/>
        <v>0</v>
      </c>
      <c r="L172" s="142">
        <v>0</v>
      </c>
      <c r="M172" s="113">
        <v>0</v>
      </c>
      <c r="N172" s="81" t="str">
        <f t="shared" si="69"/>
        <v>-</v>
      </c>
      <c r="O172" s="182"/>
    </row>
    <row r="173" spans="1:15" s="115" customFormat="1" ht="11.1" customHeight="1" outlineLevel="1" x14ac:dyDescent="0.2">
      <c r="A173" s="117"/>
      <c r="B173" s="109"/>
      <c r="C173" s="110"/>
      <c r="D173" s="111"/>
      <c r="E173" s="189"/>
      <c r="F173" s="112" t="s">
        <v>22</v>
      </c>
      <c r="G173" s="142">
        <v>0</v>
      </c>
      <c r="H173" s="142">
        <f t="shared" si="70"/>
        <v>0</v>
      </c>
      <c r="I173" s="81" t="str">
        <f t="shared" si="67"/>
        <v>-</v>
      </c>
      <c r="J173" s="142">
        <v>0</v>
      </c>
      <c r="K173" s="142">
        <f t="shared" si="68"/>
        <v>0</v>
      </c>
      <c r="L173" s="142">
        <v>0</v>
      </c>
      <c r="M173" s="113">
        <v>0</v>
      </c>
      <c r="N173" s="81" t="str">
        <f t="shared" si="69"/>
        <v>-</v>
      </c>
      <c r="O173" s="182"/>
    </row>
    <row r="174" spans="1:15" s="115" customFormat="1" ht="11.1" customHeight="1" outlineLevel="1" x14ac:dyDescent="0.2">
      <c r="A174" s="117"/>
      <c r="B174" s="109"/>
      <c r="C174" s="110"/>
      <c r="D174" s="111"/>
      <c r="E174" s="189"/>
      <c r="F174" s="112" t="s">
        <v>45</v>
      </c>
      <c r="G174" s="142">
        <v>0</v>
      </c>
      <c r="H174" s="142">
        <f t="shared" si="70"/>
        <v>0</v>
      </c>
      <c r="I174" s="81" t="str">
        <f t="shared" si="67"/>
        <v>-</v>
      </c>
      <c r="J174" s="142">
        <v>0</v>
      </c>
      <c r="K174" s="142">
        <f t="shared" si="68"/>
        <v>0</v>
      </c>
      <c r="L174" s="142">
        <v>0</v>
      </c>
      <c r="M174" s="113">
        <v>0</v>
      </c>
      <c r="N174" s="81" t="str">
        <f t="shared" si="69"/>
        <v>-</v>
      </c>
      <c r="O174" s="182"/>
    </row>
    <row r="175" spans="1:15" s="115" customFormat="1" ht="11.1" customHeight="1" outlineLevel="1" x14ac:dyDescent="0.2">
      <c r="A175" s="117"/>
      <c r="B175" s="109"/>
      <c r="C175" s="110"/>
      <c r="D175" s="111"/>
      <c r="E175" s="189"/>
      <c r="F175" s="112" t="s">
        <v>359</v>
      </c>
      <c r="G175" s="142">
        <v>0</v>
      </c>
      <c r="H175" s="142">
        <f t="shared" si="70"/>
        <v>0</v>
      </c>
      <c r="I175" s="81" t="str">
        <f t="shared" si="67"/>
        <v>-</v>
      </c>
      <c r="J175" s="142">
        <v>0</v>
      </c>
      <c r="K175" s="142">
        <f t="shared" si="68"/>
        <v>0</v>
      </c>
      <c r="L175" s="142">
        <v>0</v>
      </c>
      <c r="M175" s="113">
        <v>0</v>
      </c>
      <c r="N175" s="81" t="str">
        <f t="shared" si="69"/>
        <v>-</v>
      </c>
      <c r="O175" s="182"/>
    </row>
    <row r="176" spans="1:15" s="115" customFormat="1" ht="3" customHeight="1" outlineLevel="1" x14ac:dyDescent="0.2">
      <c r="A176" s="117"/>
      <c r="B176" s="109"/>
      <c r="C176" s="110"/>
      <c r="D176" s="285"/>
      <c r="E176" s="189"/>
      <c r="F176" s="116"/>
      <c r="G176" s="142"/>
      <c r="H176" s="142"/>
      <c r="I176" s="81"/>
      <c r="J176" s="142"/>
      <c r="K176" s="142"/>
      <c r="L176" s="143"/>
      <c r="M176" s="114"/>
      <c r="N176" s="81"/>
      <c r="O176" s="182"/>
    </row>
    <row r="177" spans="1:15" s="115" customFormat="1" ht="11.1" customHeight="1" outlineLevel="1" x14ac:dyDescent="0.2">
      <c r="A177" s="117"/>
      <c r="B177" s="109"/>
      <c r="C177" s="110"/>
      <c r="D177" s="111"/>
      <c r="E177" s="425" t="s">
        <v>58</v>
      </c>
      <c r="F177" s="112" t="s">
        <v>15</v>
      </c>
      <c r="G177" s="142">
        <v>72198</v>
      </c>
      <c r="H177" s="142">
        <f>ROUNDUP(27384+M177,0)</f>
        <v>27384</v>
      </c>
      <c r="I177" s="81">
        <f t="shared" ref="I177:I182" si="71">IF(G177&gt;0,H177/G177*100,"-")</f>
        <v>37.929028504944732</v>
      </c>
      <c r="J177" s="142">
        <v>0</v>
      </c>
      <c r="K177" s="142">
        <f t="shared" ref="K177:K182" si="72">L177-J177</f>
        <v>44814</v>
      </c>
      <c r="L177" s="142">
        <v>44814</v>
      </c>
      <c r="M177" s="113">
        <v>0</v>
      </c>
      <c r="N177" s="81">
        <f t="shared" ref="N177:N182" si="73">IF(L177&gt;0,M177/L177*100,"-")</f>
        <v>0</v>
      </c>
      <c r="O177" s="182"/>
    </row>
    <row r="178" spans="1:15" s="115" customFormat="1" ht="11.1" customHeight="1" outlineLevel="1" x14ac:dyDescent="0.2">
      <c r="A178" s="117"/>
      <c r="B178" s="109"/>
      <c r="C178" s="110"/>
      <c r="D178" s="111"/>
      <c r="E178" s="425"/>
      <c r="F178" s="112" t="s">
        <v>7</v>
      </c>
      <c r="G178" s="142">
        <v>0</v>
      </c>
      <c r="H178" s="142">
        <f t="shared" ref="H178:H182" si="74">ROUNDUP(0+M178,0)</f>
        <v>0</v>
      </c>
      <c r="I178" s="81" t="str">
        <f t="shared" si="71"/>
        <v>-</v>
      </c>
      <c r="J178" s="142">
        <v>0</v>
      </c>
      <c r="K178" s="142">
        <f t="shared" si="72"/>
        <v>0</v>
      </c>
      <c r="L178" s="142">
        <v>0</v>
      </c>
      <c r="M178" s="113">
        <v>0</v>
      </c>
      <c r="N178" s="81" t="str">
        <f t="shared" si="73"/>
        <v>-</v>
      </c>
      <c r="O178" s="182"/>
    </row>
    <row r="179" spans="1:15" s="115" customFormat="1" ht="11.1" customHeight="1" outlineLevel="1" x14ac:dyDescent="0.2">
      <c r="A179" s="117"/>
      <c r="B179" s="109"/>
      <c r="C179" s="110"/>
      <c r="D179" s="111"/>
      <c r="E179" s="425"/>
      <c r="F179" s="112" t="s">
        <v>8</v>
      </c>
      <c r="G179" s="142">
        <v>0</v>
      </c>
      <c r="H179" s="142">
        <f t="shared" si="74"/>
        <v>0</v>
      </c>
      <c r="I179" s="81" t="str">
        <f t="shared" si="71"/>
        <v>-</v>
      </c>
      <c r="J179" s="142">
        <v>0</v>
      </c>
      <c r="K179" s="142">
        <f t="shared" si="72"/>
        <v>0</v>
      </c>
      <c r="L179" s="142">
        <v>0</v>
      </c>
      <c r="M179" s="113">
        <v>0</v>
      </c>
      <c r="N179" s="81" t="str">
        <f t="shared" si="73"/>
        <v>-</v>
      </c>
      <c r="O179" s="182"/>
    </row>
    <row r="180" spans="1:15" s="115" customFormat="1" ht="11.1" customHeight="1" outlineLevel="1" x14ac:dyDescent="0.2">
      <c r="A180" s="117"/>
      <c r="B180" s="109"/>
      <c r="C180" s="110"/>
      <c r="D180" s="111"/>
      <c r="E180" s="189"/>
      <c r="F180" s="112" t="s">
        <v>22</v>
      </c>
      <c r="G180" s="142">
        <v>0</v>
      </c>
      <c r="H180" s="142">
        <f t="shared" si="74"/>
        <v>0</v>
      </c>
      <c r="I180" s="81" t="str">
        <f t="shared" si="71"/>
        <v>-</v>
      </c>
      <c r="J180" s="142">
        <v>0</v>
      </c>
      <c r="K180" s="142">
        <f t="shared" si="72"/>
        <v>0</v>
      </c>
      <c r="L180" s="142">
        <v>0</v>
      </c>
      <c r="M180" s="113">
        <v>0</v>
      </c>
      <c r="N180" s="81" t="str">
        <f t="shared" si="73"/>
        <v>-</v>
      </c>
      <c r="O180" s="182"/>
    </row>
    <row r="181" spans="1:15" s="115" customFormat="1" ht="11.1" customHeight="1" outlineLevel="1" x14ac:dyDescent="0.2">
      <c r="A181" s="117"/>
      <c r="B181" s="109"/>
      <c r="C181" s="110"/>
      <c r="D181" s="111"/>
      <c r="E181" s="189"/>
      <c r="F181" s="112" t="s">
        <v>45</v>
      </c>
      <c r="G181" s="142">
        <v>0</v>
      </c>
      <c r="H181" s="142">
        <f t="shared" si="74"/>
        <v>0</v>
      </c>
      <c r="I181" s="81" t="str">
        <f t="shared" si="71"/>
        <v>-</v>
      </c>
      <c r="J181" s="142">
        <v>0</v>
      </c>
      <c r="K181" s="142">
        <f t="shared" si="72"/>
        <v>0</v>
      </c>
      <c r="L181" s="142">
        <v>0</v>
      </c>
      <c r="M181" s="113">
        <v>0</v>
      </c>
      <c r="N181" s="81" t="str">
        <f t="shared" si="73"/>
        <v>-</v>
      </c>
      <c r="O181" s="182"/>
    </row>
    <row r="182" spans="1:15" s="115" customFormat="1" ht="11.1" customHeight="1" outlineLevel="1" x14ac:dyDescent="0.2">
      <c r="A182" s="117"/>
      <c r="B182" s="109"/>
      <c r="C182" s="110"/>
      <c r="D182" s="111"/>
      <c r="E182" s="189"/>
      <c r="F182" s="112" t="s">
        <v>359</v>
      </c>
      <c r="G182" s="142">
        <v>0</v>
      </c>
      <c r="H182" s="142">
        <f t="shared" si="74"/>
        <v>0</v>
      </c>
      <c r="I182" s="81" t="str">
        <f t="shared" si="71"/>
        <v>-</v>
      </c>
      <c r="J182" s="142">
        <v>0</v>
      </c>
      <c r="K182" s="142">
        <f t="shared" si="72"/>
        <v>0</v>
      </c>
      <c r="L182" s="142">
        <v>0</v>
      </c>
      <c r="M182" s="113">
        <v>0</v>
      </c>
      <c r="N182" s="81" t="str">
        <f t="shared" si="73"/>
        <v>-</v>
      </c>
      <c r="O182" s="182"/>
    </row>
    <row r="183" spans="1:15" s="115" customFormat="1" ht="3" customHeight="1" outlineLevel="1" x14ac:dyDescent="0.2">
      <c r="A183" s="117"/>
      <c r="B183" s="109"/>
      <c r="C183" s="110"/>
      <c r="D183" s="111"/>
      <c r="E183" s="111"/>
      <c r="F183" s="116"/>
      <c r="G183" s="142"/>
      <c r="H183" s="142"/>
      <c r="I183" s="81"/>
      <c r="J183" s="142"/>
      <c r="K183" s="142"/>
      <c r="L183" s="143"/>
      <c r="M183" s="114"/>
      <c r="N183" s="81"/>
      <c r="O183" s="182"/>
    </row>
    <row r="184" spans="1:15" s="115" customFormat="1" ht="11.1" customHeight="1" outlineLevel="1" x14ac:dyDescent="0.2">
      <c r="A184" s="117"/>
      <c r="B184" s="109"/>
      <c r="C184" s="110"/>
      <c r="D184" s="111"/>
      <c r="E184" s="425" t="s">
        <v>53</v>
      </c>
      <c r="F184" s="112" t="s">
        <v>15</v>
      </c>
      <c r="G184" s="242">
        <v>850205</v>
      </c>
      <c r="H184" s="142">
        <f>ROUNDUP(664866+M184,0)</f>
        <v>846227</v>
      </c>
      <c r="I184" s="81">
        <f t="shared" ref="I184:I189" si="75">IF(G184&gt;0,H184/G184*100,"-")</f>
        <v>99.532112843373071</v>
      </c>
      <c r="J184" s="142">
        <v>194073</v>
      </c>
      <c r="K184" s="142">
        <f t="shared" ref="K184:K189" si="76">L184-J184</f>
        <v>-8734</v>
      </c>
      <c r="L184" s="142">
        <v>185339</v>
      </c>
      <c r="M184" s="113">
        <v>181360.91</v>
      </c>
      <c r="N184" s="81">
        <f t="shared" ref="N184:N189" si="77">IF(L184&gt;0,M184/L184*100,"-")</f>
        <v>97.853614188055403</v>
      </c>
      <c r="O184" s="182"/>
    </row>
    <row r="185" spans="1:15" s="115" customFormat="1" ht="11.1" customHeight="1" outlineLevel="1" x14ac:dyDescent="0.2">
      <c r="A185" s="117"/>
      <c r="B185" s="109"/>
      <c r="C185" s="110"/>
      <c r="D185" s="111"/>
      <c r="E185" s="425"/>
      <c r="F185" s="112" t="s">
        <v>7</v>
      </c>
      <c r="G185" s="142">
        <v>0</v>
      </c>
      <c r="H185" s="142">
        <f t="shared" ref="H185:H189" si="78">ROUNDUP(0+M185,0)</f>
        <v>0</v>
      </c>
      <c r="I185" s="81" t="str">
        <f t="shared" si="75"/>
        <v>-</v>
      </c>
      <c r="J185" s="142">
        <v>0</v>
      </c>
      <c r="K185" s="142">
        <f t="shared" si="76"/>
        <v>0</v>
      </c>
      <c r="L185" s="142">
        <v>0</v>
      </c>
      <c r="M185" s="113">
        <v>0</v>
      </c>
      <c r="N185" s="81" t="str">
        <f t="shared" si="77"/>
        <v>-</v>
      </c>
      <c r="O185" s="182"/>
    </row>
    <row r="186" spans="1:15" s="115" customFormat="1" ht="11.1" customHeight="1" outlineLevel="1" x14ac:dyDescent="0.2">
      <c r="A186" s="117"/>
      <c r="B186" s="109"/>
      <c r="C186" s="110"/>
      <c r="D186" s="111"/>
      <c r="E186" s="425"/>
      <c r="F186" s="112" t="s">
        <v>8</v>
      </c>
      <c r="G186" s="142">
        <v>0</v>
      </c>
      <c r="H186" s="142">
        <f t="shared" si="78"/>
        <v>0</v>
      </c>
      <c r="I186" s="81" t="str">
        <f t="shared" si="75"/>
        <v>-</v>
      </c>
      <c r="J186" s="142">
        <v>0</v>
      </c>
      <c r="K186" s="142">
        <f t="shared" si="76"/>
        <v>0</v>
      </c>
      <c r="L186" s="142">
        <v>0</v>
      </c>
      <c r="M186" s="113">
        <v>0</v>
      </c>
      <c r="N186" s="81" t="str">
        <f t="shared" si="77"/>
        <v>-</v>
      </c>
      <c r="O186" s="182"/>
    </row>
    <row r="187" spans="1:15" s="115" customFormat="1" ht="11.1" customHeight="1" outlineLevel="1" x14ac:dyDescent="0.2">
      <c r="A187" s="117"/>
      <c r="B187" s="109"/>
      <c r="C187" s="110"/>
      <c r="D187" s="111"/>
      <c r="E187" s="189"/>
      <c r="F187" s="112" t="s">
        <v>22</v>
      </c>
      <c r="G187" s="142">
        <v>0</v>
      </c>
      <c r="H187" s="142">
        <f t="shared" si="78"/>
        <v>0</v>
      </c>
      <c r="I187" s="81" t="str">
        <f t="shared" si="75"/>
        <v>-</v>
      </c>
      <c r="J187" s="142">
        <v>0</v>
      </c>
      <c r="K187" s="142">
        <f t="shared" si="76"/>
        <v>0</v>
      </c>
      <c r="L187" s="142">
        <v>0</v>
      </c>
      <c r="M187" s="113">
        <v>0</v>
      </c>
      <c r="N187" s="81" t="str">
        <f t="shared" si="77"/>
        <v>-</v>
      </c>
      <c r="O187" s="182"/>
    </row>
    <row r="188" spans="1:15" s="115" customFormat="1" ht="11.1" customHeight="1" outlineLevel="1" x14ac:dyDescent="0.2">
      <c r="A188" s="117"/>
      <c r="B188" s="109"/>
      <c r="C188" s="110"/>
      <c r="D188" s="111"/>
      <c r="E188" s="189"/>
      <c r="F188" s="112" t="s">
        <v>45</v>
      </c>
      <c r="G188" s="142">
        <v>0</v>
      </c>
      <c r="H188" s="142">
        <f t="shared" si="78"/>
        <v>0</v>
      </c>
      <c r="I188" s="81" t="str">
        <f t="shared" si="75"/>
        <v>-</v>
      </c>
      <c r="J188" s="142">
        <v>0</v>
      </c>
      <c r="K188" s="142">
        <f t="shared" si="76"/>
        <v>0</v>
      </c>
      <c r="L188" s="142">
        <v>0</v>
      </c>
      <c r="M188" s="113">
        <v>0</v>
      </c>
      <c r="N188" s="81" t="str">
        <f t="shared" si="77"/>
        <v>-</v>
      </c>
      <c r="O188" s="182"/>
    </row>
    <row r="189" spans="1:15" s="115" customFormat="1" ht="11.1" customHeight="1" outlineLevel="1" x14ac:dyDescent="0.2">
      <c r="A189" s="117"/>
      <c r="B189" s="109"/>
      <c r="C189" s="110"/>
      <c r="D189" s="111"/>
      <c r="E189" s="189"/>
      <c r="F189" s="112" t="s">
        <v>359</v>
      </c>
      <c r="G189" s="142">
        <v>0</v>
      </c>
      <c r="H189" s="142">
        <f t="shared" si="78"/>
        <v>0</v>
      </c>
      <c r="I189" s="81" t="str">
        <f t="shared" si="75"/>
        <v>-</v>
      </c>
      <c r="J189" s="142">
        <v>0</v>
      </c>
      <c r="K189" s="142">
        <f t="shared" si="76"/>
        <v>0</v>
      </c>
      <c r="L189" s="142">
        <v>0</v>
      </c>
      <c r="M189" s="113">
        <v>0</v>
      </c>
      <c r="N189" s="81" t="str">
        <f t="shared" si="77"/>
        <v>-</v>
      </c>
      <c r="O189" s="182"/>
    </row>
    <row r="190" spans="1:15" s="115" customFormat="1" ht="3" customHeight="1" outlineLevel="1" x14ac:dyDescent="0.2">
      <c r="A190" s="117"/>
      <c r="B190" s="109"/>
      <c r="C190" s="110"/>
      <c r="D190" s="111"/>
      <c r="E190" s="111"/>
      <c r="F190" s="116"/>
      <c r="G190" s="142"/>
      <c r="H190" s="142"/>
      <c r="I190" s="81"/>
      <c r="J190" s="142"/>
      <c r="K190" s="142"/>
      <c r="L190" s="143"/>
      <c r="M190" s="114"/>
      <c r="N190" s="81"/>
      <c r="O190" s="182"/>
    </row>
    <row r="191" spans="1:15" s="115" customFormat="1" ht="11.1" customHeight="1" outlineLevel="1" x14ac:dyDescent="0.2">
      <c r="A191" s="117"/>
      <c r="B191" s="109"/>
      <c r="C191" s="110"/>
      <c r="D191" s="111"/>
      <c r="E191" s="425" t="s">
        <v>54</v>
      </c>
      <c r="F191" s="112" t="s">
        <v>15</v>
      </c>
      <c r="G191" s="142">
        <v>0</v>
      </c>
      <c r="H191" s="142">
        <f t="shared" ref="H191" si="79">ROUNDUP(0+M191,0)</f>
        <v>0</v>
      </c>
      <c r="I191" s="81" t="str">
        <f t="shared" ref="I191:I196" si="80">IF(G191&gt;0,H191/G191*100,"-")</f>
        <v>-</v>
      </c>
      <c r="J191" s="142">
        <v>0</v>
      </c>
      <c r="K191" s="142">
        <f t="shared" ref="K191:K196" si="81">L191-J191</f>
        <v>0</v>
      </c>
      <c r="L191" s="142">
        <v>0</v>
      </c>
      <c r="M191" s="113">
        <v>0</v>
      </c>
      <c r="N191" s="81" t="str">
        <f t="shared" ref="N191:N196" si="82">IF(L191&gt;0,M191/L191*100,"-")</f>
        <v>-</v>
      </c>
      <c r="O191" s="182"/>
    </row>
    <row r="192" spans="1:15" s="115" customFormat="1" ht="11.1" customHeight="1" outlineLevel="1" x14ac:dyDescent="0.2">
      <c r="A192" s="117"/>
      <c r="B192" s="109"/>
      <c r="C192" s="110"/>
      <c r="D192" s="111"/>
      <c r="E192" s="425"/>
      <c r="F192" s="112" t="s">
        <v>7</v>
      </c>
      <c r="G192" s="242">
        <v>12289745</v>
      </c>
      <c r="H192" s="142">
        <f>ROUNDUP(9786032+M192,0)</f>
        <v>12087404</v>
      </c>
      <c r="I192" s="81">
        <f t="shared" si="80"/>
        <v>98.353578532345466</v>
      </c>
      <c r="J192" s="142">
        <v>1139663</v>
      </c>
      <c r="K192" s="142">
        <f t="shared" si="81"/>
        <v>1364050</v>
      </c>
      <c r="L192" s="142">
        <v>2503713</v>
      </c>
      <c r="M192" s="113">
        <v>2301371.71</v>
      </c>
      <c r="N192" s="81">
        <f t="shared" si="82"/>
        <v>91.918351264701656</v>
      </c>
      <c r="O192" s="182"/>
    </row>
    <row r="193" spans="1:15" s="115" customFormat="1" ht="11.1" customHeight="1" outlineLevel="1" x14ac:dyDescent="0.2">
      <c r="A193" s="117"/>
      <c r="B193" s="109"/>
      <c r="C193" s="110"/>
      <c r="D193" s="111"/>
      <c r="E193" s="425"/>
      <c r="F193" s="112" t="s">
        <v>8</v>
      </c>
      <c r="G193" s="142">
        <v>0</v>
      </c>
      <c r="H193" s="142">
        <f t="shared" ref="H193" si="83">ROUNDUP(0+M193,0)</f>
        <v>0</v>
      </c>
      <c r="I193" s="81" t="str">
        <f t="shared" si="80"/>
        <v>-</v>
      </c>
      <c r="J193" s="142">
        <v>0</v>
      </c>
      <c r="K193" s="142">
        <f t="shared" si="81"/>
        <v>0</v>
      </c>
      <c r="L193" s="142">
        <v>0</v>
      </c>
      <c r="M193" s="113">
        <v>0</v>
      </c>
      <c r="N193" s="81" t="str">
        <f t="shared" si="82"/>
        <v>-</v>
      </c>
      <c r="O193" s="182"/>
    </row>
    <row r="194" spans="1:15" s="115" customFormat="1" ht="11.1" customHeight="1" outlineLevel="1" x14ac:dyDescent="0.2">
      <c r="A194" s="117"/>
      <c r="B194" s="109"/>
      <c r="C194" s="110"/>
      <c r="D194" s="111"/>
      <c r="E194" s="189"/>
      <c r="F194" s="112" t="s">
        <v>22</v>
      </c>
      <c r="G194" s="242">
        <v>773312</v>
      </c>
      <c r="H194" s="142">
        <f>ROUNDUP(640762+M194,0)</f>
        <v>762600</v>
      </c>
      <c r="I194" s="81">
        <f t="shared" si="80"/>
        <v>98.61478937349996</v>
      </c>
      <c r="J194" s="142">
        <v>60337</v>
      </c>
      <c r="K194" s="142">
        <f t="shared" si="81"/>
        <v>72213</v>
      </c>
      <c r="L194" s="142">
        <v>132550</v>
      </c>
      <c r="M194" s="113">
        <v>121837.33</v>
      </c>
      <c r="N194" s="81">
        <f t="shared" si="82"/>
        <v>91.918015843078081</v>
      </c>
      <c r="O194" s="182"/>
    </row>
    <row r="195" spans="1:15" s="115" customFormat="1" ht="11.1" customHeight="1" outlineLevel="1" x14ac:dyDescent="0.2">
      <c r="A195" s="117"/>
      <c r="B195" s="109"/>
      <c r="C195" s="110"/>
      <c r="D195" s="111"/>
      <c r="E195" s="189"/>
      <c r="F195" s="112" t="s">
        <v>45</v>
      </c>
      <c r="G195" s="142">
        <v>0</v>
      </c>
      <c r="H195" s="142">
        <f t="shared" ref="H195:H196" si="84">ROUNDUP(0+M195,0)</f>
        <v>0</v>
      </c>
      <c r="I195" s="81" t="str">
        <f t="shared" si="80"/>
        <v>-</v>
      </c>
      <c r="J195" s="142">
        <v>0</v>
      </c>
      <c r="K195" s="142">
        <f t="shared" si="81"/>
        <v>0</v>
      </c>
      <c r="L195" s="142">
        <v>0</v>
      </c>
      <c r="M195" s="113">
        <v>0</v>
      </c>
      <c r="N195" s="81" t="str">
        <f t="shared" si="82"/>
        <v>-</v>
      </c>
      <c r="O195" s="182"/>
    </row>
    <row r="196" spans="1:15" s="115" customFormat="1" ht="11.1" customHeight="1" outlineLevel="1" x14ac:dyDescent="0.2">
      <c r="A196" s="117"/>
      <c r="B196" s="109"/>
      <c r="C196" s="110"/>
      <c r="D196" s="111"/>
      <c r="E196" s="189"/>
      <c r="F196" s="112" t="s">
        <v>359</v>
      </c>
      <c r="G196" s="142">
        <v>0</v>
      </c>
      <c r="H196" s="142">
        <f t="shared" si="84"/>
        <v>0</v>
      </c>
      <c r="I196" s="81" t="str">
        <f t="shared" si="80"/>
        <v>-</v>
      </c>
      <c r="J196" s="142">
        <v>0</v>
      </c>
      <c r="K196" s="142">
        <f t="shared" si="81"/>
        <v>0</v>
      </c>
      <c r="L196" s="142">
        <v>0</v>
      </c>
      <c r="M196" s="113">
        <v>0</v>
      </c>
      <c r="N196" s="81" t="str">
        <f t="shared" si="82"/>
        <v>-</v>
      </c>
      <c r="O196" s="182"/>
    </row>
    <row r="197" spans="1:15" s="115" customFormat="1" ht="3" customHeight="1" outlineLevel="1" x14ac:dyDescent="0.2">
      <c r="A197" s="117"/>
      <c r="B197" s="109"/>
      <c r="C197" s="110"/>
      <c r="D197" s="289"/>
      <c r="E197" s="189"/>
      <c r="F197" s="116"/>
      <c r="G197" s="142"/>
      <c r="H197" s="142"/>
      <c r="I197" s="81"/>
      <c r="J197" s="142"/>
      <c r="K197" s="142"/>
      <c r="L197" s="143"/>
      <c r="M197" s="114"/>
      <c r="N197" s="81"/>
      <c r="O197" s="183"/>
    </row>
    <row r="198" spans="1:15" s="95" customFormat="1" ht="3" customHeight="1" outlineLevel="1" x14ac:dyDescent="0.2">
      <c r="A198" s="152"/>
      <c r="B198" s="72"/>
      <c r="C198" s="73"/>
      <c r="D198" s="71"/>
      <c r="E198" s="71"/>
      <c r="F198" s="72"/>
      <c r="G198" s="135"/>
      <c r="H198" s="135"/>
      <c r="I198" s="75"/>
      <c r="J198" s="135"/>
      <c r="K198" s="135"/>
      <c r="L198" s="136"/>
      <c r="M198" s="74"/>
      <c r="N198" s="75"/>
      <c r="O198" s="408" t="s">
        <v>614</v>
      </c>
    </row>
    <row r="199" spans="1:15" s="95" customFormat="1" ht="11.1" customHeight="1" outlineLevel="1" x14ac:dyDescent="0.2">
      <c r="A199" s="409" t="s">
        <v>463</v>
      </c>
      <c r="B199" s="76" t="s">
        <v>9</v>
      </c>
      <c r="C199" s="77" t="s">
        <v>55</v>
      </c>
      <c r="D199" s="410" t="s">
        <v>383</v>
      </c>
      <c r="E199" s="410" t="s">
        <v>54</v>
      </c>
      <c r="F199" s="78" t="s">
        <v>28</v>
      </c>
      <c r="G199" s="137">
        <f>SUM(G200:G205)</f>
        <v>579425</v>
      </c>
      <c r="H199" s="137">
        <f>SUM(H200:H205)</f>
        <v>363740</v>
      </c>
      <c r="I199" s="39">
        <f t="shared" ref="I199:I205" si="85">IF(G199&gt;0,H199/G199*100,"-")</f>
        <v>62.776027958752209</v>
      </c>
      <c r="J199" s="137">
        <f>SUM(J200:J205)</f>
        <v>0</v>
      </c>
      <c r="K199" s="137">
        <f>SUM(K200:K205)</f>
        <v>426025</v>
      </c>
      <c r="L199" s="137">
        <f>SUM(L200:L205)</f>
        <v>426025</v>
      </c>
      <c r="M199" s="38">
        <f>SUM(M200:M205)</f>
        <v>363738.70999999996</v>
      </c>
      <c r="N199" s="39">
        <f t="shared" ref="N199:N205" si="86">IF(L199&gt;0,M199/L199*100,"-")</f>
        <v>85.379663165307193</v>
      </c>
      <c r="O199" s="405"/>
    </row>
    <row r="200" spans="1:15" s="95" customFormat="1" ht="11.1" customHeight="1" outlineLevel="1" x14ac:dyDescent="0.2">
      <c r="A200" s="409"/>
      <c r="B200" s="76" t="s">
        <v>10</v>
      </c>
      <c r="C200" s="77" t="s">
        <v>63</v>
      </c>
      <c r="D200" s="410"/>
      <c r="E200" s="410"/>
      <c r="F200" s="79" t="s">
        <v>15</v>
      </c>
      <c r="G200" s="138">
        <v>0</v>
      </c>
      <c r="H200" s="138">
        <f t="shared" ref="H200" si="87">ROUNDUP(0+M200,0)</f>
        <v>0</v>
      </c>
      <c r="I200" s="81" t="str">
        <f t="shared" si="85"/>
        <v>-</v>
      </c>
      <c r="J200" s="138">
        <v>0</v>
      </c>
      <c r="K200" s="138">
        <f t="shared" ref="K200:K205" si="88">L200-J200</f>
        <v>0</v>
      </c>
      <c r="L200" s="138">
        <v>0</v>
      </c>
      <c r="M200" s="80">
        <v>0</v>
      </c>
      <c r="N200" s="81" t="str">
        <f t="shared" si="86"/>
        <v>-</v>
      </c>
      <c r="O200" s="405"/>
    </row>
    <row r="201" spans="1:15" s="95" customFormat="1" ht="11.1" customHeight="1" outlineLevel="1" x14ac:dyDescent="0.2">
      <c r="A201" s="409"/>
      <c r="B201" s="76" t="s">
        <v>11</v>
      </c>
      <c r="C201" s="82" t="s">
        <v>276</v>
      </c>
      <c r="D201" s="410"/>
      <c r="E201" s="410"/>
      <c r="F201" s="79" t="s">
        <v>7</v>
      </c>
      <c r="G201" s="138">
        <v>492511</v>
      </c>
      <c r="H201" s="178">
        <f t="shared" ref="H201:H205" si="89">ROUNDUP(0+M201,0)</f>
        <v>311578</v>
      </c>
      <c r="I201" s="357">
        <f t="shared" si="85"/>
        <v>63.263155543734051</v>
      </c>
      <c r="J201" s="178">
        <v>0</v>
      </c>
      <c r="K201" s="138">
        <f t="shared" si="88"/>
        <v>362121</v>
      </c>
      <c r="L201" s="138">
        <v>362121</v>
      </c>
      <c r="M201" s="80">
        <v>311577.65999999997</v>
      </c>
      <c r="N201" s="81">
        <f t="shared" si="86"/>
        <v>86.042416761248305</v>
      </c>
      <c r="O201" s="405"/>
    </row>
    <row r="202" spans="1:15" s="95" customFormat="1" ht="11.1" customHeight="1" outlineLevel="1" x14ac:dyDescent="0.2">
      <c r="A202" s="117"/>
      <c r="B202" s="76"/>
      <c r="C202" s="82" t="s">
        <v>277</v>
      </c>
      <c r="D202" s="108"/>
      <c r="E202" s="108"/>
      <c r="F202" s="79" t="s">
        <v>8</v>
      </c>
      <c r="G202" s="138">
        <v>0</v>
      </c>
      <c r="H202" s="178">
        <f t="shared" ref="H202" si="90">ROUNDUP(0+M202,0)</f>
        <v>0</v>
      </c>
      <c r="I202" s="357" t="str">
        <f t="shared" si="85"/>
        <v>-</v>
      </c>
      <c r="J202" s="178">
        <v>0</v>
      </c>
      <c r="K202" s="138">
        <f t="shared" si="88"/>
        <v>0</v>
      </c>
      <c r="L202" s="138">
        <v>0</v>
      </c>
      <c r="M202" s="80">
        <v>0</v>
      </c>
      <c r="N202" s="81" t="str">
        <f t="shared" si="86"/>
        <v>-</v>
      </c>
      <c r="O202" s="405"/>
    </row>
    <row r="203" spans="1:15" s="95" customFormat="1" ht="11.1" customHeight="1" outlineLevel="1" x14ac:dyDescent="0.2">
      <c r="A203" s="117"/>
      <c r="B203" s="76" t="s">
        <v>12</v>
      </c>
      <c r="C203" s="82" t="s">
        <v>379</v>
      </c>
      <c r="D203" s="108"/>
      <c r="E203" s="108"/>
      <c r="F203" s="79" t="s">
        <v>22</v>
      </c>
      <c r="G203" s="138">
        <v>86914</v>
      </c>
      <c r="H203" s="178">
        <f t="shared" si="89"/>
        <v>52162</v>
      </c>
      <c r="I203" s="357">
        <f t="shared" si="85"/>
        <v>60.015647651701684</v>
      </c>
      <c r="J203" s="178">
        <v>0</v>
      </c>
      <c r="K203" s="138">
        <f t="shared" si="88"/>
        <v>63904</v>
      </c>
      <c r="L203" s="138">
        <v>63904</v>
      </c>
      <c r="M203" s="80">
        <v>52161.05</v>
      </c>
      <c r="N203" s="81">
        <f t="shared" si="86"/>
        <v>81.624076740110169</v>
      </c>
      <c r="O203" s="405"/>
    </row>
    <row r="204" spans="1:15" s="95" customFormat="1" ht="11.1" customHeight="1" outlineLevel="1" x14ac:dyDescent="0.2">
      <c r="A204" s="117"/>
      <c r="B204" s="76" t="s">
        <v>23</v>
      </c>
      <c r="C204" s="82" t="s">
        <v>380</v>
      </c>
      <c r="D204" s="108"/>
      <c r="E204" s="108"/>
      <c r="F204" s="79" t="s">
        <v>45</v>
      </c>
      <c r="G204" s="138">
        <v>0</v>
      </c>
      <c r="H204" s="178">
        <f t="shared" si="89"/>
        <v>0</v>
      </c>
      <c r="I204" s="357" t="str">
        <f t="shared" si="85"/>
        <v>-</v>
      </c>
      <c r="J204" s="178">
        <v>0</v>
      </c>
      <c r="K204" s="138">
        <f t="shared" si="88"/>
        <v>0</v>
      </c>
      <c r="L204" s="138">
        <v>0</v>
      </c>
      <c r="M204" s="80">
        <v>0</v>
      </c>
      <c r="N204" s="81" t="str">
        <f t="shared" si="86"/>
        <v>-</v>
      </c>
      <c r="O204" s="405"/>
    </row>
    <row r="205" spans="1:15" s="95" customFormat="1" ht="11.1" customHeight="1" outlineLevel="1" x14ac:dyDescent="0.2">
      <c r="A205" s="117"/>
      <c r="B205" s="76"/>
      <c r="C205" s="82" t="s">
        <v>381</v>
      </c>
      <c r="D205" s="108"/>
      <c r="E205" s="108"/>
      <c r="F205" s="79" t="s">
        <v>359</v>
      </c>
      <c r="G205" s="138">
        <v>0</v>
      </c>
      <c r="H205" s="178">
        <f t="shared" si="89"/>
        <v>0</v>
      </c>
      <c r="I205" s="357" t="str">
        <f t="shared" si="85"/>
        <v>-</v>
      </c>
      <c r="J205" s="178">
        <v>0</v>
      </c>
      <c r="K205" s="138">
        <f t="shared" si="88"/>
        <v>0</v>
      </c>
      <c r="L205" s="138">
        <v>0</v>
      </c>
      <c r="M205" s="80">
        <v>0</v>
      </c>
      <c r="N205" s="81" t="str">
        <f t="shared" si="86"/>
        <v>-</v>
      </c>
      <c r="O205" s="405"/>
    </row>
    <row r="206" spans="1:15" s="95" customFormat="1" ht="11.1" customHeight="1" outlineLevel="1" x14ac:dyDescent="0.2">
      <c r="A206" s="117"/>
      <c r="B206" s="76"/>
      <c r="C206" s="82" t="s">
        <v>382</v>
      </c>
      <c r="D206" s="108"/>
      <c r="E206" s="108"/>
      <c r="F206" s="106"/>
      <c r="G206" s="139"/>
      <c r="H206" s="139"/>
      <c r="I206" s="81"/>
      <c r="J206" s="139"/>
      <c r="K206" s="139"/>
      <c r="L206" s="138"/>
      <c r="M206" s="107"/>
      <c r="N206" s="81"/>
      <c r="O206" s="405"/>
    </row>
    <row r="207" spans="1:15" s="95" customFormat="1" ht="3" customHeight="1" outlineLevel="1" x14ac:dyDescent="0.2">
      <c r="A207" s="118"/>
      <c r="B207" s="85"/>
      <c r="C207" s="86"/>
      <c r="D207" s="84"/>
      <c r="E207" s="84"/>
      <c r="F207" s="85"/>
      <c r="G207" s="140"/>
      <c r="H207" s="140"/>
      <c r="I207" s="88"/>
      <c r="J207" s="140"/>
      <c r="K207" s="140"/>
      <c r="L207" s="141"/>
      <c r="M207" s="87"/>
      <c r="N207" s="88"/>
      <c r="O207" s="447"/>
    </row>
    <row r="208" spans="1:15" s="95" customFormat="1" ht="3" customHeight="1" outlineLevel="1" x14ac:dyDescent="0.2">
      <c r="A208" s="152"/>
      <c r="B208" s="72"/>
      <c r="C208" s="73"/>
      <c r="D208" s="71"/>
      <c r="E208" s="71"/>
      <c r="F208" s="72"/>
      <c r="G208" s="135"/>
      <c r="H208" s="135"/>
      <c r="I208" s="75"/>
      <c r="J208" s="135"/>
      <c r="K208" s="135"/>
      <c r="L208" s="136"/>
      <c r="M208" s="74"/>
      <c r="N208" s="75"/>
      <c r="O208" s="408" t="s">
        <v>615</v>
      </c>
    </row>
    <row r="209" spans="1:15" s="95" customFormat="1" ht="11.1" customHeight="1" outlineLevel="1" x14ac:dyDescent="0.2">
      <c r="A209" s="409" t="s">
        <v>464</v>
      </c>
      <c r="B209" s="76" t="s">
        <v>9</v>
      </c>
      <c r="C209" s="77" t="s">
        <v>55</v>
      </c>
      <c r="D209" s="410" t="s">
        <v>291</v>
      </c>
      <c r="E209" s="410" t="s">
        <v>54</v>
      </c>
      <c r="F209" s="78" t="s">
        <v>28</v>
      </c>
      <c r="G209" s="137">
        <f>SUM(G210:G215)</f>
        <v>612468</v>
      </c>
      <c r="H209" s="137">
        <f>SUM(H210:H215)</f>
        <v>588210</v>
      </c>
      <c r="I209" s="39">
        <f t="shared" ref="I209:I215" si="91">IF(G209&gt;0,H209/G209*100,"-")</f>
        <v>96.039303277885537</v>
      </c>
      <c r="J209" s="137">
        <f>SUM(J210:J215)</f>
        <v>506041</v>
      </c>
      <c r="K209" s="137">
        <f>SUM(K210:K215)</f>
        <v>0</v>
      </c>
      <c r="L209" s="137">
        <f>SUM(L210:L215)</f>
        <v>506041</v>
      </c>
      <c r="M209" s="38">
        <f>SUM(M210:M215)</f>
        <v>481781.63</v>
      </c>
      <c r="N209" s="39">
        <f t="shared" ref="N209:N215" si="92">IF(L209&gt;0,M209/L209*100,"-")</f>
        <v>95.20604654563563</v>
      </c>
      <c r="O209" s="405"/>
    </row>
    <row r="210" spans="1:15" s="95" customFormat="1" ht="11.1" customHeight="1" outlineLevel="1" x14ac:dyDescent="0.2">
      <c r="A210" s="409"/>
      <c r="B210" s="76" t="s">
        <v>10</v>
      </c>
      <c r="C210" s="77" t="s">
        <v>306</v>
      </c>
      <c r="D210" s="410"/>
      <c r="E210" s="410"/>
      <c r="F210" s="79" t="s">
        <v>15</v>
      </c>
      <c r="G210" s="138">
        <v>0</v>
      </c>
      <c r="H210" s="138">
        <f t="shared" ref="H210" si="93">ROUNDUP(0+M210,0)</f>
        <v>0</v>
      </c>
      <c r="I210" s="81" t="str">
        <f t="shared" si="91"/>
        <v>-</v>
      </c>
      <c r="J210" s="138">
        <v>0</v>
      </c>
      <c r="K210" s="138">
        <f t="shared" ref="K210:K215" si="94">L210-J210</f>
        <v>0</v>
      </c>
      <c r="L210" s="138">
        <v>0</v>
      </c>
      <c r="M210" s="80">
        <v>0</v>
      </c>
      <c r="N210" s="81" t="str">
        <f t="shared" si="92"/>
        <v>-</v>
      </c>
      <c r="O210" s="405"/>
    </row>
    <row r="211" spans="1:15" s="95" customFormat="1" ht="11.1" customHeight="1" outlineLevel="1" x14ac:dyDescent="0.2">
      <c r="A211" s="409"/>
      <c r="B211" s="76" t="s">
        <v>11</v>
      </c>
      <c r="C211" s="82" t="s">
        <v>307</v>
      </c>
      <c r="D211" s="410"/>
      <c r="E211" s="410"/>
      <c r="F211" s="79" t="s">
        <v>7</v>
      </c>
      <c r="G211" s="138">
        <v>520599</v>
      </c>
      <c r="H211" s="138">
        <f>ROUNDUP(90463+M211,0)</f>
        <v>499978</v>
      </c>
      <c r="I211" s="81">
        <f t="shared" si="91"/>
        <v>96.038985860518366</v>
      </c>
      <c r="J211" s="138">
        <v>430136</v>
      </c>
      <c r="K211" s="138">
        <f t="shared" si="94"/>
        <v>0</v>
      </c>
      <c r="L211" s="138">
        <v>430136</v>
      </c>
      <c r="M211" s="80">
        <v>409514.39</v>
      </c>
      <c r="N211" s="81">
        <f t="shared" si="92"/>
        <v>95.205793051499995</v>
      </c>
      <c r="O211" s="405"/>
    </row>
    <row r="212" spans="1:15" s="95" customFormat="1" ht="11.1" customHeight="1" outlineLevel="1" x14ac:dyDescent="0.2">
      <c r="A212" s="117"/>
      <c r="B212" s="76" t="s">
        <v>12</v>
      </c>
      <c r="C212" s="82" t="s">
        <v>308</v>
      </c>
      <c r="D212" s="108"/>
      <c r="E212" s="108"/>
      <c r="F212" s="79" t="s">
        <v>8</v>
      </c>
      <c r="G212" s="138">
        <v>0</v>
      </c>
      <c r="H212" s="138">
        <f t="shared" ref="H212" si="95">ROUNDUP(0+M212,0)</f>
        <v>0</v>
      </c>
      <c r="I212" s="81" t="str">
        <f t="shared" si="91"/>
        <v>-</v>
      </c>
      <c r="J212" s="138">
        <v>0</v>
      </c>
      <c r="K212" s="138">
        <f t="shared" si="94"/>
        <v>0</v>
      </c>
      <c r="L212" s="138">
        <v>0</v>
      </c>
      <c r="M212" s="80">
        <v>0</v>
      </c>
      <c r="N212" s="81" t="str">
        <f t="shared" si="92"/>
        <v>-</v>
      </c>
      <c r="O212" s="405"/>
    </row>
    <row r="213" spans="1:15" s="95" customFormat="1" ht="11.1" customHeight="1" outlineLevel="1" x14ac:dyDescent="0.2">
      <c r="A213" s="117"/>
      <c r="B213" s="76"/>
      <c r="C213" s="82" t="s">
        <v>309</v>
      </c>
      <c r="D213" s="108"/>
      <c r="E213" s="108"/>
      <c r="F213" s="79" t="s">
        <v>22</v>
      </c>
      <c r="G213" s="138">
        <v>91869</v>
      </c>
      <c r="H213" s="138">
        <f>ROUNDUP(15964+M213,0)</f>
        <v>88232</v>
      </c>
      <c r="I213" s="81">
        <f t="shared" si="91"/>
        <v>96.041102003940395</v>
      </c>
      <c r="J213" s="138">
        <v>75905</v>
      </c>
      <c r="K213" s="138">
        <f t="shared" si="94"/>
        <v>0</v>
      </c>
      <c r="L213" s="138">
        <v>75905</v>
      </c>
      <c r="M213" s="80">
        <v>72267.240000000005</v>
      </c>
      <c r="N213" s="81">
        <f t="shared" si="92"/>
        <v>95.20748303800805</v>
      </c>
      <c r="O213" s="405"/>
    </row>
    <row r="214" spans="1:15" s="95" customFormat="1" ht="11.1" customHeight="1" outlineLevel="1" x14ac:dyDescent="0.2">
      <c r="A214" s="117"/>
      <c r="B214" s="76"/>
      <c r="C214" s="82" t="s">
        <v>310</v>
      </c>
      <c r="D214" s="108"/>
      <c r="E214" s="108"/>
      <c r="F214" s="79" t="s">
        <v>45</v>
      </c>
      <c r="G214" s="138">
        <v>0</v>
      </c>
      <c r="H214" s="138">
        <f t="shared" ref="H214:H215" si="96">ROUNDUP(0+M214,0)</f>
        <v>0</v>
      </c>
      <c r="I214" s="81" t="str">
        <f t="shared" si="91"/>
        <v>-</v>
      </c>
      <c r="J214" s="138">
        <v>0</v>
      </c>
      <c r="K214" s="138">
        <f t="shared" si="94"/>
        <v>0</v>
      </c>
      <c r="L214" s="138">
        <v>0</v>
      </c>
      <c r="M214" s="80">
        <v>0</v>
      </c>
      <c r="N214" s="81" t="str">
        <f t="shared" si="92"/>
        <v>-</v>
      </c>
      <c r="O214" s="405"/>
    </row>
    <row r="215" spans="1:15" s="95" customFormat="1" ht="11.1" customHeight="1" outlineLevel="1" x14ac:dyDescent="0.2">
      <c r="A215" s="117"/>
      <c r="B215" s="76" t="s">
        <v>23</v>
      </c>
      <c r="C215" s="82" t="s">
        <v>311</v>
      </c>
      <c r="D215" s="108"/>
      <c r="E215" s="108"/>
      <c r="F215" s="79" t="s">
        <v>359</v>
      </c>
      <c r="G215" s="138">
        <v>0</v>
      </c>
      <c r="H215" s="138">
        <f t="shared" si="96"/>
        <v>0</v>
      </c>
      <c r="I215" s="81" t="str">
        <f t="shared" si="91"/>
        <v>-</v>
      </c>
      <c r="J215" s="138">
        <v>0</v>
      </c>
      <c r="K215" s="138">
        <f t="shared" si="94"/>
        <v>0</v>
      </c>
      <c r="L215" s="138">
        <v>0</v>
      </c>
      <c r="M215" s="80">
        <v>0</v>
      </c>
      <c r="N215" s="81" t="str">
        <f t="shared" si="92"/>
        <v>-</v>
      </c>
      <c r="O215" s="405"/>
    </row>
    <row r="216" spans="1:15" s="95" customFormat="1" ht="11.1" customHeight="1" outlineLevel="1" x14ac:dyDescent="0.2">
      <c r="A216" s="117"/>
      <c r="B216" s="76"/>
      <c r="C216" s="82" t="s">
        <v>458</v>
      </c>
      <c r="D216" s="108"/>
      <c r="E216" s="108"/>
      <c r="F216" s="106"/>
      <c r="G216" s="139"/>
      <c r="H216" s="139"/>
      <c r="I216" s="81"/>
      <c r="J216" s="139"/>
      <c r="K216" s="139"/>
      <c r="L216" s="138"/>
      <c r="M216" s="107"/>
      <c r="N216" s="81"/>
      <c r="O216" s="405"/>
    </row>
    <row r="217" spans="1:15" s="95" customFormat="1" ht="11.1" customHeight="1" outlineLevel="1" x14ac:dyDescent="0.2">
      <c r="A217" s="117"/>
      <c r="B217" s="76"/>
      <c r="C217" s="82" t="s">
        <v>459</v>
      </c>
      <c r="D217" s="108"/>
      <c r="E217" s="108"/>
      <c r="F217" s="106"/>
      <c r="G217" s="139"/>
      <c r="H217" s="139"/>
      <c r="I217" s="81"/>
      <c r="J217" s="139"/>
      <c r="K217" s="139"/>
      <c r="L217" s="138"/>
      <c r="M217" s="107"/>
      <c r="N217" s="81"/>
      <c r="O217" s="405"/>
    </row>
    <row r="218" spans="1:15" s="95" customFormat="1" ht="3" customHeight="1" outlineLevel="1" x14ac:dyDescent="0.2">
      <c r="A218" s="118"/>
      <c r="B218" s="85"/>
      <c r="C218" s="86"/>
      <c r="D218" s="84"/>
      <c r="E218" s="84"/>
      <c r="F218" s="85"/>
      <c r="G218" s="140"/>
      <c r="H218" s="140"/>
      <c r="I218" s="88"/>
      <c r="J218" s="140"/>
      <c r="K218" s="140"/>
      <c r="L218" s="141"/>
      <c r="M218" s="87"/>
      <c r="N218" s="88"/>
      <c r="O218" s="447"/>
    </row>
    <row r="219" spans="1:15" s="95" customFormat="1" ht="3" customHeight="1" outlineLevel="1" x14ac:dyDescent="0.2">
      <c r="A219" s="152"/>
      <c r="B219" s="72"/>
      <c r="C219" s="73"/>
      <c r="D219" s="71"/>
      <c r="E219" s="71"/>
      <c r="F219" s="72"/>
      <c r="G219" s="135"/>
      <c r="H219" s="135"/>
      <c r="I219" s="75"/>
      <c r="J219" s="135"/>
      <c r="K219" s="135"/>
      <c r="L219" s="136"/>
      <c r="M219" s="74"/>
      <c r="N219" s="75"/>
      <c r="O219" s="408" t="s">
        <v>610</v>
      </c>
    </row>
    <row r="220" spans="1:15" s="95" customFormat="1" ht="11.1" customHeight="1" outlineLevel="1" x14ac:dyDescent="0.2">
      <c r="A220" s="409" t="s">
        <v>465</v>
      </c>
      <c r="B220" s="76" t="s">
        <v>9</v>
      </c>
      <c r="C220" s="77" t="s">
        <v>504</v>
      </c>
      <c r="D220" s="410" t="s">
        <v>389</v>
      </c>
      <c r="E220" s="410" t="s">
        <v>515</v>
      </c>
      <c r="F220" s="78" t="s">
        <v>28</v>
      </c>
      <c r="G220" s="137">
        <f>SUM(G221:G226)</f>
        <v>42493</v>
      </c>
      <c r="H220" s="137">
        <f>SUM(H221:H226)</f>
        <v>3840</v>
      </c>
      <c r="I220" s="39">
        <f t="shared" ref="I220:I226" si="97">IF(G220&gt;0,H220/G220*100,"-")</f>
        <v>9.0367825288871106</v>
      </c>
      <c r="J220" s="137">
        <f>SUM(J221:J226)</f>
        <v>0</v>
      </c>
      <c r="K220" s="137">
        <f>SUM(K221:K226)</f>
        <v>10383</v>
      </c>
      <c r="L220" s="137">
        <f>SUM(L221:L226)</f>
        <v>10383</v>
      </c>
      <c r="M220" s="38">
        <f>SUM(M221:M226)</f>
        <v>3840</v>
      </c>
      <c r="N220" s="39">
        <f t="shared" ref="N220:N226" si="98">IF(L220&gt;0,M220/L220*100,"-")</f>
        <v>36.983530771453339</v>
      </c>
      <c r="O220" s="405"/>
    </row>
    <row r="221" spans="1:15" s="95" customFormat="1" ht="11.1" customHeight="1" outlineLevel="1" x14ac:dyDescent="0.2">
      <c r="A221" s="409"/>
      <c r="B221" s="76" t="s">
        <v>10</v>
      </c>
      <c r="C221" s="77" t="s">
        <v>505</v>
      </c>
      <c r="D221" s="410"/>
      <c r="E221" s="410"/>
      <c r="F221" s="79" t="s">
        <v>15</v>
      </c>
      <c r="G221" s="138">
        <v>11365</v>
      </c>
      <c r="H221" s="138">
        <f t="shared" ref="H221:H226" si="99">ROUNDUP(0+M221,0)</f>
        <v>576</v>
      </c>
      <c r="I221" s="81">
        <f t="shared" si="97"/>
        <v>5.0681918169819626</v>
      </c>
      <c r="J221" s="138">
        <v>0</v>
      </c>
      <c r="K221" s="138">
        <f t="shared" ref="K221:K226" si="100">L221-J221</f>
        <v>6549</v>
      </c>
      <c r="L221" s="138">
        <v>6549</v>
      </c>
      <c r="M221" s="80">
        <v>576</v>
      </c>
      <c r="N221" s="81">
        <f t="shared" si="98"/>
        <v>8.7952359138799814</v>
      </c>
      <c r="O221" s="405"/>
    </row>
    <row r="222" spans="1:15" s="95" customFormat="1" ht="11.1" customHeight="1" outlineLevel="1" x14ac:dyDescent="0.2">
      <c r="A222" s="409"/>
      <c r="B222" s="76" t="s">
        <v>11</v>
      </c>
      <c r="C222" s="82" t="s">
        <v>512</v>
      </c>
      <c r="D222" s="410"/>
      <c r="E222" s="410"/>
      <c r="F222" s="79" t="s">
        <v>7</v>
      </c>
      <c r="G222" s="138">
        <v>31128</v>
      </c>
      <c r="H222" s="138">
        <f t="shared" si="99"/>
        <v>3264</v>
      </c>
      <c r="I222" s="81">
        <f t="shared" si="97"/>
        <v>10.485736314572089</v>
      </c>
      <c r="J222" s="138">
        <v>0</v>
      </c>
      <c r="K222" s="138">
        <f t="shared" si="100"/>
        <v>3834</v>
      </c>
      <c r="L222" s="138">
        <v>3834</v>
      </c>
      <c r="M222" s="80">
        <v>3264</v>
      </c>
      <c r="N222" s="81">
        <f t="shared" si="98"/>
        <v>85.133020344287942</v>
      </c>
      <c r="O222" s="405"/>
    </row>
    <row r="223" spans="1:15" s="95" customFormat="1" ht="11.1" customHeight="1" outlineLevel="1" x14ac:dyDescent="0.2">
      <c r="A223" s="117"/>
      <c r="B223" s="76"/>
      <c r="C223" s="82" t="s">
        <v>513</v>
      </c>
      <c r="D223" s="108"/>
      <c r="E223" s="108"/>
      <c r="F223" s="79" t="s">
        <v>8</v>
      </c>
      <c r="G223" s="138">
        <v>0</v>
      </c>
      <c r="H223" s="138">
        <f t="shared" si="99"/>
        <v>0</v>
      </c>
      <c r="I223" s="81" t="str">
        <f t="shared" si="97"/>
        <v>-</v>
      </c>
      <c r="J223" s="138">
        <v>0</v>
      </c>
      <c r="K223" s="138">
        <f t="shared" si="100"/>
        <v>0</v>
      </c>
      <c r="L223" s="138">
        <v>0</v>
      </c>
      <c r="M223" s="80">
        <v>0</v>
      </c>
      <c r="N223" s="81" t="str">
        <f t="shared" si="98"/>
        <v>-</v>
      </c>
      <c r="O223" s="405"/>
    </row>
    <row r="224" spans="1:15" s="95" customFormat="1" ht="11.1" customHeight="1" outlineLevel="1" x14ac:dyDescent="0.2">
      <c r="A224" s="117"/>
      <c r="B224" s="76"/>
      <c r="C224" s="82" t="s">
        <v>514</v>
      </c>
      <c r="D224" s="108"/>
      <c r="E224" s="108"/>
      <c r="F224" s="79" t="s">
        <v>22</v>
      </c>
      <c r="G224" s="138">
        <v>0</v>
      </c>
      <c r="H224" s="138">
        <f t="shared" si="99"/>
        <v>0</v>
      </c>
      <c r="I224" s="81" t="str">
        <f t="shared" si="97"/>
        <v>-</v>
      </c>
      <c r="J224" s="138">
        <v>0</v>
      </c>
      <c r="K224" s="138">
        <f t="shared" si="100"/>
        <v>0</v>
      </c>
      <c r="L224" s="138">
        <v>0</v>
      </c>
      <c r="M224" s="80">
        <v>0</v>
      </c>
      <c r="N224" s="81" t="str">
        <f t="shared" si="98"/>
        <v>-</v>
      </c>
      <c r="O224" s="405"/>
    </row>
    <row r="225" spans="1:15" s="95" customFormat="1" ht="11.1" customHeight="1" outlineLevel="1" x14ac:dyDescent="0.2">
      <c r="A225" s="117"/>
      <c r="B225" s="76" t="s">
        <v>12</v>
      </c>
      <c r="C225" s="82" t="s">
        <v>509</v>
      </c>
      <c r="D225" s="108"/>
      <c r="E225" s="108"/>
      <c r="F225" s="79" t="s">
        <v>45</v>
      </c>
      <c r="G225" s="138">
        <v>0</v>
      </c>
      <c r="H225" s="138">
        <f t="shared" si="99"/>
        <v>0</v>
      </c>
      <c r="I225" s="81" t="str">
        <f t="shared" si="97"/>
        <v>-</v>
      </c>
      <c r="J225" s="138">
        <v>0</v>
      </c>
      <c r="K225" s="138">
        <f t="shared" si="100"/>
        <v>0</v>
      </c>
      <c r="L225" s="138">
        <v>0</v>
      </c>
      <c r="M225" s="80">
        <v>0</v>
      </c>
      <c r="N225" s="81" t="str">
        <f t="shared" si="98"/>
        <v>-</v>
      </c>
      <c r="O225" s="405"/>
    </row>
    <row r="226" spans="1:15" s="95" customFormat="1" ht="11.1" customHeight="1" outlineLevel="1" x14ac:dyDescent="0.2">
      <c r="A226" s="117"/>
      <c r="B226" s="76"/>
      <c r="C226" s="82" t="s">
        <v>510</v>
      </c>
      <c r="D226" s="108"/>
      <c r="E226" s="108"/>
      <c r="F226" s="79" t="s">
        <v>359</v>
      </c>
      <c r="G226" s="138">
        <v>0</v>
      </c>
      <c r="H226" s="138">
        <f t="shared" si="99"/>
        <v>0</v>
      </c>
      <c r="I226" s="81" t="str">
        <f t="shared" si="97"/>
        <v>-</v>
      </c>
      <c r="J226" s="138">
        <v>0</v>
      </c>
      <c r="K226" s="138">
        <f t="shared" si="100"/>
        <v>0</v>
      </c>
      <c r="L226" s="138">
        <v>0</v>
      </c>
      <c r="M226" s="80">
        <v>0</v>
      </c>
      <c r="N226" s="81" t="str">
        <f t="shared" si="98"/>
        <v>-</v>
      </c>
      <c r="O226" s="405"/>
    </row>
    <row r="227" spans="1:15" s="95" customFormat="1" ht="11.1" customHeight="1" outlineLevel="1" x14ac:dyDescent="0.2">
      <c r="A227" s="117"/>
      <c r="B227" s="76"/>
      <c r="C227" s="82" t="s">
        <v>511</v>
      </c>
      <c r="D227" s="108"/>
      <c r="E227" s="108"/>
      <c r="F227" s="106"/>
      <c r="G227" s="139"/>
      <c r="H227" s="139"/>
      <c r="I227" s="81"/>
      <c r="J227" s="139"/>
      <c r="K227" s="139"/>
      <c r="L227" s="138"/>
      <c r="M227" s="107"/>
      <c r="N227" s="81"/>
      <c r="O227" s="405"/>
    </row>
    <row r="228" spans="1:15" s="95" customFormat="1" ht="11.1" customHeight="1" outlineLevel="1" x14ac:dyDescent="0.2">
      <c r="A228" s="117"/>
      <c r="B228" s="76" t="s">
        <v>23</v>
      </c>
      <c r="C228" s="82" t="s">
        <v>506</v>
      </c>
      <c r="D228" s="108"/>
      <c r="E228" s="108"/>
      <c r="F228" s="106"/>
      <c r="G228" s="139"/>
      <c r="H228" s="139"/>
      <c r="I228" s="81"/>
      <c r="J228" s="139"/>
      <c r="K228" s="139"/>
      <c r="L228" s="138"/>
      <c r="M228" s="107"/>
      <c r="N228" s="81"/>
      <c r="O228" s="405"/>
    </row>
    <row r="229" spans="1:15" s="95" customFormat="1" ht="11.1" customHeight="1" outlineLevel="1" x14ac:dyDescent="0.2">
      <c r="A229" s="117"/>
      <c r="B229" s="76"/>
      <c r="C229" s="82" t="s">
        <v>507</v>
      </c>
      <c r="D229" s="108"/>
      <c r="E229" s="108"/>
      <c r="F229" s="106"/>
      <c r="G229" s="139"/>
      <c r="H229" s="139"/>
      <c r="I229" s="81"/>
      <c r="J229" s="139"/>
      <c r="K229" s="139"/>
      <c r="L229" s="138"/>
      <c r="M229" s="107"/>
      <c r="N229" s="81"/>
      <c r="O229" s="405"/>
    </row>
    <row r="230" spans="1:15" s="95" customFormat="1" ht="11.1" customHeight="1" outlineLevel="1" x14ac:dyDescent="0.2">
      <c r="A230" s="117"/>
      <c r="B230" s="76"/>
      <c r="C230" s="82" t="s">
        <v>508</v>
      </c>
      <c r="D230" s="108"/>
      <c r="E230" s="108"/>
      <c r="F230" s="106"/>
      <c r="G230" s="139"/>
      <c r="H230" s="139"/>
      <c r="I230" s="81"/>
      <c r="J230" s="139"/>
      <c r="K230" s="139"/>
      <c r="L230" s="138"/>
      <c r="M230" s="107"/>
      <c r="N230" s="81"/>
      <c r="O230" s="405"/>
    </row>
    <row r="231" spans="1:15" s="95" customFormat="1" ht="3" customHeight="1" outlineLevel="1" x14ac:dyDescent="0.2">
      <c r="A231" s="118"/>
      <c r="B231" s="85"/>
      <c r="C231" s="86"/>
      <c r="D231" s="84"/>
      <c r="E231" s="84"/>
      <c r="F231" s="85"/>
      <c r="G231" s="140"/>
      <c r="H231" s="140"/>
      <c r="I231" s="88"/>
      <c r="J231" s="140"/>
      <c r="K231" s="140"/>
      <c r="L231" s="141"/>
      <c r="M231" s="87"/>
      <c r="N231" s="88"/>
      <c r="O231" s="447"/>
    </row>
    <row r="232" spans="1:15" s="95" customFormat="1" ht="3" customHeight="1" outlineLevel="1" x14ac:dyDescent="0.2">
      <c r="A232" s="152"/>
      <c r="B232" s="72"/>
      <c r="C232" s="73"/>
      <c r="D232" s="71"/>
      <c r="E232" s="71"/>
      <c r="F232" s="72"/>
      <c r="G232" s="135"/>
      <c r="H232" s="135"/>
      <c r="I232" s="75"/>
      <c r="J232" s="135"/>
      <c r="K232" s="135"/>
      <c r="L232" s="136"/>
      <c r="M232" s="74"/>
      <c r="N232" s="75"/>
      <c r="O232" s="408" t="s">
        <v>611</v>
      </c>
    </row>
    <row r="233" spans="1:15" s="95" customFormat="1" ht="11.1" customHeight="1" outlineLevel="1" x14ac:dyDescent="0.2">
      <c r="A233" s="409" t="s">
        <v>466</v>
      </c>
      <c r="B233" s="76" t="s">
        <v>9</v>
      </c>
      <c r="C233" s="77" t="s">
        <v>504</v>
      </c>
      <c r="D233" s="410" t="s">
        <v>389</v>
      </c>
      <c r="E233" s="410" t="s">
        <v>519</v>
      </c>
      <c r="F233" s="78" t="s">
        <v>28</v>
      </c>
      <c r="G233" s="137">
        <f>SUM(G234:G239)</f>
        <v>169603</v>
      </c>
      <c r="H233" s="137">
        <f>SUM(H234:H239)</f>
        <v>35323</v>
      </c>
      <c r="I233" s="39">
        <f t="shared" ref="I233:I239" si="101">IF(G233&gt;0,H233/G233*100,"-")</f>
        <v>20.826872166176305</v>
      </c>
      <c r="J233" s="137">
        <f>SUM(J234:J239)</f>
        <v>0</v>
      </c>
      <c r="K233" s="137">
        <f>SUM(K234:K239)</f>
        <v>42198</v>
      </c>
      <c r="L233" s="137">
        <f>SUM(L234:L239)</f>
        <v>42198</v>
      </c>
      <c r="M233" s="38">
        <f>SUM(M234:M239)</f>
        <v>35321.599999999999</v>
      </c>
      <c r="N233" s="39">
        <f t="shared" ref="N233:N239" si="102">IF(L233&gt;0,M233/L233*100,"-")</f>
        <v>83.704440968766292</v>
      </c>
      <c r="O233" s="405"/>
    </row>
    <row r="234" spans="1:15" s="95" customFormat="1" ht="11.1" customHeight="1" outlineLevel="1" x14ac:dyDescent="0.2">
      <c r="A234" s="409"/>
      <c r="B234" s="76" t="s">
        <v>10</v>
      </c>
      <c r="C234" s="77" t="s">
        <v>505</v>
      </c>
      <c r="D234" s="410"/>
      <c r="E234" s="410"/>
      <c r="F234" s="79" t="s">
        <v>15</v>
      </c>
      <c r="G234" s="138">
        <v>29824</v>
      </c>
      <c r="H234" s="138">
        <f t="shared" ref="H234:H239" si="103">ROUNDUP(0+M234,0)</f>
        <v>5299</v>
      </c>
      <c r="I234" s="81">
        <f t="shared" si="101"/>
        <v>17.767569742489268</v>
      </c>
      <c r="J234" s="138">
        <v>0</v>
      </c>
      <c r="K234" s="138">
        <f t="shared" ref="K234:K239" si="104">L234-J234</f>
        <v>10713</v>
      </c>
      <c r="L234" s="138">
        <v>10713</v>
      </c>
      <c r="M234" s="80">
        <v>5298.24</v>
      </c>
      <c r="N234" s="81">
        <f t="shared" si="102"/>
        <v>49.456174740968919</v>
      </c>
      <c r="O234" s="405"/>
    </row>
    <row r="235" spans="1:15" s="95" customFormat="1" ht="11.1" customHeight="1" outlineLevel="1" x14ac:dyDescent="0.2">
      <c r="A235" s="409"/>
      <c r="B235" s="76" t="s">
        <v>11</v>
      </c>
      <c r="C235" s="82" t="s">
        <v>512</v>
      </c>
      <c r="D235" s="410"/>
      <c r="E235" s="410"/>
      <c r="F235" s="79" t="s">
        <v>7</v>
      </c>
      <c r="G235" s="138">
        <v>139779</v>
      </c>
      <c r="H235" s="138">
        <f t="shared" si="103"/>
        <v>30024</v>
      </c>
      <c r="I235" s="81">
        <f t="shared" si="101"/>
        <v>21.479621402356578</v>
      </c>
      <c r="J235" s="138">
        <v>0</v>
      </c>
      <c r="K235" s="138">
        <f t="shared" si="104"/>
        <v>31485</v>
      </c>
      <c r="L235" s="138">
        <v>31485</v>
      </c>
      <c r="M235" s="80">
        <v>30023.360000000001</v>
      </c>
      <c r="N235" s="81">
        <f t="shared" si="102"/>
        <v>95.357662378910589</v>
      </c>
      <c r="O235" s="405"/>
    </row>
    <row r="236" spans="1:15" s="95" customFormat="1" ht="11.1" customHeight="1" outlineLevel="1" x14ac:dyDescent="0.2">
      <c r="A236" s="117"/>
      <c r="B236" s="76"/>
      <c r="C236" s="82" t="s">
        <v>513</v>
      </c>
      <c r="D236" s="108"/>
      <c r="E236" s="108"/>
      <c r="F236" s="79" t="s">
        <v>8</v>
      </c>
      <c r="G236" s="138">
        <v>0</v>
      </c>
      <c r="H236" s="138">
        <f t="shared" si="103"/>
        <v>0</v>
      </c>
      <c r="I236" s="81" t="str">
        <f t="shared" si="101"/>
        <v>-</v>
      </c>
      <c r="J236" s="138">
        <v>0</v>
      </c>
      <c r="K236" s="138">
        <f t="shared" si="104"/>
        <v>0</v>
      </c>
      <c r="L236" s="138">
        <v>0</v>
      </c>
      <c r="M236" s="80">
        <v>0</v>
      </c>
      <c r="N236" s="81" t="str">
        <f t="shared" si="102"/>
        <v>-</v>
      </c>
      <c r="O236" s="405"/>
    </row>
    <row r="237" spans="1:15" s="95" customFormat="1" ht="11.1" customHeight="1" outlineLevel="1" x14ac:dyDescent="0.2">
      <c r="A237" s="117"/>
      <c r="B237" s="76"/>
      <c r="C237" s="82" t="s">
        <v>514</v>
      </c>
      <c r="D237" s="108"/>
      <c r="E237" s="108"/>
      <c r="F237" s="79" t="s">
        <v>22</v>
      </c>
      <c r="G237" s="138">
        <v>0</v>
      </c>
      <c r="H237" s="138">
        <f t="shared" si="103"/>
        <v>0</v>
      </c>
      <c r="I237" s="81" t="str">
        <f t="shared" si="101"/>
        <v>-</v>
      </c>
      <c r="J237" s="138">
        <v>0</v>
      </c>
      <c r="K237" s="138">
        <f t="shared" si="104"/>
        <v>0</v>
      </c>
      <c r="L237" s="138">
        <v>0</v>
      </c>
      <c r="M237" s="80">
        <v>0</v>
      </c>
      <c r="N237" s="81" t="str">
        <f t="shared" si="102"/>
        <v>-</v>
      </c>
      <c r="O237" s="405"/>
    </row>
    <row r="238" spans="1:15" s="95" customFormat="1" ht="11.1" customHeight="1" outlineLevel="1" x14ac:dyDescent="0.2">
      <c r="A238" s="117"/>
      <c r="B238" s="76" t="s">
        <v>12</v>
      </c>
      <c r="C238" s="82" t="s">
        <v>516</v>
      </c>
      <c r="D238" s="108"/>
      <c r="E238" s="108"/>
      <c r="F238" s="79" t="s">
        <v>45</v>
      </c>
      <c r="G238" s="138">
        <v>0</v>
      </c>
      <c r="H238" s="138">
        <f t="shared" si="103"/>
        <v>0</v>
      </c>
      <c r="I238" s="81" t="str">
        <f t="shared" si="101"/>
        <v>-</v>
      </c>
      <c r="J238" s="138">
        <v>0</v>
      </c>
      <c r="K238" s="138">
        <f t="shared" si="104"/>
        <v>0</v>
      </c>
      <c r="L238" s="138">
        <v>0</v>
      </c>
      <c r="M238" s="80">
        <v>0</v>
      </c>
      <c r="N238" s="81" t="str">
        <f t="shared" si="102"/>
        <v>-</v>
      </c>
      <c r="O238" s="405"/>
    </row>
    <row r="239" spans="1:15" s="95" customFormat="1" ht="11.1" customHeight="1" outlineLevel="1" x14ac:dyDescent="0.2">
      <c r="A239" s="117"/>
      <c r="B239" s="76"/>
      <c r="C239" s="82" t="s">
        <v>517</v>
      </c>
      <c r="D239" s="108"/>
      <c r="E239" s="108"/>
      <c r="F239" s="79" t="s">
        <v>359</v>
      </c>
      <c r="G239" s="138">
        <v>0</v>
      </c>
      <c r="H239" s="138">
        <f t="shared" si="103"/>
        <v>0</v>
      </c>
      <c r="I239" s="81" t="str">
        <f t="shared" si="101"/>
        <v>-</v>
      </c>
      <c r="J239" s="138">
        <v>0</v>
      </c>
      <c r="K239" s="138">
        <f t="shared" si="104"/>
        <v>0</v>
      </c>
      <c r="L239" s="138">
        <v>0</v>
      </c>
      <c r="M239" s="80">
        <v>0</v>
      </c>
      <c r="N239" s="81" t="str">
        <f t="shared" si="102"/>
        <v>-</v>
      </c>
      <c r="O239" s="405"/>
    </row>
    <row r="240" spans="1:15" s="95" customFormat="1" ht="11.1" customHeight="1" outlineLevel="1" x14ac:dyDescent="0.2">
      <c r="A240" s="117"/>
      <c r="B240" s="76"/>
      <c r="C240" s="82" t="s">
        <v>518</v>
      </c>
      <c r="D240" s="108"/>
      <c r="E240" s="108"/>
      <c r="F240" s="106"/>
      <c r="G240" s="139"/>
      <c r="H240" s="139"/>
      <c r="I240" s="81"/>
      <c r="J240" s="139"/>
      <c r="K240" s="139"/>
      <c r="L240" s="138"/>
      <c r="M240" s="107"/>
      <c r="N240" s="81"/>
      <c r="O240" s="405"/>
    </row>
    <row r="241" spans="1:15" s="95" customFormat="1" ht="11.1" customHeight="1" outlineLevel="1" x14ac:dyDescent="0.2">
      <c r="A241" s="117"/>
      <c r="B241" s="76" t="s">
        <v>23</v>
      </c>
      <c r="C241" s="82" t="s">
        <v>506</v>
      </c>
      <c r="D241" s="108"/>
      <c r="E241" s="108"/>
      <c r="F241" s="106"/>
      <c r="G241" s="139"/>
      <c r="H241" s="139"/>
      <c r="I241" s="81"/>
      <c r="J241" s="139"/>
      <c r="K241" s="139"/>
      <c r="L241" s="138"/>
      <c r="M241" s="107"/>
      <c r="N241" s="81"/>
      <c r="O241" s="405"/>
    </row>
    <row r="242" spans="1:15" s="95" customFormat="1" ht="11.1" customHeight="1" outlineLevel="1" x14ac:dyDescent="0.2">
      <c r="A242" s="117"/>
      <c r="B242" s="76"/>
      <c r="C242" s="82" t="s">
        <v>507</v>
      </c>
      <c r="D242" s="108"/>
      <c r="E242" s="108"/>
      <c r="F242" s="106"/>
      <c r="G242" s="139"/>
      <c r="H242" s="139"/>
      <c r="I242" s="81"/>
      <c r="J242" s="139"/>
      <c r="K242" s="139"/>
      <c r="L242" s="138"/>
      <c r="M242" s="107"/>
      <c r="N242" s="81"/>
      <c r="O242" s="405"/>
    </row>
    <row r="243" spans="1:15" s="95" customFormat="1" ht="11.1" customHeight="1" outlineLevel="1" x14ac:dyDescent="0.2">
      <c r="A243" s="117"/>
      <c r="B243" s="76"/>
      <c r="C243" s="82" t="s">
        <v>508</v>
      </c>
      <c r="D243" s="108"/>
      <c r="E243" s="108"/>
      <c r="F243" s="106"/>
      <c r="G243" s="139"/>
      <c r="H243" s="139"/>
      <c r="I243" s="81"/>
      <c r="J243" s="139"/>
      <c r="K243" s="139"/>
      <c r="L243" s="138"/>
      <c r="M243" s="107"/>
      <c r="N243" s="81"/>
      <c r="O243" s="405"/>
    </row>
    <row r="244" spans="1:15" s="95" customFormat="1" ht="3" customHeight="1" outlineLevel="1" x14ac:dyDescent="0.2">
      <c r="A244" s="118"/>
      <c r="B244" s="85"/>
      <c r="C244" s="86"/>
      <c r="D244" s="84"/>
      <c r="E244" s="84"/>
      <c r="F244" s="85"/>
      <c r="G244" s="140"/>
      <c r="H244" s="140"/>
      <c r="I244" s="88"/>
      <c r="J244" s="140"/>
      <c r="K244" s="140"/>
      <c r="L244" s="141"/>
      <c r="M244" s="87"/>
      <c r="N244" s="88"/>
      <c r="O244" s="447"/>
    </row>
    <row r="245" spans="1:15" ht="3" customHeight="1" outlineLevel="1" x14ac:dyDescent="0.2">
      <c r="A245" s="59"/>
      <c r="B245" s="60"/>
      <c r="C245" s="61"/>
      <c r="D245" s="62"/>
      <c r="E245" s="62"/>
      <c r="F245" s="59"/>
      <c r="G245" s="131"/>
      <c r="H245" s="131"/>
      <c r="I245" s="59"/>
      <c r="J245" s="131"/>
      <c r="K245" s="131"/>
      <c r="L245" s="131"/>
      <c r="M245" s="63"/>
      <c r="N245" s="64"/>
      <c r="O245" s="320"/>
    </row>
    <row r="246" spans="1:15" ht="11.45" customHeight="1" outlineLevel="1" x14ac:dyDescent="0.2">
      <c r="A246" s="28" t="s">
        <v>59</v>
      </c>
      <c r="B246" s="411" t="s">
        <v>60</v>
      </c>
      <c r="C246" s="412"/>
      <c r="D246" s="29"/>
      <c r="E246" s="29"/>
      <c r="F246" s="30"/>
      <c r="G246" s="132">
        <f>SUM(G247:G252)</f>
        <v>7521667</v>
      </c>
      <c r="H246" s="378">
        <f>SUM(H247:H252)</f>
        <v>4396238</v>
      </c>
      <c r="I246" s="32">
        <f>IF(G246&gt;0,H246/G246*100,"-")</f>
        <v>58.447655287052726</v>
      </c>
      <c r="J246" s="132">
        <f>SUM(J247:J252)</f>
        <v>4442199</v>
      </c>
      <c r="K246" s="132">
        <f>SUM(K247:K252)</f>
        <v>-44809</v>
      </c>
      <c r="L246" s="132">
        <f>SUM(L247:L252)</f>
        <v>4397390</v>
      </c>
      <c r="M246" s="31">
        <f>SUM(M247:M252)</f>
        <v>3487597.65</v>
      </c>
      <c r="N246" s="32">
        <f t="shared" ref="N246:N252" si="105">IF(L246&gt;0,M246/L246*100,"-")</f>
        <v>79.310628577406135</v>
      </c>
      <c r="O246" s="321"/>
    </row>
    <row r="247" spans="1:15" ht="11.45" customHeight="1" outlineLevel="1" x14ac:dyDescent="0.2">
      <c r="A247" s="30"/>
      <c r="B247" s="33"/>
      <c r="C247" s="34"/>
      <c r="D247" s="29"/>
      <c r="E247" s="29"/>
      <c r="F247" s="35" t="s">
        <v>15</v>
      </c>
      <c r="G247" s="133">
        <f t="shared" ref="G247:H252" si="106">G256+G265+G276+G285+G294+G305+G315+G324</f>
        <v>0</v>
      </c>
      <c r="H247" s="379">
        <f t="shared" si="106"/>
        <v>0</v>
      </c>
      <c r="I247" s="37" t="str">
        <f t="shared" ref="I247:I252" si="107">IF(G247&gt;0,H247/G247*100,"-")</f>
        <v>-</v>
      </c>
      <c r="J247" s="133">
        <f t="shared" ref="J247:M252" si="108">J256+J265+J276+J285+J294+J305+J315+J324</f>
        <v>0</v>
      </c>
      <c r="K247" s="133">
        <f t="shared" si="108"/>
        <v>0</v>
      </c>
      <c r="L247" s="133">
        <f t="shared" si="108"/>
        <v>0</v>
      </c>
      <c r="M247" s="36">
        <f t="shared" si="108"/>
        <v>0</v>
      </c>
      <c r="N247" s="37" t="str">
        <f t="shared" si="105"/>
        <v>-</v>
      </c>
      <c r="O247" s="321"/>
    </row>
    <row r="248" spans="1:15" ht="11.45" customHeight="1" outlineLevel="1" x14ac:dyDescent="0.2">
      <c r="A248" s="30"/>
      <c r="B248" s="33"/>
      <c r="C248" s="34"/>
      <c r="D248" s="29"/>
      <c r="E248" s="29"/>
      <c r="F248" s="35" t="s">
        <v>7</v>
      </c>
      <c r="G248" s="133">
        <f t="shared" si="106"/>
        <v>6595755</v>
      </c>
      <c r="H248" s="379">
        <f t="shared" si="106"/>
        <v>3903959</v>
      </c>
      <c r="I248" s="37">
        <f t="shared" si="107"/>
        <v>59.188963204364022</v>
      </c>
      <c r="J248" s="133">
        <f t="shared" si="108"/>
        <v>3855398</v>
      </c>
      <c r="K248" s="133">
        <f t="shared" si="108"/>
        <v>-37203</v>
      </c>
      <c r="L248" s="133">
        <f t="shared" si="108"/>
        <v>3818195</v>
      </c>
      <c r="M248" s="36">
        <f t="shared" si="108"/>
        <v>3033129.52</v>
      </c>
      <c r="N248" s="37">
        <f t="shared" si="105"/>
        <v>79.438832223079231</v>
      </c>
      <c r="O248" s="321"/>
    </row>
    <row r="249" spans="1:15" ht="11.45" customHeight="1" outlineLevel="1" x14ac:dyDescent="0.2">
      <c r="A249" s="30"/>
      <c r="B249" s="33"/>
      <c r="C249" s="34"/>
      <c r="D249" s="29"/>
      <c r="E249" s="29"/>
      <c r="F249" s="35" t="s">
        <v>8</v>
      </c>
      <c r="G249" s="133">
        <f t="shared" si="106"/>
        <v>0</v>
      </c>
      <c r="H249" s="379">
        <f t="shared" si="106"/>
        <v>0</v>
      </c>
      <c r="I249" s="37" t="str">
        <f t="shared" si="107"/>
        <v>-</v>
      </c>
      <c r="J249" s="133">
        <f t="shared" si="108"/>
        <v>0</v>
      </c>
      <c r="K249" s="133">
        <f t="shared" si="108"/>
        <v>0</v>
      </c>
      <c r="L249" s="133">
        <f t="shared" si="108"/>
        <v>0</v>
      </c>
      <c r="M249" s="36">
        <f t="shared" si="108"/>
        <v>0</v>
      </c>
      <c r="N249" s="37" t="str">
        <f t="shared" si="105"/>
        <v>-</v>
      </c>
      <c r="O249" s="321"/>
    </row>
    <row r="250" spans="1:15" ht="11.45" customHeight="1" outlineLevel="1" x14ac:dyDescent="0.2">
      <c r="A250" s="30"/>
      <c r="B250" s="33"/>
      <c r="C250" s="34"/>
      <c r="D250" s="29"/>
      <c r="E250" s="29"/>
      <c r="F250" s="35" t="s">
        <v>22</v>
      </c>
      <c r="G250" s="133">
        <f t="shared" si="106"/>
        <v>925912</v>
      </c>
      <c r="H250" s="379">
        <f t="shared" si="106"/>
        <v>492279</v>
      </c>
      <c r="I250" s="37">
        <f t="shared" si="107"/>
        <v>53.166931630651725</v>
      </c>
      <c r="J250" s="133">
        <f t="shared" si="108"/>
        <v>586801</v>
      </c>
      <c r="K250" s="133">
        <f t="shared" si="108"/>
        <v>-7606</v>
      </c>
      <c r="L250" s="133">
        <f t="shared" si="108"/>
        <v>579195</v>
      </c>
      <c r="M250" s="36">
        <f t="shared" si="108"/>
        <v>454468.13</v>
      </c>
      <c r="N250" s="37">
        <f t="shared" si="105"/>
        <v>78.465478811108525</v>
      </c>
      <c r="O250" s="321"/>
    </row>
    <row r="251" spans="1:15" ht="11.45" customHeight="1" outlineLevel="1" x14ac:dyDescent="0.2">
      <c r="A251" s="30"/>
      <c r="B251" s="33"/>
      <c r="C251" s="34"/>
      <c r="D251" s="29"/>
      <c r="E251" s="29"/>
      <c r="F251" s="35" t="s">
        <v>45</v>
      </c>
      <c r="G251" s="133">
        <f t="shared" si="106"/>
        <v>0</v>
      </c>
      <c r="H251" s="133">
        <f t="shared" si="106"/>
        <v>0</v>
      </c>
      <c r="I251" s="37" t="str">
        <f t="shared" si="107"/>
        <v>-</v>
      </c>
      <c r="J251" s="133">
        <f t="shared" si="108"/>
        <v>0</v>
      </c>
      <c r="K251" s="133">
        <f t="shared" si="108"/>
        <v>0</v>
      </c>
      <c r="L251" s="133">
        <f t="shared" si="108"/>
        <v>0</v>
      </c>
      <c r="M251" s="36">
        <f t="shared" si="108"/>
        <v>0</v>
      </c>
      <c r="N251" s="37" t="str">
        <f t="shared" si="105"/>
        <v>-</v>
      </c>
      <c r="O251" s="321"/>
    </row>
    <row r="252" spans="1:15" ht="11.45" customHeight="1" outlineLevel="1" x14ac:dyDescent="0.2">
      <c r="A252" s="30"/>
      <c r="B252" s="33"/>
      <c r="C252" s="34"/>
      <c r="D252" s="29"/>
      <c r="E252" s="29"/>
      <c r="F252" s="35" t="s">
        <v>359</v>
      </c>
      <c r="G252" s="133">
        <f t="shared" si="106"/>
        <v>0</v>
      </c>
      <c r="H252" s="133">
        <f t="shared" si="106"/>
        <v>0</v>
      </c>
      <c r="I252" s="37" t="str">
        <f t="shared" si="107"/>
        <v>-</v>
      </c>
      <c r="J252" s="133">
        <f t="shared" si="108"/>
        <v>0</v>
      </c>
      <c r="K252" s="133">
        <f t="shared" si="108"/>
        <v>0</v>
      </c>
      <c r="L252" s="133">
        <f t="shared" si="108"/>
        <v>0</v>
      </c>
      <c r="M252" s="36">
        <f t="shared" si="108"/>
        <v>0</v>
      </c>
      <c r="N252" s="37" t="str">
        <f t="shared" si="105"/>
        <v>-</v>
      </c>
      <c r="O252" s="321"/>
    </row>
    <row r="253" spans="1:15" ht="3" customHeight="1" outlineLevel="1" x14ac:dyDescent="0.2">
      <c r="A253" s="65"/>
      <c r="B253" s="66"/>
      <c r="C253" s="67"/>
      <c r="D253" s="68"/>
      <c r="E253" s="68"/>
      <c r="F253" s="65"/>
      <c r="G253" s="134"/>
      <c r="H253" s="134"/>
      <c r="I253" s="70"/>
      <c r="J253" s="134"/>
      <c r="K253" s="134"/>
      <c r="L253" s="134"/>
      <c r="M253" s="69"/>
      <c r="N253" s="70"/>
      <c r="O253" s="322"/>
    </row>
    <row r="254" spans="1:15" s="95" customFormat="1" ht="3" customHeight="1" outlineLevel="1" x14ac:dyDescent="0.2">
      <c r="A254" s="152"/>
      <c r="B254" s="72"/>
      <c r="C254" s="73"/>
      <c r="D254" s="71"/>
      <c r="E254" s="71"/>
      <c r="F254" s="72"/>
      <c r="G254" s="135"/>
      <c r="H254" s="135"/>
      <c r="I254" s="75"/>
      <c r="J254" s="135"/>
      <c r="K254" s="135"/>
      <c r="L254" s="136"/>
      <c r="M254" s="74"/>
      <c r="N254" s="75"/>
      <c r="O254" s="334"/>
    </row>
    <row r="255" spans="1:15" s="95" customFormat="1" ht="11.1" customHeight="1" outlineLevel="1" x14ac:dyDescent="0.2">
      <c r="A255" s="409" t="s">
        <v>467</v>
      </c>
      <c r="B255" s="76" t="s">
        <v>9</v>
      </c>
      <c r="C255" s="77" t="s">
        <v>55</v>
      </c>
      <c r="D255" s="410" t="s">
        <v>389</v>
      </c>
      <c r="E255" s="410" t="s">
        <v>54</v>
      </c>
      <c r="F255" s="78" t="s">
        <v>28</v>
      </c>
      <c r="G255" s="137">
        <f>SUM(G256:G261)</f>
        <v>331125</v>
      </c>
      <c r="H255" s="137">
        <f>SUM(H256:H261)</f>
        <v>92615</v>
      </c>
      <c r="I255" s="39">
        <f t="shared" ref="I255:I261" si="109">IF(G255&gt;0,H255/G255*100,"-")</f>
        <v>27.96979992449981</v>
      </c>
      <c r="J255" s="137">
        <f>SUM(J256:J261)</f>
        <v>0</v>
      </c>
      <c r="K255" s="137">
        <f>SUM(K256:K261)</f>
        <v>116100</v>
      </c>
      <c r="L255" s="137">
        <f>SUM(L256:L261)</f>
        <v>116100</v>
      </c>
      <c r="M255" s="38">
        <f>SUM(M256:M261)</f>
        <v>92614.1</v>
      </c>
      <c r="N255" s="39">
        <f t="shared" ref="N255:N261" si="110">IF(L255&gt;0,M255/L255*100,"-")</f>
        <v>79.770973298880278</v>
      </c>
      <c r="O255" s="405" t="s">
        <v>592</v>
      </c>
    </row>
    <row r="256" spans="1:15" s="95" customFormat="1" ht="11.1" customHeight="1" outlineLevel="1" x14ac:dyDescent="0.2">
      <c r="A256" s="409"/>
      <c r="B256" s="76" t="s">
        <v>10</v>
      </c>
      <c r="C256" s="77" t="s">
        <v>75</v>
      </c>
      <c r="D256" s="410"/>
      <c r="E256" s="410"/>
      <c r="F256" s="79" t="s">
        <v>15</v>
      </c>
      <c r="G256" s="138">
        <v>0</v>
      </c>
      <c r="H256" s="138">
        <f t="shared" ref="H256:H261" si="111">ROUNDUP(0+M256,0)</f>
        <v>0</v>
      </c>
      <c r="I256" s="81" t="str">
        <f t="shared" si="109"/>
        <v>-</v>
      </c>
      <c r="J256" s="138">
        <v>0</v>
      </c>
      <c r="K256" s="138">
        <f t="shared" ref="K256:K261" si="112">L256-J256</f>
        <v>0</v>
      </c>
      <c r="L256" s="138">
        <v>0</v>
      </c>
      <c r="M256" s="80">
        <v>0</v>
      </c>
      <c r="N256" s="81" t="str">
        <f t="shared" si="110"/>
        <v>-</v>
      </c>
      <c r="O256" s="405"/>
    </row>
    <row r="257" spans="1:15" s="95" customFormat="1" ht="11.1" customHeight="1" outlineLevel="1" x14ac:dyDescent="0.2">
      <c r="A257" s="409"/>
      <c r="B257" s="76" t="s">
        <v>11</v>
      </c>
      <c r="C257" s="82" t="s">
        <v>384</v>
      </c>
      <c r="D257" s="410"/>
      <c r="E257" s="410"/>
      <c r="F257" s="79" t="s">
        <v>7</v>
      </c>
      <c r="G257" s="138">
        <v>281456</v>
      </c>
      <c r="H257" s="178">
        <f t="shared" si="111"/>
        <v>78722</v>
      </c>
      <c r="I257" s="81">
        <f t="shared" si="109"/>
        <v>27.969558296856345</v>
      </c>
      <c r="J257" s="138">
        <v>0</v>
      </c>
      <c r="K257" s="138">
        <f t="shared" si="112"/>
        <v>98685</v>
      </c>
      <c r="L257" s="138">
        <v>98685</v>
      </c>
      <c r="M257" s="80">
        <v>78721.990000000005</v>
      </c>
      <c r="N257" s="81">
        <f t="shared" si="110"/>
        <v>79.770978365506423</v>
      </c>
      <c r="O257" s="405"/>
    </row>
    <row r="258" spans="1:15" s="95" customFormat="1" ht="11.1" customHeight="1" outlineLevel="1" x14ac:dyDescent="0.2">
      <c r="A258" s="117"/>
      <c r="B258" s="76"/>
      <c r="C258" s="82" t="s">
        <v>385</v>
      </c>
      <c r="D258" s="108"/>
      <c r="E258" s="108"/>
      <c r="F258" s="79" t="s">
        <v>8</v>
      </c>
      <c r="G258" s="138">
        <v>0</v>
      </c>
      <c r="H258" s="138">
        <f t="shared" si="111"/>
        <v>0</v>
      </c>
      <c r="I258" s="81" t="str">
        <f t="shared" si="109"/>
        <v>-</v>
      </c>
      <c r="J258" s="138">
        <v>0</v>
      </c>
      <c r="K258" s="138">
        <f t="shared" si="112"/>
        <v>0</v>
      </c>
      <c r="L258" s="138">
        <v>0</v>
      </c>
      <c r="M258" s="80">
        <v>0</v>
      </c>
      <c r="N258" s="81" t="str">
        <f t="shared" si="110"/>
        <v>-</v>
      </c>
      <c r="O258" s="405"/>
    </row>
    <row r="259" spans="1:15" s="95" customFormat="1" ht="11.1" customHeight="1" outlineLevel="1" x14ac:dyDescent="0.2">
      <c r="A259" s="117"/>
      <c r="B259" s="76"/>
      <c r="C259" s="82" t="s">
        <v>386</v>
      </c>
      <c r="D259" s="108"/>
      <c r="E259" s="108"/>
      <c r="F259" s="79" t="s">
        <v>22</v>
      </c>
      <c r="G259" s="138">
        <v>49669</v>
      </c>
      <c r="H259" s="138">
        <f t="shared" si="111"/>
        <v>13893</v>
      </c>
      <c r="I259" s="81">
        <f t="shared" si="109"/>
        <v>27.971169139704845</v>
      </c>
      <c r="J259" s="138">
        <v>0</v>
      </c>
      <c r="K259" s="138">
        <f t="shared" si="112"/>
        <v>17415</v>
      </c>
      <c r="L259" s="138">
        <v>17415</v>
      </c>
      <c r="M259" s="80">
        <v>13892.11</v>
      </c>
      <c r="N259" s="81">
        <f t="shared" si="110"/>
        <v>79.770944587998855</v>
      </c>
      <c r="O259" s="405"/>
    </row>
    <row r="260" spans="1:15" s="95" customFormat="1" ht="11.1" customHeight="1" outlineLevel="1" x14ac:dyDescent="0.2">
      <c r="A260" s="117"/>
      <c r="B260" s="76" t="s">
        <v>12</v>
      </c>
      <c r="C260" s="82" t="s">
        <v>387</v>
      </c>
      <c r="D260" s="108"/>
      <c r="E260" s="108"/>
      <c r="F260" s="79" t="s">
        <v>45</v>
      </c>
      <c r="G260" s="138">
        <v>0</v>
      </c>
      <c r="H260" s="138">
        <f t="shared" si="111"/>
        <v>0</v>
      </c>
      <c r="I260" s="81" t="str">
        <f t="shared" si="109"/>
        <v>-</v>
      </c>
      <c r="J260" s="138">
        <v>0</v>
      </c>
      <c r="K260" s="138">
        <f t="shared" si="112"/>
        <v>0</v>
      </c>
      <c r="L260" s="138">
        <v>0</v>
      </c>
      <c r="M260" s="80">
        <v>0</v>
      </c>
      <c r="N260" s="81" t="str">
        <f t="shared" si="110"/>
        <v>-</v>
      </c>
      <c r="O260" s="405"/>
    </row>
    <row r="261" spans="1:15" s="95" customFormat="1" ht="11.1" customHeight="1" outlineLevel="1" x14ac:dyDescent="0.2">
      <c r="A261" s="117"/>
      <c r="B261" s="76" t="s">
        <v>23</v>
      </c>
      <c r="C261" s="82" t="s">
        <v>388</v>
      </c>
      <c r="D261" s="108"/>
      <c r="E261" s="108"/>
      <c r="F261" s="79" t="s">
        <v>359</v>
      </c>
      <c r="G261" s="138">
        <v>0</v>
      </c>
      <c r="H261" s="138">
        <f t="shared" si="111"/>
        <v>0</v>
      </c>
      <c r="I261" s="81" t="str">
        <f t="shared" si="109"/>
        <v>-</v>
      </c>
      <c r="J261" s="138">
        <v>0</v>
      </c>
      <c r="K261" s="138">
        <f t="shared" si="112"/>
        <v>0</v>
      </c>
      <c r="L261" s="138">
        <v>0</v>
      </c>
      <c r="M261" s="80">
        <v>0</v>
      </c>
      <c r="N261" s="81" t="str">
        <f t="shared" si="110"/>
        <v>-</v>
      </c>
      <c r="O261" s="405"/>
    </row>
    <row r="262" spans="1:15" s="95" customFormat="1" ht="3" customHeight="1" outlineLevel="1" x14ac:dyDescent="0.2">
      <c r="A262" s="118"/>
      <c r="B262" s="85"/>
      <c r="C262" s="86"/>
      <c r="D262" s="84"/>
      <c r="E262" s="84"/>
      <c r="F262" s="85"/>
      <c r="G262" s="140"/>
      <c r="H262" s="140"/>
      <c r="I262" s="88"/>
      <c r="J262" s="140"/>
      <c r="K262" s="140"/>
      <c r="L262" s="141"/>
      <c r="M262" s="87"/>
      <c r="N262" s="88"/>
      <c r="O262" s="335"/>
    </row>
    <row r="263" spans="1:15" s="95" customFormat="1" ht="3" customHeight="1" outlineLevel="1" x14ac:dyDescent="0.2">
      <c r="A263" s="152"/>
      <c r="B263" s="72"/>
      <c r="C263" s="73"/>
      <c r="D263" s="71"/>
      <c r="E263" s="71"/>
      <c r="F263" s="72"/>
      <c r="G263" s="135"/>
      <c r="H263" s="135"/>
      <c r="I263" s="75"/>
      <c r="J263" s="135"/>
      <c r="K263" s="135"/>
      <c r="L263" s="136"/>
      <c r="M263" s="74"/>
      <c r="N263" s="75"/>
      <c r="O263" s="323"/>
    </row>
    <row r="264" spans="1:15" s="95" customFormat="1" ht="11.1" customHeight="1" outlineLevel="1" x14ac:dyDescent="0.2">
      <c r="A264" s="409" t="s">
        <v>468</v>
      </c>
      <c r="B264" s="76" t="s">
        <v>9</v>
      </c>
      <c r="C264" s="77" t="s">
        <v>55</v>
      </c>
      <c r="D264" s="410" t="s">
        <v>279</v>
      </c>
      <c r="E264" s="410" t="s">
        <v>54</v>
      </c>
      <c r="F264" s="78" t="s">
        <v>28</v>
      </c>
      <c r="G264" s="137">
        <f>SUM(G265:G270)</f>
        <v>465231</v>
      </c>
      <c r="H264" s="137">
        <f>SUM(H265:H270)</f>
        <v>314157</v>
      </c>
      <c r="I264" s="39">
        <f t="shared" ref="I264:I270" si="113">IF(G264&gt;0,H264/G264*100,"-")</f>
        <v>67.527099440922896</v>
      </c>
      <c r="J264" s="137">
        <f>SUM(J265:J270)</f>
        <v>386014</v>
      </c>
      <c r="K264" s="137">
        <f>SUM(K265:K270)</f>
        <v>11730</v>
      </c>
      <c r="L264" s="137">
        <f>SUM(L265:L270)</f>
        <v>397744</v>
      </c>
      <c r="M264" s="38">
        <f>SUM(M265:M270)</f>
        <v>279534.25</v>
      </c>
      <c r="N264" s="39">
        <f t="shared" ref="N264:N270" si="114">IF(L264&gt;0,M264/L264*100,"-")</f>
        <v>70.279941369322984</v>
      </c>
      <c r="O264" s="405" t="s">
        <v>598</v>
      </c>
    </row>
    <row r="265" spans="1:15" s="95" customFormat="1" ht="11.1" customHeight="1" outlineLevel="1" x14ac:dyDescent="0.2">
      <c r="A265" s="409"/>
      <c r="B265" s="76" t="s">
        <v>10</v>
      </c>
      <c r="C265" s="77" t="s">
        <v>63</v>
      </c>
      <c r="D265" s="410"/>
      <c r="E265" s="410"/>
      <c r="F265" s="79" t="s">
        <v>15</v>
      </c>
      <c r="G265" s="138">
        <v>0</v>
      </c>
      <c r="H265" s="138">
        <f t="shared" ref="H265:H270" si="115">ROUNDUP(0+M265,0)</f>
        <v>0</v>
      </c>
      <c r="I265" s="81" t="str">
        <f t="shared" si="113"/>
        <v>-</v>
      </c>
      <c r="J265" s="138">
        <v>0</v>
      </c>
      <c r="K265" s="138">
        <f t="shared" ref="K265:K270" si="116">L265-J265</f>
        <v>0</v>
      </c>
      <c r="L265" s="138">
        <v>0</v>
      </c>
      <c r="M265" s="80">
        <v>0</v>
      </c>
      <c r="N265" s="81" t="str">
        <f t="shared" si="114"/>
        <v>-</v>
      </c>
      <c r="O265" s="405"/>
    </row>
    <row r="266" spans="1:15" s="95" customFormat="1" ht="11.1" customHeight="1" outlineLevel="1" x14ac:dyDescent="0.2">
      <c r="A266" s="409"/>
      <c r="B266" s="76" t="s">
        <v>11</v>
      </c>
      <c r="C266" s="82" t="s">
        <v>276</v>
      </c>
      <c r="D266" s="410"/>
      <c r="E266" s="410"/>
      <c r="F266" s="79" t="s">
        <v>7</v>
      </c>
      <c r="G266" s="138">
        <v>395447</v>
      </c>
      <c r="H266" s="138">
        <f>ROUNDUP(29428+M266,0)</f>
        <v>267033</v>
      </c>
      <c r="I266" s="81">
        <f t="shared" si="113"/>
        <v>67.526874650711719</v>
      </c>
      <c r="J266" s="138">
        <v>328112</v>
      </c>
      <c r="K266" s="178">
        <f t="shared" si="116"/>
        <v>9971</v>
      </c>
      <c r="L266" s="138">
        <v>338083</v>
      </c>
      <c r="M266" s="80">
        <v>237604.06</v>
      </c>
      <c r="N266" s="81">
        <f t="shared" si="114"/>
        <v>70.279801113927647</v>
      </c>
      <c r="O266" s="405"/>
    </row>
    <row r="267" spans="1:15" s="95" customFormat="1" ht="11.1" customHeight="1" outlineLevel="1" x14ac:dyDescent="0.2">
      <c r="A267" s="117"/>
      <c r="B267" s="76"/>
      <c r="C267" s="82" t="s">
        <v>277</v>
      </c>
      <c r="D267" s="108"/>
      <c r="E267" s="108"/>
      <c r="F267" s="79" t="s">
        <v>8</v>
      </c>
      <c r="G267" s="138">
        <v>0</v>
      </c>
      <c r="H267" s="138">
        <f t="shared" si="115"/>
        <v>0</v>
      </c>
      <c r="I267" s="81" t="str">
        <f t="shared" si="113"/>
        <v>-</v>
      </c>
      <c r="J267" s="138">
        <v>0</v>
      </c>
      <c r="K267" s="178">
        <f t="shared" si="116"/>
        <v>0</v>
      </c>
      <c r="L267" s="138">
        <v>0</v>
      </c>
      <c r="M267" s="80">
        <v>0</v>
      </c>
      <c r="N267" s="81" t="str">
        <f t="shared" si="114"/>
        <v>-</v>
      </c>
      <c r="O267" s="405"/>
    </row>
    <row r="268" spans="1:15" s="95" customFormat="1" ht="11.1" customHeight="1" outlineLevel="1" x14ac:dyDescent="0.2">
      <c r="A268" s="117"/>
      <c r="B268" s="76" t="s">
        <v>12</v>
      </c>
      <c r="C268" s="82" t="s">
        <v>278</v>
      </c>
      <c r="D268" s="108"/>
      <c r="E268" s="108"/>
      <c r="F268" s="79" t="s">
        <v>22</v>
      </c>
      <c r="G268" s="138">
        <v>69784</v>
      </c>
      <c r="H268" s="178">
        <f>ROUNDUP(5193+M268,0)</f>
        <v>47124</v>
      </c>
      <c r="I268" s="81">
        <f t="shared" si="113"/>
        <v>67.528373266078177</v>
      </c>
      <c r="J268" s="138">
        <v>57902</v>
      </c>
      <c r="K268" s="178">
        <f t="shared" si="116"/>
        <v>1759</v>
      </c>
      <c r="L268" s="138">
        <v>59661</v>
      </c>
      <c r="M268" s="80">
        <v>41930.19</v>
      </c>
      <c r="N268" s="81">
        <f t="shared" si="114"/>
        <v>70.280736159300048</v>
      </c>
      <c r="O268" s="405"/>
    </row>
    <row r="269" spans="1:15" s="95" customFormat="1" ht="11.1" customHeight="1" outlineLevel="1" x14ac:dyDescent="0.2">
      <c r="A269" s="117"/>
      <c r="B269" s="76" t="s">
        <v>23</v>
      </c>
      <c r="C269" s="82" t="s">
        <v>390</v>
      </c>
      <c r="D269" s="108"/>
      <c r="E269" s="108"/>
      <c r="F269" s="79" t="s">
        <v>45</v>
      </c>
      <c r="G269" s="138">
        <v>0</v>
      </c>
      <c r="H269" s="138">
        <f t="shared" si="115"/>
        <v>0</v>
      </c>
      <c r="I269" s="81" t="str">
        <f t="shared" si="113"/>
        <v>-</v>
      </c>
      <c r="J269" s="138">
        <v>0</v>
      </c>
      <c r="K269" s="138">
        <f t="shared" si="116"/>
        <v>0</v>
      </c>
      <c r="L269" s="138">
        <v>0</v>
      </c>
      <c r="M269" s="80">
        <v>0</v>
      </c>
      <c r="N269" s="81" t="str">
        <f t="shared" si="114"/>
        <v>-</v>
      </c>
      <c r="O269" s="405"/>
    </row>
    <row r="270" spans="1:15" s="95" customFormat="1" ht="11.1" customHeight="1" outlineLevel="1" x14ac:dyDescent="0.2">
      <c r="A270" s="117"/>
      <c r="B270" s="76"/>
      <c r="C270" s="82" t="s">
        <v>391</v>
      </c>
      <c r="D270" s="108"/>
      <c r="E270" s="108"/>
      <c r="F270" s="79" t="s">
        <v>359</v>
      </c>
      <c r="G270" s="138">
        <v>0</v>
      </c>
      <c r="H270" s="138">
        <f t="shared" si="115"/>
        <v>0</v>
      </c>
      <c r="I270" s="81" t="str">
        <f t="shared" si="113"/>
        <v>-</v>
      </c>
      <c r="J270" s="138">
        <v>0</v>
      </c>
      <c r="K270" s="138">
        <f t="shared" si="116"/>
        <v>0</v>
      </c>
      <c r="L270" s="138">
        <v>0</v>
      </c>
      <c r="M270" s="80">
        <v>0</v>
      </c>
      <c r="N270" s="81" t="str">
        <f t="shared" si="114"/>
        <v>-</v>
      </c>
      <c r="O270" s="405"/>
    </row>
    <row r="271" spans="1:15" s="95" customFormat="1" ht="11.1" customHeight="1" outlineLevel="1" x14ac:dyDescent="0.2">
      <c r="A271" s="117"/>
      <c r="B271" s="76"/>
      <c r="C271" s="82" t="s">
        <v>392</v>
      </c>
      <c r="D271" s="108"/>
      <c r="E271" s="108"/>
      <c r="F271" s="106"/>
      <c r="G271" s="139"/>
      <c r="H271" s="139"/>
      <c r="I271" s="81"/>
      <c r="J271" s="139"/>
      <c r="K271" s="139"/>
      <c r="L271" s="138"/>
      <c r="M271" s="107"/>
      <c r="N271" s="81"/>
      <c r="O271" s="333"/>
    </row>
    <row r="272" spans="1:15" s="95" customFormat="1" ht="11.1" customHeight="1" outlineLevel="1" x14ac:dyDescent="0.2">
      <c r="A272" s="117"/>
      <c r="B272" s="76"/>
      <c r="C272" s="82" t="s">
        <v>393</v>
      </c>
      <c r="D272" s="108"/>
      <c r="E272" s="108"/>
      <c r="F272" s="106"/>
      <c r="G272" s="139"/>
      <c r="H272" s="139"/>
      <c r="I272" s="81"/>
      <c r="J272" s="139"/>
      <c r="K272" s="139"/>
      <c r="L272" s="138"/>
      <c r="M272" s="107"/>
      <c r="N272" s="81"/>
      <c r="O272" s="333"/>
    </row>
    <row r="273" spans="1:15" s="95" customFormat="1" ht="3" customHeight="1" outlineLevel="1" x14ac:dyDescent="0.2">
      <c r="A273" s="118"/>
      <c r="B273" s="85"/>
      <c r="C273" s="86"/>
      <c r="D273" s="84"/>
      <c r="E273" s="84"/>
      <c r="F273" s="85"/>
      <c r="G273" s="140"/>
      <c r="H273" s="140"/>
      <c r="I273" s="88"/>
      <c r="J273" s="140"/>
      <c r="K273" s="140"/>
      <c r="L273" s="141"/>
      <c r="M273" s="87"/>
      <c r="N273" s="88"/>
      <c r="O273" s="324"/>
    </row>
    <row r="274" spans="1:15" s="95" customFormat="1" ht="3" customHeight="1" outlineLevel="1" x14ac:dyDescent="0.2">
      <c r="A274" s="152"/>
      <c r="B274" s="72"/>
      <c r="C274" s="73"/>
      <c r="D274" s="71"/>
      <c r="E274" s="71"/>
      <c r="F274" s="72"/>
      <c r="G274" s="135"/>
      <c r="H274" s="135"/>
      <c r="I274" s="75"/>
      <c r="J274" s="135"/>
      <c r="K274" s="135"/>
      <c r="L274" s="136"/>
      <c r="M274" s="74"/>
      <c r="N274" s="75"/>
      <c r="O274" s="323"/>
    </row>
    <row r="275" spans="1:15" s="95" customFormat="1" ht="11.1" customHeight="1" outlineLevel="1" x14ac:dyDescent="0.2">
      <c r="A275" s="409" t="s">
        <v>469</v>
      </c>
      <c r="B275" s="76" t="s">
        <v>9</v>
      </c>
      <c r="C275" s="77" t="s">
        <v>55</v>
      </c>
      <c r="D275" s="410" t="s">
        <v>279</v>
      </c>
      <c r="E275" s="410" t="s">
        <v>54</v>
      </c>
      <c r="F275" s="78" t="s">
        <v>28</v>
      </c>
      <c r="G275" s="137">
        <f>SUM(G276:G281)</f>
        <v>1128300</v>
      </c>
      <c r="H275" s="137">
        <f>SUM(H276:H281)</f>
        <v>516507</v>
      </c>
      <c r="I275" s="39">
        <f t="shared" ref="I275:I281" si="117">IF(G275&gt;0,H275/G275*100,"-")</f>
        <v>45.777452805105021</v>
      </c>
      <c r="J275" s="137">
        <f>SUM(J276:J281)</f>
        <v>563094</v>
      </c>
      <c r="K275" s="137">
        <f>SUM(K276:K281)</f>
        <v>95105</v>
      </c>
      <c r="L275" s="137">
        <f>SUM(L276:L281)</f>
        <v>658199</v>
      </c>
      <c r="M275" s="38">
        <f>SUM(M276:M281)</f>
        <v>486355.30000000005</v>
      </c>
      <c r="N275" s="39">
        <f t="shared" ref="N275:N281" si="118">IF(L275&gt;0,M275/L275*100,"-")</f>
        <v>73.891832105487865</v>
      </c>
      <c r="O275" s="405" t="s">
        <v>596</v>
      </c>
    </row>
    <row r="276" spans="1:15" s="95" customFormat="1" ht="11.1" customHeight="1" outlineLevel="1" x14ac:dyDescent="0.2">
      <c r="A276" s="409"/>
      <c r="B276" s="76" t="s">
        <v>10</v>
      </c>
      <c r="C276" s="77" t="s">
        <v>314</v>
      </c>
      <c r="D276" s="410"/>
      <c r="E276" s="410"/>
      <c r="F276" s="79" t="s">
        <v>15</v>
      </c>
      <c r="G276" s="138">
        <v>0</v>
      </c>
      <c r="H276" s="138">
        <f t="shared" ref="H276:H281" si="119">ROUNDUP(0+M276,0)</f>
        <v>0</v>
      </c>
      <c r="I276" s="81" t="str">
        <f t="shared" si="117"/>
        <v>-</v>
      </c>
      <c r="J276" s="138">
        <v>0</v>
      </c>
      <c r="K276" s="138">
        <f t="shared" ref="K276:K281" si="120">L276-J276</f>
        <v>0</v>
      </c>
      <c r="L276" s="138">
        <v>0</v>
      </c>
      <c r="M276" s="80">
        <v>0</v>
      </c>
      <c r="N276" s="81" t="str">
        <f t="shared" si="118"/>
        <v>-</v>
      </c>
      <c r="O276" s="405"/>
    </row>
    <row r="277" spans="1:15" s="95" customFormat="1" ht="11.1" customHeight="1" outlineLevel="1" x14ac:dyDescent="0.2">
      <c r="A277" s="409"/>
      <c r="B277" s="76" t="s">
        <v>11</v>
      </c>
      <c r="C277" s="82" t="s">
        <v>73</v>
      </c>
      <c r="D277" s="410"/>
      <c r="E277" s="410"/>
      <c r="F277" s="79" t="s">
        <v>7</v>
      </c>
      <c r="G277" s="178">
        <v>959055</v>
      </c>
      <c r="H277" s="138">
        <f>ROUNDUP(25628+M277,0)</f>
        <v>439030</v>
      </c>
      <c r="I277" s="81">
        <f t="shared" si="117"/>
        <v>45.777353749263597</v>
      </c>
      <c r="J277" s="138">
        <v>478630</v>
      </c>
      <c r="K277" s="138">
        <f t="shared" si="120"/>
        <v>80839</v>
      </c>
      <c r="L277" s="138">
        <v>559469</v>
      </c>
      <c r="M277" s="80">
        <v>413401.7</v>
      </c>
      <c r="N277" s="81">
        <f t="shared" si="118"/>
        <v>73.891797400749638</v>
      </c>
      <c r="O277" s="405"/>
    </row>
    <row r="278" spans="1:15" s="95" customFormat="1" ht="11.1" customHeight="1" outlineLevel="1" x14ac:dyDescent="0.2">
      <c r="A278" s="117"/>
      <c r="B278" s="76"/>
      <c r="C278" s="82" t="s">
        <v>74</v>
      </c>
      <c r="D278" s="108"/>
      <c r="E278" s="108"/>
      <c r="F278" s="79" t="s">
        <v>8</v>
      </c>
      <c r="G278" s="178">
        <v>0</v>
      </c>
      <c r="H278" s="138">
        <f t="shared" si="119"/>
        <v>0</v>
      </c>
      <c r="I278" s="81" t="str">
        <f t="shared" si="117"/>
        <v>-</v>
      </c>
      <c r="J278" s="138">
        <v>0</v>
      </c>
      <c r="K278" s="138">
        <f t="shared" si="120"/>
        <v>0</v>
      </c>
      <c r="L278" s="138">
        <v>0</v>
      </c>
      <c r="M278" s="80">
        <v>0</v>
      </c>
      <c r="N278" s="81" t="str">
        <f t="shared" si="118"/>
        <v>-</v>
      </c>
      <c r="O278" s="405"/>
    </row>
    <row r="279" spans="1:15" s="95" customFormat="1" ht="11.1" customHeight="1" outlineLevel="1" x14ac:dyDescent="0.2">
      <c r="A279" s="117"/>
      <c r="B279" s="76" t="s">
        <v>12</v>
      </c>
      <c r="C279" s="82" t="s">
        <v>312</v>
      </c>
      <c r="D279" s="108"/>
      <c r="E279" s="108"/>
      <c r="F279" s="79" t="s">
        <v>22</v>
      </c>
      <c r="G279" s="178">
        <v>169245</v>
      </c>
      <c r="H279" s="138">
        <f>ROUNDUP(4523+M279,0)</f>
        <v>77477</v>
      </c>
      <c r="I279" s="81">
        <f t="shared" si="117"/>
        <v>45.778014121539776</v>
      </c>
      <c r="J279" s="138">
        <v>84464</v>
      </c>
      <c r="K279" s="138">
        <f t="shared" si="120"/>
        <v>14266</v>
      </c>
      <c r="L279" s="138">
        <v>98730</v>
      </c>
      <c r="M279" s="80">
        <v>72953.600000000006</v>
      </c>
      <c r="N279" s="81">
        <f t="shared" si="118"/>
        <v>73.892028765319566</v>
      </c>
      <c r="O279" s="405"/>
    </row>
    <row r="280" spans="1:15" s="95" customFormat="1" ht="11.1" customHeight="1" outlineLevel="1" x14ac:dyDescent="0.2">
      <c r="A280" s="117"/>
      <c r="B280" s="76" t="s">
        <v>23</v>
      </c>
      <c r="C280" s="82" t="s">
        <v>499</v>
      </c>
      <c r="D280" s="108"/>
      <c r="E280" s="108"/>
      <c r="F280" s="79" t="s">
        <v>45</v>
      </c>
      <c r="G280" s="178">
        <v>0</v>
      </c>
      <c r="H280" s="138">
        <f t="shared" si="119"/>
        <v>0</v>
      </c>
      <c r="I280" s="81" t="str">
        <f t="shared" si="117"/>
        <v>-</v>
      </c>
      <c r="J280" s="138">
        <v>0</v>
      </c>
      <c r="K280" s="138">
        <f t="shared" si="120"/>
        <v>0</v>
      </c>
      <c r="L280" s="138">
        <v>0</v>
      </c>
      <c r="M280" s="80">
        <v>0</v>
      </c>
      <c r="N280" s="81" t="str">
        <f t="shared" si="118"/>
        <v>-</v>
      </c>
      <c r="O280" s="405"/>
    </row>
    <row r="281" spans="1:15" s="95" customFormat="1" ht="11.1" customHeight="1" outlineLevel="1" x14ac:dyDescent="0.2">
      <c r="A281" s="117"/>
      <c r="B281" s="76"/>
      <c r="C281" s="82" t="s">
        <v>500</v>
      </c>
      <c r="D281" s="108"/>
      <c r="E281" s="108"/>
      <c r="F281" s="79" t="s">
        <v>359</v>
      </c>
      <c r="G281" s="138">
        <v>0</v>
      </c>
      <c r="H281" s="138">
        <f t="shared" si="119"/>
        <v>0</v>
      </c>
      <c r="I281" s="81" t="str">
        <f t="shared" si="117"/>
        <v>-</v>
      </c>
      <c r="J281" s="138">
        <v>0</v>
      </c>
      <c r="K281" s="138">
        <f t="shared" si="120"/>
        <v>0</v>
      </c>
      <c r="L281" s="138">
        <v>0</v>
      </c>
      <c r="M281" s="80">
        <v>0</v>
      </c>
      <c r="N281" s="81" t="str">
        <f t="shared" si="118"/>
        <v>-</v>
      </c>
      <c r="O281" s="405"/>
    </row>
    <row r="282" spans="1:15" s="95" customFormat="1" ht="3" customHeight="1" outlineLevel="1" x14ac:dyDescent="0.2">
      <c r="A282" s="118"/>
      <c r="B282" s="85"/>
      <c r="C282" s="86"/>
      <c r="D282" s="84"/>
      <c r="E282" s="84"/>
      <c r="F282" s="85"/>
      <c r="G282" s="140"/>
      <c r="H282" s="140"/>
      <c r="I282" s="88"/>
      <c r="J282" s="140"/>
      <c r="K282" s="140"/>
      <c r="L282" s="141"/>
      <c r="M282" s="87"/>
      <c r="N282" s="88"/>
      <c r="O282" s="324"/>
    </row>
    <row r="283" spans="1:15" s="95" customFormat="1" ht="3" customHeight="1" outlineLevel="1" x14ac:dyDescent="0.2">
      <c r="A283" s="152"/>
      <c r="B283" s="72"/>
      <c r="C283" s="73"/>
      <c r="D283" s="71"/>
      <c r="E283" s="71"/>
      <c r="F283" s="72"/>
      <c r="G283" s="135"/>
      <c r="H283" s="135"/>
      <c r="I283" s="75"/>
      <c r="J283" s="135"/>
      <c r="K283" s="135"/>
      <c r="L283" s="136"/>
      <c r="M283" s="74"/>
      <c r="N283" s="75"/>
      <c r="O283" s="323"/>
    </row>
    <row r="284" spans="1:15" s="95" customFormat="1" ht="11.1" customHeight="1" outlineLevel="1" x14ac:dyDescent="0.2">
      <c r="A284" s="409" t="s">
        <v>470</v>
      </c>
      <c r="B284" s="76" t="s">
        <v>9</v>
      </c>
      <c r="C284" s="77" t="s">
        <v>55</v>
      </c>
      <c r="D284" s="410" t="s">
        <v>281</v>
      </c>
      <c r="E284" s="410" t="s">
        <v>54</v>
      </c>
      <c r="F284" s="78" t="s">
        <v>28</v>
      </c>
      <c r="G284" s="137">
        <f>SUM(G285:G290)</f>
        <v>1398789</v>
      </c>
      <c r="H284" s="137">
        <f>SUM(H285:H290)</f>
        <v>591555</v>
      </c>
      <c r="I284" s="39">
        <f t="shared" ref="I284:I290" si="121">IF(G284&gt;0,H284/G284*100,"-")</f>
        <v>42.290509862459594</v>
      </c>
      <c r="J284" s="137">
        <f>SUM(J285:J290)</f>
        <v>810783</v>
      </c>
      <c r="K284" s="137">
        <f>SUM(K285:K290)</f>
        <v>0</v>
      </c>
      <c r="L284" s="137">
        <f>SUM(L285:L290)</f>
        <v>810783</v>
      </c>
      <c r="M284" s="38">
        <f>SUM(M285:M290)</f>
        <v>533322.62</v>
      </c>
      <c r="N284" s="39">
        <f t="shared" ref="N284:N290" si="122">IF(L284&gt;0,M284/L284*100,"-")</f>
        <v>65.778712676511475</v>
      </c>
      <c r="O284" s="405" t="s">
        <v>593</v>
      </c>
    </row>
    <row r="285" spans="1:15" s="95" customFormat="1" ht="11.1" customHeight="1" outlineLevel="1" x14ac:dyDescent="0.2">
      <c r="A285" s="409"/>
      <c r="B285" s="76" t="s">
        <v>10</v>
      </c>
      <c r="C285" s="77" t="s">
        <v>314</v>
      </c>
      <c r="D285" s="410"/>
      <c r="E285" s="410"/>
      <c r="F285" s="79" t="s">
        <v>15</v>
      </c>
      <c r="G285" s="138">
        <v>0</v>
      </c>
      <c r="H285" s="138">
        <f t="shared" ref="H285:H290" si="123">ROUNDUP(0+M285,0)</f>
        <v>0</v>
      </c>
      <c r="I285" s="81" t="str">
        <f t="shared" si="121"/>
        <v>-</v>
      </c>
      <c r="J285" s="138">
        <v>0</v>
      </c>
      <c r="K285" s="138">
        <f t="shared" ref="K285:K290" si="124">L285-J285</f>
        <v>0</v>
      </c>
      <c r="L285" s="138">
        <v>0</v>
      </c>
      <c r="M285" s="80">
        <v>0</v>
      </c>
      <c r="N285" s="81" t="str">
        <f t="shared" si="122"/>
        <v>-</v>
      </c>
      <c r="O285" s="405"/>
    </row>
    <row r="286" spans="1:15" s="95" customFormat="1" ht="11.1" customHeight="1" outlineLevel="1" x14ac:dyDescent="0.2">
      <c r="A286" s="409"/>
      <c r="B286" s="76" t="s">
        <v>11</v>
      </c>
      <c r="C286" s="82" t="s">
        <v>73</v>
      </c>
      <c r="D286" s="410"/>
      <c r="E286" s="410"/>
      <c r="F286" s="79" t="s">
        <v>7</v>
      </c>
      <c r="G286" s="138">
        <v>1188971</v>
      </c>
      <c r="H286" s="178">
        <f>ROUNDUP(49497+M286,0)</f>
        <v>502822</v>
      </c>
      <c r="I286" s="81">
        <f t="shared" si="121"/>
        <v>42.290518439894662</v>
      </c>
      <c r="J286" s="138">
        <v>689165</v>
      </c>
      <c r="K286" s="138">
        <f t="shared" si="124"/>
        <v>0</v>
      </c>
      <c r="L286" s="138">
        <v>689165</v>
      </c>
      <c r="M286" s="80">
        <v>453324.23</v>
      </c>
      <c r="N286" s="81">
        <f t="shared" si="122"/>
        <v>65.778765607655643</v>
      </c>
      <c r="O286" s="405"/>
    </row>
    <row r="287" spans="1:15" s="95" customFormat="1" ht="11.1" customHeight="1" outlineLevel="1" x14ac:dyDescent="0.2">
      <c r="A287" s="117"/>
      <c r="B287" s="76"/>
      <c r="C287" s="82" t="s">
        <v>74</v>
      </c>
      <c r="D287" s="108"/>
      <c r="E287" s="108"/>
      <c r="F287" s="79" t="s">
        <v>8</v>
      </c>
      <c r="G287" s="138">
        <v>0</v>
      </c>
      <c r="H287" s="178">
        <f t="shared" si="123"/>
        <v>0</v>
      </c>
      <c r="I287" s="81" t="str">
        <f t="shared" si="121"/>
        <v>-</v>
      </c>
      <c r="J287" s="138">
        <v>0</v>
      </c>
      <c r="K287" s="138">
        <f t="shared" si="124"/>
        <v>0</v>
      </c>
      <c r="L287" s="138">
        <v>0</v>
      </c>
      <c r="M287" s="80">
        <v>0</v>
      </c>
      <c r="N287" s="81" t="str">
        <f t="shared" si="122"/>
        <v>-</v>
      </c>
      <c r="O287" s="405"/>
    </row>
    <row r="288" spans="1:15" s="95" customFormat="1" ht="11.1" customHeight="1" outlineLevel="1" x14ac:dyDescent="0.2">
      <c r="A288" s="117"/>
      <c r="B288" s="76" t="s">
        <v>12</v>
      </c>
      <c r="C288" s="82" t="s">
        <v>280</v>
      </c>
      <c r="D288" s="108"/>
      <c r="E288" s="108"/>
      <c r="F288" s="79" t="s">
        <v>22</v>
      </c>
      <c r="G288" s="138">
        <v>209818</v>
      </c>
      <c r="H288" s="178">
        <f>ROUNDUP(8734+M288,0)</f>
        <v>88733</v>
      </c>
      <c r="I288" s="81">
        <f t="shared" si="121"/>
        <v>42.290461256898837</v>
      </c>
      <c r="J288" s="138">
        <v>121618</v>
      </c>
      <c r="K288" s="138">
        <f t="shared" si="124"/>
        <v>0</v>
      </c>
      <c r="L288" s="138">
        <v>121618</v>
      </c>
      <c r="M288" s="80">
        <v>79998.39</v>
      </c>
      <c r="N288" s="81">
        <f t="shared" si="122"/>
        <v>65.778412734956987</v>
      </c>
      <c r="O288" s="405"/>
    </row>
    <row r="289" spans="1:15" s="95" customFormat="1" ht="11.1" customHeight="1" outlineLevel="1" x14ac:dyDescent="0.2">
      <c r="A289" s="117"/>
      <c r="B289" s="76" t="s">
        <v>23</v>
      </c>
      <c r="C289" s="82" t="s">
        <v>303</v>
      </c>
      <c r="D289" s="108"/>
      <c r="E289" s="108"/>
      <c r="F289" s="79" t="s">
        <v>45</v>
      </c>
      <c r="G289" s="138">
        <v>0</v>
      </c>
      <c r="H289" s="138">
        <f t="shared" si="123"/>
        <v>0</v>
      </c>
      <c r="I289" s="81" t="str">
        <f t="shared" si="121"/>
        <v>-</v>
      </c>
      <c r="J289" s="138">
        <v>0</v>
      </c>
      <c r="K289" s="138">
        <f t="shared" si="124"/>
        <v>0</v>
      </c>
      <c r="L289" s="138">
        <v>0</v>
      </c>
      <c r="M289" s="80">
        <v>0</v>
      </c>
      <c r="N289" s="81" t="str">
        <f t="shared" si="122"/>
        <v>-</v>
      </c>
      <c r="O289" s="405"/>
    </row>
    <row r="290" spans="1:15" s="95" customFormat="1" ht="11.1" customHeight="1" outlineLevel="1" x14ac:dyDescent="0.2">
      <c r="A290" s="117"/>
      <c r="B290" s="76"/>
      <c r="C290" s="82" t="s">
        <v>394</v>
      </c>
      <c r="D290" s="108"/>
      <c r="E290" s="108"/>
      <c r="F290" s="79" t="s">
        <v>359</v>
      </c>
      <c r="G290" s="138">
        <v>0</v>
      </c>
      <c r="H290" s="138">
        <f t="shared" si="123"/>
        <v>0</v>
      </c>
      <c r="I290" s="81" t="str">
        <f t="shared" si="121"/>
        <v>-</v>
      </c>
      <c r="J290" s="138">
        <v>0</v>
      </c>
      <c r="K290" s="138">
        <f t="shared" si="124"/>
        <v>0</v>
      </c>
      <c r="L290" s="138">
        <v>0</v>
      </c>
      <c r="M290" s="80">
        <v>0</v>
      </c>
      <c r="N290" s="81" t="str">
        <f t="shared" si="122"/>
        <v>-</v>
      </c>
      <c r="O290" s="405"/>
    </row>
    <row r="291" spans="1:15" s="95" customFormat="1" ht="3" customHeight="1" outlineLevel="1" x14ac:dyDescent="0.2">
      <c r="A291" s="118"/>
      <c r="B291" s="85"/>
      <c r="C291" s="86"/>
      <c r="D291" s="84"/>
      <c r="E291" s="84"/>
      <c r="F291" s="85"/>
      <c r="G291" s="140"/>
      <c r="H291" s="140"/>
      <c r="I291" s="88"/>
      <c r="J291" s="140"/>
      <c r="K291" s="140"/>
      <c r="L291" s="141"/>
      <c r="M291" s="87"/>
      <c r="N291" s="88"/>
      <c r="O291" s="324"/>
    </row>
    <row r="292" spans="1:15" s="95" customFormat="1" ht="3" customHeight="1" outlineLevel="1" x14ac:dyDescent="0.2">
      <c r="A292" s="152"/>
      <c r="B292" s="72"/>
      <c r="C292" s="73"/>
      <c r="D292" s="71"/>
      <c r="E292" s="71"/>
      <c r="F292" s="72"/>
      <c r="G292" s="135"/>
      <c r="H292" s="135"/>
      <c r="I292" s="75"/>
      <c r="J292" s="135"/>
      <c r="K292" s="135"/>
      <c r="L292" s="136"/>
      <c r="M292" s="74"/>
      <c r="N292" s="75"/>
      <c r="O292" s="323"/>
    </row>
    <row r="293" spans="1:15" s="95" customFormat="1" ht="11.1" customHeight="1" outlineLevel="1" x14ac:dyDescent="0.2">
      <c r="A293" s="409" t="s">
        <v>471</v>
      </c>
      <c r="B293" s="76" t="s">
        <v>9</v>
      </c>
      <c r="C293" s="77" t="s">
        <v>55</v>
      </c>
      <c r="D293" s="410" t="s">
        <v>313</v>
      </c>
      <c r="E293" s="410" t="s">
        <v>54</v>
      </c>
      <c r="F293" s="78" t="s">
        <v>28</v>
      </c>
      <c r="G293" s="137">
        <f>SUM(G294:G299)</f>
        <v>1072884</v>
      </c>
      <c r="H293" s="137">
        <f>SUM(H294:H299)</f>
        <v>947168</v>
      </c>
      <c r="I293" s="39">
        <f t="shared" ref="I293:I299" si="125">IF(G293&gt;0,H293/G293*100,"-")</f>
        <v>88.282423822146654</v>
      </c>
      <c r="J293" s="137">
        <f>SUM(J294:J299)</f>
        <v>382084</v>
      </c>
      <c r="K293" s="137">
        <f>SUM(K294:K299)</f>
        <v>0</v>
      </c>
      <c r="L293" s="137">
        <f>SUM(L294:L299)</f>
        <v>382084</v>
      </c>
      <c r="M293" s="38">
        <f>SUM(M294:M299)</f>
        <v>339934.7</v>
      </c>
      <c r="N293" s="39">
        <f t="shared" ref="N293:N299" si="126">IF(L293&gt;0,M293/L293*100,"-")</f>
        <v>88.968577590268112</v>
      </c>
      <c r="O293" s="405" t="s">
        <v>594</v>
      </c>
    </row>
    <row r="294" spans="1:15" s="95" customFormat="1" ht="11.1" customHeight="1" outlineLevel="1" x14ac:dyDescent="0.2">
      <c r="A294" s="409"/>
      <c r="B294" s="76" t="s">
        <v>10</v>
      </c>
      <c r="C294" s="77" t="s">
        <v>314</v>
      </c>
      <c r="D294" s="410"/>
      <c r="E294" s="410"/>
      <c r="F294" s="79" t="s">
        <v>15</v>
      </c>
      <c r="G294" s="138">
        <v>0</v>
      </c>
      <c r="H294" s="138">
        <f>ROUNDUP(0+M294,0)</f>
        <v>0</v>
      </c>
      <c r="I294" s="81" t="str">
        <f t="shared" si="125"/>
        <v>-</v>
      </c>
      <c r="J294" s="138">
        <v>0</v>
      </c>
      <c r="K294" s="138">
        <f t="shared" ref="K294:K295" si="127">L294-J294</f>
        <v>0</v>
      </c>
      <c r="L294" s="138">
        <v>0</v>
      </c>
      <c r="M294" s="80">
        <v>0</v>
      </c>
      <c r="N294" s="81" t="str">
        <f t="shared" si="126"/>
        <v>-</v>
      </c>
      <c r="O294" s="405"/>
    </row>
    <row r="295" spans="1:15" s="95" customFormat="1" ht="11.1" customHeight="1" outlineLevel="1" x14ac:dyDescent="0.2">
      <c r="A295" s="409"/>
      <c r="B295" s="76" t="s">
        <v>11</v>
      </c>
      <c r="C295" s="82" t="s">
        <v>73</v>
      </c>
      <c r="D295" s="410"/>
      <c r="E295" s="410"/>
      <c r="F295" s="79" t="s">
        <v>7</v>
      </c>
      <c r="G295" s="138">
        <v>1072884</v>
      </c>
      <c r="H295" s="138">
        <f>ROUNDUP(607233+M295,0)</f>
        <v>947168</v>
      </c>
      <c r="I295" s="81">
        <f t="shared" si="125"/>
        <v>88.282423822146654</v>
      </c>
      <c r="J295" s="138">
        <v>382084</v>
      </c>
      <c r="K295" s="138">
        <f t="shared" si="127"/>
        <v>0</v>
      </c>
      <c r="L295" s="138">
        <v>382084</v>
      </c>
      <c r="M295" s="80">
        <v>339934.7</v>
      </c>
      <c r="N295" s="81">
        <f t="shared" si="126"/>
        <v>88.968577590268112</v>
      </c>
      <c r="O295" s="405"/>
    </row>
    <row r="296" spans="1:15" s="95" customFormat="1" ht="11.1" customHeight="1" outlineLevel="1" x14ac:dyDescent="0.2">
      <c r="A296" s="117"/>
      <c r="B296" s="76"/>
      <c r="C296" s="82" t="s">
        <v>74</v>
      </c>
      <c r="D296" s="108"/>
      <c r="E296" s="108"/>
      <c r="F296" s="79" t="s">
        <v>8</v>
      </c>
      <c r="G296" s="138">
        <v>0</v>
      </c>
      <c r="H296" s="138">
        <f>ROUNDUP(0+M296,0)</f>
        <v>0</v>
      </c>
      <c r="I296" s="81" t="str">
        <f t="shared" si="125"/>
        <v>-</v>
      </c>
      <c r="J296" s="138">
        <v>0</v>
      </c>
      <c r="K296" s="138">
        <f t="shared" ref="K296" si="128">L296-J296</f>
        <v>0</v>
      </c>
      <c r="L296" s="138">
        <v>0</v>
      </c>
      <c r="M296" s="80">
        <v>0</v>
      </c>
      <c r="N296" s="81" t="str">
        <f t="shared" si="126"/>
        <v>-</v>
      </c>
      <c r="O296" s="405"/>
    </row>
    <row r="297" spans="1:15" s="95" customFormat="1" ht="11.1" customHeight="1" outlineLevel="1" x14ac:dyDescent="0.2">
      <c r="A297" s="117"/>
      <c r="B297" s="76" t="s">
        <v>12</v>
      </c>
      <c r="C297" s="82" t="s">
        <v>194</v>
      </c>
      <c r="D297" s="108"/>
      <c r="E297" s="108"/>
      <c r="F297" s="79" t="s">
        <v>22</v>
      </c>
      <c r="G297" s="138">
        <v>0</v>
      </c>
      <c r="H297" s="138">
        <f>ROUNDUP(0+M297,0)</f>
        <v>0</v>
      </c>
      <c r="I297" s="81" t="str">
        <f t="shared" si="125"/>
        <v>-</v>
      </c>
      <c r="J297" s="138">
        <v>0</v>
      </c>
      <c r="K297" s="138">
        <f t="shared" ref="K297:K299" si="129">L297-J297</f>
        <v>0</v>
      </c>
      <c r="L297" s="138">
        <v>0</v>
      </c>
      <c r="M297" s="80">
        <v>0</v>
      </c>
      <c r="N297" s="81" t="str">
        <f t="shared" si="126"/>
        <v>-</v>
      </c>
      <c r="O297" s="405"/>
    </row>
    <row r="298" spans="1:15" s="95" customFormat="1" ht="11.1" customHeight="1" outlineLevel="1" x14ac:dyDescent="0.2">
      <c r="A298" s="117"/>
      <c r="B298" s="76" t="s">
        <v>23</v>
      </c>
      <c r="C298" s="82" t="s">
        <v>304</v>
      </c>
      <c r="D298" s="108"/>
      <c r="E298" s="108"/>
      <c r="F298" s="79" t="s">
        <v>45</v>
      </c>
      <c r="G298" s="138">
        <v>0</v>
      </c>
      <c r="H298" s="138">
        <f>ROUNDUP(0+M298,0)</f>
        <v>0</v>
      </c>
      <c r="I298" s="81" t="str">
        <f t="shared" si="125"/>
        <v>-</v>
      </c>
      <c r="J298" s="138">
        <v>0</v>
      </c>
      <c r="K298" s="138">
        <f t="shared" si="129"/>
        <v>0</v>
      </c>
      <c r="L298" s="138">
        <v>0</v>
      </c>
      <c r="M298" s="80">
        <v>0</v>
      </c>
      <c r="N298" s="81" t="str">
        <f t="shared" si="126"/>
        <v>-</v>
      </c>
      <c r="O298" s="405"/>
    </row>
    <row r="299" spans="1:15" s="95" customFormat="1" ht="11.1" customHeight="1" outlineLevel="1" x14ac:dyDescent="0.2">
      <c r="A299" s="117"/>
      <c r="B299" s="76"/>
      <c r="C299" s="82" t="s">
        <v>395</v>
      </c>
      <c r="D299" s="108"/>
      <c r="E299" s="108"/>
      <c r="F299" s="79" t="s">
        <v>359</v>
      </c>
      <c r="G299" s="138">
        <v>0</v>
      </c>
      <c r="H299" s="138">
        <f>ROUNDUP(0+M299,0)</f>
        <v>0</v>
      </c>
      <c r="I299" s="81" t="str">
        <f t="shared" si="125"/>
        <v>-</v>
      </c>
      <c r="J299" s="138">
        <v>0</v>
      </c>
      <c r="K299" s="138">
        <f t="shared" si="129"/>
        <v>0</v>
      </c>
      <c r="L299" s="138">
        <v>0</v>
      </c>
      <c r="M299" s="80">
        <v>0</v>
      </c>
      <c r="N299" s="81" t="str">
        <f t="shared" si="126"/>
        <v>-</v>
      </c>
      <c r="O299" s="405"/>
    </row>
    <row r="300" spans="1:15" s="95" customFormat="1" ht="11.1" customHeight="1" outlineLevel="1" x14ac:dyDescent="0.2">
      <c r="A300" s="117"/>
      <c r="B300" s="76"/>
      <c r="C300" s="82" t="s">
        <v>396</v>
      </c>
      <c r="D300" s="108"/>
      <c r="E300" s="108"/>
      <c r="F300" s="106"/>
      <c r="G300" s="139"/>
      <c r="H300" s="139"/>
      <c r="I300" s="81"/>
      <c r="J300" s="139"/>
      <c r="K300" s="139"/>
      <c r="L300" s="138"/>
      <c r="M300" s="89"/>
      <c r="N300" s="81"/>
      <c r="O300" s="405"/>
    </row>
    <row r="301" spans="1:15" s="95" customFormat="1" ht="11.1" customHeight="1" outlineLevel="1" x14ac:dyDescent="0.2">
      <c r="A301" s="117"/>
      <c r="B301" s="76"/>
      <c r="C301" s="82" t="s">
        <v>397</v>
      </c>
      <c r="D301" s="108"/>
      <c r="E301" s="108"/>
      <c r="F301" s="106"/>
      <c r="G301" s="139"/>
      <c r="H301" s="139"/>
      <c r="I301" s="81"/>
      <c r="J301" s="139"/>
      <c r="K301" s="139"/>
      <c r="L301" s="138"/>
      <c r="M301" s="89"/>
      <c r="N301" s="81"/>
      <c r="O301" s="333"/>
    </row>
    <row r="302" spans="1:15" s="95" customFormat="1" ht="3" customHeight="1" outlineLevel="1" x14ac:dyDescent="0.2">
      <c r="A302" s="118"/>
      <c r="B302" s="85"/>
      <c r="C302" s="86"/>
      <c r="D302" s="84"/>
      <c r="E302" s="84"/>
      <c r="F302" s="85"/>
      <c r="G302" s="140"/>
      <c r="H302" s="140"/>
      <c r="I302" s="88"/>
      <c r="J302" s="140"/>
      <c r="K302" s="140"/>
      <c r="L302" s="141"/>
      <c r="M302" s="87"/>
      <c r="N302" s="88"/>
      <c r="O302" s="324"/>
    </row>
    <row r="303" spans="1:15" s="95" customFormat="1" ht="3" customHeight="1" outlineLevel="1" x14ac:dyDescent="0.2">
      <c r="A303" s="152"/>
      <c r="B303" s="72"/>
      <c r="C303" s="73"/>
      <c r="D303" s="71"/>
      <c r="E303" s="71"/>
      <c r="F303" s="72"/>
      <c r="G303" s="135"/>
      <c r="H303" s="135"/>
      <c r="I303" s="75"/>
      <c r="J303" s="135"/>
      <c r="K303" s="135"/>
      <c r="L303" s="136"/>
      <c r="M303" s="74"/>
      <c r="N303" s="75"/>
      <c r="O303" s="323"/>
    </row>
    <row r="304" spans="1:15" s="95" customFormat="1" ht="11.1" customHeight="1" outlineLevel="1" x14ac:dyDescent="0.2">
      <c r="A304" s="409" t="s">
        <v>472</v>
      </c>
      <c r="B304" s="76" t="s">
        <v>9</v>
      </c>
      <c r="C304" s="77" t="s">
        <v>55</v>
      </c>
      <c r="D304" s="410" t="s">
        <v>279</v>
      </c>
      <c r="E304" s="410" t="s">
        <v>54</v>
      </c>
      <c r="F304" s="78" t="s">
        <v>28</v>
      </c>
      <c r="G304" s="137">
        <f>SUM(G305:G310)</f>
        <v>1929964</v>
      </c>
      <c r="H304" s="137">
        <f>SUM(H305:H310)</f>
        <v>899570</v>
      </c>
      <c r="I304" s="39">
        <f t="shared" ref="I304:I310" si="130">IF(G304&gt;0,H304/G304*100,"-")</f>
        <v>46.610713982229719</v>
      </c>
      <c r="J304" s="137">
        <f>SUM(J305:J310)</f>
        <v>1331515</v>
      </c>
      <c r="K304" s="137">
        <f>SUM(K305:K310)</f>
        <v>-343594</v>
      </c>
      <c r="L304" s="137">
        <f>SUM(L305:L310)</f>
        <v>987921</v>
      </c>
      <c r="M304" s="38">
        <f>SUM(M305:M310)</f>
        <v>794088.74</v>
      </c>
      <c r="N304" s="39">
        <f t="shared" ref="N304:N310" si="131">IF(L304&gt;0,M304/L304*100,"-")</f>
        <v>80.379781379280331</v>
      </c>
      <c r="O304" s="405" t="s">
        <v>595</v>
      </c>
    </row>
    <row r="305" spans="1:15" s="95" customFormat="1" ht="11.1" customHeight="1" outlineLevel="1" x14ac:dyDescent="0.2">
      <c r="A305" s="409"/>
      <c r="B305" s="76" t="s">
        <v>10</v>
      </c>
      <c r="C305" s="77" t="s">
        <v>314</v>
      </c>
      <c r="D305" s="410"/>
      <c r="E305" s="410"/>
      <c r="F305" s="79" t="s">
        <v>15</v>
      </c>
      <c r="G305" s="138">
        <v>0</v>
      </c>
      <c r="H305" s="138">
        <f t="shared" ref="H305:H310" si="132">ROUNDUP(0+M305,0)</f>
        <v>0</v>
      </c>
      <c r="I305" s="81" t="str">
        <f t="shared" si="130"/>
        <v>-</v>
      </c>
      <c r="J305" s="138">
        <v>0</v>
      </c>
      <c r="K305" s="138">
        <f t="shared" ref="K305" si="133">L305-J305</f>
        <v>0</v>
      </c>
      <c r="L305" s="138">
        <v>0</v>
      </c>
      <c r="M305" s="80">
        <v>0</v>
      </c>
      <c r="N305" s="81" t="str">
        <f t="shared" si="131"/>
        <v>-</v>
      </c>
      <c r="O305" s="405"/>
    </row>
    <row r="306" spans="1:15" s="95" customFormat="1" ht="11.1" customHeight="1" outlineLevel="1" x14ac:dyDescent="0.2">
      <c r="A306" s="409"/>
      <c r="B306" s="76" t="s">
        <v>11</v>
      </c>
      <c r="C306" s="82" t="s">
        <v>73</v>
      </c>
      <c r="D306" s="410"/>
      <c r="E306" s="410"/>
      <c r="F306" s="79" t="s">
        <v>7</v>
      </c>
      <c r="G306" s="138">
        <v>1640471</v>
      </c>
      <c r="H306" s="178">
        <f>ROUNDUP(89659+M306,0)</f>
        <v>764641</v>
      </c>
      <c r="I306" s="81">
        <f t="shared" si="130"/>
        <v>46.611064749087305</v>
      </c>
      <c r="J306" s="138">
        <v>1131789</v>
      </c>
      <c r="K306" s="138">
        <f t="shared" ref="K306:K310" si="134">L306-J306</f>
        <v>-292056</v>
      </c>
      <c r="L306" s="138">
        <v>839733</v>
      </c>
      <c r="M306" s="80">
        <v>674981.76</v>
      </c>
      <c r="N306" s="81">
        <f t="shared" si="131"/>
        <v>80.380520951302387</v>
      </c>
      <c r="O306" s="405"/>
    </row>
    <row r="307" spans="1:15" s="95" customFormat="1" ht="11.1" customHeight="1" outlineLevel="1" x14ac:dyDescent="0.2">
      <c r="A307" s="117"/>
      <c r="B307" s="76"/>
      <c r="C307" s="82" t="s">
        <v>74</v>
      </c>
      <c r="D307" s="108"/>
      <c r="E307" s="108"/>
      <c r="F307" s="79" t="s">
        <v>8</v>
      </c>
      <c r="G307" s="138">
        <v>0</v>
      </c>
      <c r="H307" s="138">
        <f t="shared" si="132"/>
        <v>0</v>
      </c>
      <c r="I307" s="81" t="str">
        <f t="shared" si="130"/>
        <v>-</v>
      </c>
      <c r="J307" s="138">
        <v>0</v>
      </c>
      <c r="K307" s="138">
        <f t="shared" si="134"/>
        <v>0</v>
      </c>
      <c r="L307" s="138">
        <v>0</v>
      </c>
      <c r="M307" s="80">
        <v>0</v>
      </c>
      <c r="N307" s="81" t="str">
        <f t="shared" si="131"/>
        <v>-</v>
      </c>
      <c r="O307" s="405"/>
    </row>
    <row r="308" spans="1:15" s="95" customFormat="1" ht="11.1" customHeight="1" outlineLevel="1" x14ac:dyDescent="0.2">
      <c r="A308" s="117"/>
      <c r="B308" s="76" t="s">
        <v>12</v>
      </c>
      <c r="C308" s="82" t="s">
        <v>315</v>
      </c>
      <c r="D308" s="108"/>
      <c r="E308" s="108"/>
      <c r="F308" s="79" t="s">
        <v>22</v>
      </c>
      <c r="G308" s="138">
        <v>289493</v>
      </c>
      <c r="H308" s="138">
        <f>ROUNDUP(15822+M308,0)</f>
        <v>134929</v>
      </c>
      <c r="I308" s="81">
        <f t="shared" si="130"/>
        <v>46.608726290445709</v>
      </c>
      <c r="J308" s="138">
        <v>199726</v>
      </c>
      <c r="K308" s="138">
        <f t="shared" si="134"/>
        <v>-51538</v>
      </c>
      <c r="L308" s="138">
        <v>148188</v>
      </c>
      <c r="M308" s="80">
        <v>119106.98</v>
      </c>
      <c r="N308" s="81">
        <f t="shared" si="131"/>
        <v>80.37559046616461</v>
      </c>
      <c r="O308" s="405"/>
    </row>
    <row r="309" spans="1:15" s="95" customFormat="1" ht="11.1" customHeight="1" outlineLevel="1" x14ac:dyDescent="0.2">
      <c r="A309" s="117"/>
      <c r="B309" s="76" t="s">
        <v>23</v>
      </c>
      <c r="C309" s="82" t="s">
        <v>398</v>
      </c>
      <c r="D309" s="108"/>
      <c r="E309" s="108"/>
      <c r="F309" s="79" t="s">
        <v>45</v>
      </c>
      <c r="G309" s="138">
        <v>0</v>
      </c>
      <c r="H309" s="138">
        <f t="shared" si="132"/>
        <v>0</v>
      </c>
      <c r="I309" s="81" t="str">
        <f t="shared" si="130"/>
        <v>-</v>
      </c>
      <c r="J309" s="138">
        <v>0</v>
      </c>
      <c r="K309" s="138">
        <f t="shared" si="134"/>
        <v>0</v>
      </c>
      <c r="L309" s="138">
        <v>0</v>
      </c>
      <c r="M309" s="80">
        <v>0</v>
      </c>
      <c r="N309" s="81" t="str">
        <f t="shared" si="131"/>
        <v>-</v>
      </c>
      <c r="O309" s="405"/>
    </row>
    <row r="310" spans="1:15" s="95" customFormat="1" ht="11.1" customHeight="1" outlineLevel="1" x14ac:dyDescent="0.2">
      <c r="A310" s="117"/>
      <c r="B310" s="76"/>
      <c r="C310" s="82" t="s">
        <v>399</v>
      </c>
      <c r="D310" s="108"/>
      <c r="E310" s="108"/>
      <c r="F310" s="79" t="s">
        <v>359</v>
      </c>
      <c r="G310" s="138">
        <v>0</v>
      </c>
      <c r="H310" s="138">
        <f t="shared" si="132"/>
        <v>0</v>
      </c>
      <c r="I310" s="81" t="str">
        <f t="shared" si="130"/>
        <v>-</v>
      </c>
      <c r="J310" s="138">
        <v>0</v>
      </c>
      <c r="K310" s="138">
        <f t="shared" si="134"/>
        <v>0</v>
      </c>
      <c r="L310" s="138">
        <v>0</v>
      </c>
      <c r="M310" s="80">
        <v>0</v>
      </c>
      <c r="N310" s="81" t="str">
        <f t="shared" si="131"/>
        <v>-</v>
      </c>
      <c r="O310" s="405"/>
    </row>
    <row r="311" spans="1:15" s="95" customFormat="1" ht="11.1" customHeight="1" outlineLevel="1" x14ac:dyDescent="0.2">
      <c r="A311" s="117"/>
      <c r="B311" s="76"/>
      <c r="C311" s="82" t="s">
        <v>400</v>
      </c>
      <c r="D311" s="108"/>
      <c r="E311" s="108"/>
      <c r="F311" s="106"/>
      <c r="G311" s="139"/>
      <c r="H311" s="139"/>
      <c r="I311" s="81"/>
      <c r="J311" s="139"/>
      <c r="K311" s="139"/>
      <c r="L311" s="138"/>
      <c r="M311" s="107"/>
      <c r="N311" s="81"/>
      <c r="O311" s="333"/>
    </row>
    <row r="312" spans="1:15" s="95" customFormat="1" ht="3" customHeight="1" outlineLevel="1" x14ac:dyDescent="0.2">
      <c r="A312" s="118"/>
      <c r="B312" s="85"/>
      <c r="C312" s="86"/>
      <c r="D312" s="84"/>
      <c r="E312" s="84"/>
      <c r="F312" s="85"/>
      <c r="G312" s="140"/>
      <c r="H312" s="140"/>
      <c r="I312" s="88"/>
      <c r="J312" s="140"/>
      <c r="K312" s="140"/>
      <c r="L312" s="141"/>
      <c r="M312" s="87"/>
      <c r="N312" s="88"/>
      <c r="O312" s="324"/>
    </row>
    <row r="313" spans="1:15" s="95" customFormat="1" ht="3" customHeight="1" outlineLevel="1" x14ac:dyDescent="0.2">
      <c r="A313" s="152"/>
      <c r="B313" s="72"/>
      <c r="C313" s="73"/>
      <c r="D313" s="71"/>
      <c r="E313" s="71"/>
      <c r="F313" s="72"/>
      <c r="G313" s="135"/>
      <c r="H313" s="135"/>
      <c r="I313" s="75"/>
      <c r="J313" s="135"/>
      <c r="K313" s="135"/>
      <c r="L313" s="136"/>
      <c r="M313" s="74"/>
      <c r="N313" s="75"/>
      <c r="O313" s="323"/>
    </row>
    <row r="314" spans="1:15" s="95" customFormat="1" ht="11.1" customHeight="1" outlineLevel="1" x14ac:dyDescent="0.2">
      <c r="A314" s="409" t="s">
        <v>473</v>
      </c>
      <c r="B314" s="76" t="s">
        <v>9</v>
      </c>
      <c r="C314" s="77" t="s">
        <v>55</v>
      </c>
      <c r="D314" s="410" t="s">
        <v>279</v>
      </c>
      <c r="E314" s="410" t="s">
        <v>54</v>
      </c>
      <c r="F314" s="78" t="s">
        <v>28</v>
      </c>
      <c r="G314" s="137">
        <f>SUM(G315:G320)</f>
        <v>276014</v>
      </c>
      <c r="H314" s="137">
        <f>SUM(H315:H320)</f>
        <v>167176</v>
      </c>
      <c r="I314" s="39">
        <f t="shared" ref="I314:I320" si="135">IF(G314&gt;0,H314/G314*100,"-")</f>
        <v>60.567942205830136</v>
      </c>
      <c r="J314" s="137">
        <f>SUM(J315:J320)</f>
        <v>148103</v>
      </c>
      <c r="K314" s="137">
        <f>SUM(K315:K320)</f>
        <v>5901</v>
      </c>
      <c r="L314" s="137">
        <f>SUM(L315:L320)</f>
        <v>154004</v>
      </c>
      <c r="M314" s="38">
        <f>SUM(M315:M320)</f>
        <v>117834.27</v>
      </c>
      <c r="N314" s="39">
        <f t="shared" ref="N314:N320" si="136">IF(L314&gt;0,M314/L314*100,"-")</f>
        <v>76.513772369548846</v>
      </c>
      <c r="O314" s="405" t="s">
        <v>599</v>
      </c>
    </row>
    <row r="315" spans="1:15" s="95" customFormat="1" ht="11.1" customHeight="1" outlineLevel="1" x14ac:dyDescent="0.2">
      <c r="A315" s="409"/>
      <c r="B315" s="76" t="s">
        <v>10</v>
      </c>
      <c r="C315" s="77" t="s">
        <v>314</v>
      </c>
      <c r="D315" s="410"/>
      <c r="E315" s="410"/>
      <c r="F315" s="79" t="s">
        <v>15</v>
      </c>
      <c r="G315" s="138">
        <v>0</v>
      </c>
      <c r="H315" s="138">
        <f t="shared" ref="H315:H320" si="137">ROUNDUP(0+M315,0)</f>
        <v>0</v>
      </c>
      <c r="I315" s="81" t="str">
        <f t="shared" si="135"/>
        <v>-</v>
      </c>
      <c r="J315" s="138">
        <v>0</v>
      </c>
      <c r="K315" s="138">
        <f t="shared" ref="K315" si="138">L315-J315</f>
        <v>0</v>
      </c>
      <c r="L315" s="138">
        <v>0</v>
      </c>
      <c r="M315" s="80">
        <v>0</v>
      </c>
      <c r="N315" s="81" t="str">
        <f t="shared" si="136"/>
        <v>-</v>
      </c>
      <c r="O315" s="405"/>
    </row>
    <row r="316" spans="1:15" s="95" customFormat="1" ht="11.1" customHeight="1" outlineLevel="1" x14ac:dyDescent="0.2">
      <c r="A316" s="409"/>
      <c r="B316" s="76" t="s">
        <v>11</v>
      </c>
      <c r="C316" s="82" t="s">
        <v>73</v>
      </c>
      <c r="D316" s="410"/>
      <c r="E316" s="410"/>
      <c r="F316" s="79" t="s">
        <v>7</v>
      </c>
      <c r="G316" s="138">
        <v>276014</v>
      </c>
      <c r="H316" s="178">
        <f>ROUNDUP(49341+M316,0)</f>
        <v>167176</v>
      </c>
      <c r="I316" s="81">
        <f t="shared" si="135"/>
        <v>60.567942205830136</v>
      </c>
      <c r="J316" s="138">
        <v>148103</v>
      </c>
      <c r="K316" s="138">
        <f t="shared" ref="K316:K320" si="139">L316-J316</f>
        <v>5901</v>
      </c>
      <c r="L316" s="138">
        <v>154004</v>
      </c>
      <c r="M316" s="80">
        <v>117834.27</v>
      </c>
      <c r="N316" s="81">
        <f t="shared" si="136"/>
        <v>76.513772369548846</v>
      </c>
      <c r="O316" s="405"/>
    </row>
    <row r="317" spans="1:15" s="95" customFormat="1" ht="11.1" customHeight="1" outlineLevel="1" x14ac:dyDescent="0.2">
      <c r="A317" s="117"/>
      <c r="B317" s="76"/>
      <c r="C317" s="82" t="s">
        <v>74</v>
      </c>
      <c r="D317" s="108"/>
      <c r="E317" s="108"/>
      <c r="F317" s="79" t="s">
        <v>8</v>
      </c>
      <c r="G317" s="138">
        <v>0</v>
      </c>
      <c r="H317" s="138">
        <f t="shared" si="137"/>
        <v>0</v>
      </c>
      <c r="I317" s="81" t="str">
        <f t="shared" si="135"/>
        <v>-</v>
      </c>
      <c r="J317" s="138">
        <v>0</v>
      </c>
      <c r="K317" s="138">
        <f t="shared" si="139"/>
        <v>0</v>
      </c>
      <c r="L317" s="138">
        <v>0</v>
      </c>
      <c r="M317" s="80">
        <v>0</v>
      </c>
      <c r="N317" s="81" t="str">
        <f t="shared" si="136"/>
        <v>-</v>
      </c>
      <c r="O317" s="405"/>
    </row>
    <row r="318" spans="1:15" s="95" customFormat="1" ht="11.1" customHeight="1" outlineLevel="1" x14ac:dyDescent="0.2">
      <c r="A318" s="117"/>
      <c r="B318" s="76" t="s">
        <v>12</v>
      </c>
      <c r="C318" s="82" t="s">
        <v>316</v>
      </c>
      <c r="D318" s="108"/>
      <c r="E318" s="108"/>
      <c r="F318" s="79" t="s">
        <v>22</v>
      </c>
      <c r="G318" s="138">
        <v>0</v>
      </c>
      <c r="H318" s="138">
        <f t="shared" si="137"/>
        <v>0</v>
      </c>
      <c r="I318" s="81" t="str">
        <f t="shared" si="135"/>
        <v>-</v>
      </c>
      <c r="J318" s="138">
        <v>0</v>
      </c>
      <c r="K318" s="138">
        <f t="shared" si="139"/>
        <v>0</v>
      </c>
      <c r="L318" s="138">
        <v>0</v>
      </c>
      <c r="M318" s="80">
        <v>0</v>
      </c>
      <c r="N318" s="81" t="str">
        <f t="shared" si="136"/>
        <v>-</v>
      </c>
      <c r="O318" s="405"/>
    </row>
    <row r="319" spans="1:15" s="95" customFormat="1" ht="11.1" customHeight="1" outlineLevel="1" x14ac:dyDescent="0.2">
      <c r="A319" s="117"/>
      <c r="B319" s="76" t="s">
        <v>23</v>
      </c>
      <c r="C319" s="82" t="s">
        <v>401</v>
      </c>
      <c r="D319" s="108"/>
      <c r="E319" s="108"/>
      <c r="F319" s="79" t="s">
        <v>45</v>
      </c>
      <c r="G319" s="138">
        <v>0</v>
      </c>
      <c r="H319" s="138">
        <f t="shared" si="137"/>
        <v>0</v>
      </c>
      <c r="I319" s="81" t="str">
        <f t="shared" si="135"/>
        <v>-</v>
      </c>
      <c r="J319" s="138">
        <v>0</v>
      </c>
      <c r="K319" s="138">
        <f t="shared" si="139"/>
        <v>0</v>
      </c>
      <c r="L319" s="138">
        <v>0</v>
      </c>
      <c r="M319" s="80">
        <v>0</v>
      </c>
      <c r="N319" s="81" t="str">
        <f t="shared" si="136"/>
        <v>-</v>
      </c>
      <c r="O319" s="405"/>
    </row>
    <row r="320" spans="1:15" s="95" customFormat="1" ht="11.1" customHeight="1" outlineLevel="1" x14ac:dyDescent="0.2">
      <c r="A320" s="117"/>
      <c r="B320" s="76"/>
      <c r="C320" s="82" t="s">
        <v>402</v>
      </c>
      <c r="D320" s="108"/>
      <c r="E320" s="108"/>
      <c r="F320" s="79" t="s">
        <v>359</v>
      </c>
      <c r="G320" s="138">
        <v>0</v>
      </c>
      <c r="H320" s="138">
        <f t="shared" si="137"/>
        <v>0</v>
      </c>
      <c r="I320" s="81" t="str">
        <f t="shared" si="135"/>
        <v>-</v>
      </c>
      <c r="J320" s="138">
        <v>0</v>
      </c>
      <c r="K320" s="138">
        <f t="shared" si="139"/>
        <v>0</v>
      </c>
      <c r="L320" s="138">
        <v>0</v>
      </c>
      <c r="M320" s="80">
        <v>0</v>
      </c>
      <c r="N320" s="81" t="str">
        <f t="shared" si="136"/>
        <v>-</v>
      </c>
      <c r="O320" s="405"/>
    </row>
    <row r="321" spans="1:15" s="95" customFormat="1" ht="3" customHeight="1" outlineLevel="1" x14ac:dyDescent="0.2">
      <c r="A321" s="118"/>
      <c r="B321" s="85"/>
      <c r="C321" s="86"/>
      <c r="D321" s="84"/>
      <c r="E321" s="84"/>
      <c r="F321" s="85"/>
      <c r="G321" s="140"/>
      <c r="H321" s="140"/>
      <c r="I321" s="88"/>
      <c r="J321" s="140"/>
      <c r="K321" s="140"/>
      <c r="L321" s="141"/>
      <c r="M321" s="87"/>
      <c r="N321" s="88"/>
      <c r="O321" s="324"/>
    </row>
    <row r="322" spans="1:15" s="95" customFormat="1" ht="3" customHeight="1" outlineLevel="1" x14ac:dyDescent="0.2">
      <c r="A322" s="152"/>
      <c r="B322" s="72"/>
      <c r="C322" s="73"/>
      <c r="D322" s="71"/>
      <c r="E322" s="71"/>
      <c r="F322" s="72"/>
      <c r="G322" s="135"/>
      <c r="H322" s="135"/>
      <c r="I322" s="75"/>
      <c r="J322" s="135"/>
      <c r="K322" s="135"/>
      <c r="L322" s="136"/>
      <c r="M322" s="74"/>
      <c r="N322" s="75"/>
      <c r="O322" s="323"/>
    </row>
    <row r="323" spans="1:15" s="95" customFormat="1" ht="11.1" customHeight="1" outlineLevel="1" x14ac:dyDescent="0.2">
      <c r="A323" s="409" t="s">
        <v>474</v>
      </c>
      <c r="B323" s="76" t="s">
        <v>9</v>
      </c>
      <c r="C323" s="77" t="s">
        <v>55</v>
      </c>
      <c r="D323" s="410" t="s">
        <v>279</v>
      </c>
      <c r="E323" s="410" t="s">
        <v>54</v>
      </c>
      <c r="F323" s="78" t="s">
        <v>28</v>
      </c>
      <c r="G323" s="137">
        <f>SUM(G324:G329)</f>
        <v>919360</v>
      </c>
      <c r="H323" s="137">
        <f>SUM(H324:H329)</f>
        <v>867490</v>
      </c>
      <c r="I323" s="39">
        <f t="shared" ref="I323:I329" si="140">IF(G323&gt;0,H323/G323*100,"-")</f>
        <v>94.358031674208149</v>
      </c>
      <c r="J323" s="137">
        <f>SUM(J324:J329)</f>
        <v>820606</v>
      </c>
      <c r="K323" s="137">
        <f>SUM(K324:K329)</f>
        <v>69949</v>
      </c>
      <c r="L323" s="137">
        <f>SUM(L324:L329)</f>
        <v>890555</v>
      </c>
      <c r="M323" s="38">
        <f>SUM(M324:M329)</f>
        <v>843913.67</v>
      </c>
      <c r="N323" s="39">
        <f t="shared" ref="N323:N329" si="141">IF(L323&gt;0,M323/L323*100,"-")</f>
        <v>94.762667100852852</v>
      </c>
      <c r="O323" s="405" t="s">
        <v>597</v>
      </c>
    </row>
    <row r="324" spans="1:15" s="95" customFormat="1" ht="11.1" customHeight="1" outlineLevel="1" x14ac:dyDescent="0.2">
      <c r="A324" s="409"/>
      <c r="B324" s="76" t="s">
        <v>10</v>
      </c>
      <c r="C324" s="77" t="s">
        <v>314</v>
      </c>
      <c r="D324" s="410"/>
      <c r="E324" s="410"/>
      <c r="F324" s="79" t="s">
        <v>15</v>
      </c>
      <c r="G324" s="138">
        <v>0</v>
      </c>
      <c r="H324" s="138">
        <f t="shared" ref="H324:H329" si="142">ROUNDUP(0+M324,0)</f>
        <v>0</v>
      </c>
      <c r="I324" s="81" t="str">
        <f t="shared" si="140"/>
        <v>-</v>
      </c>
      <c r="J324" s="138">
        <v>0</v>
      </c>
      <c r="K324" s="138">
        <f t="shared" ref="K324" si="143">L324-J324</f>
        <v>0</v>
      </c>
      <c r="L324" s="138">
        <v>0</v>
      </c>
      <c r="M324" s="80">
        <v>0</v>
      </c>
      <c r="N324" s="81" t="str">
        <f t="shared" si="141"/>
        <v>-</v>
      </c>
      <c r="O324" s="405"/>
    </row>
    <row r="325" spans="1:15" s="95" customFormat="1" ht="11.1" customHeight="1" outlineLevel="1" x14ac:dyDescent="0.2">
      <c r="A325" s="409"/>
      <c r="B325" s="76" t="s">
        <v>11</v>
      </c>
      <c r="C325" s="82" t="s">
        <v>317</v>
      </c>
      <c r="D325" s="410"/>
      <c r="E325" s="410"/>
      <c r="F325" s="79" t="s">
        <v>7</v>
      </c>
      <c r="G325" s="138">
        <v>781457</v>
      </c>
      <c r="H325" s="138">
        <f>ROUNDUP(20040+M325,0)</f>
        <v>737367</v>
      </c>
      <c r="I325" s="81">
        <f t="shared" si="140"/>
        <v>94.357974910967584</v>
      </c>
      <c r="J325" s="138">
        <v>697515</v>
      </c>
      <c r="K325" s="138">
        <f t="shared" ref="K325:K329" si="144">L325-J325</f>
        <v>59457</v>
      </c>
      <c r="L325" s="138">
        <v>756972</v>
      </c>
      <c r="M325" s="80">
        <v>717326.81</v>
      </c>
      <c r="N325" s="81">
        <f t="shared" si="141"/>
        <v>94.762660970286888</v>
      </c>
      <c r="O325" s="405"/>
    </row>
    <row r="326" spans="1:15" s="95" customFormat="1" ht="11.1" customHeight="1" outlineLevel="1" x14ac:dyDescent="0.2">
      <c r="A326" s="117"/>
      <c r="B326" s="76" t="s">
        <v>12</v>
      </c>
      <c r="C326" s="82" t="s">
        <v>318</v>
      </c>
      <c r="D326" s="108"/>
      <c r="E326" s="108"/>
      <c r="F326" s="79" t="s">
        <v>8</v>
      </c>
      <c r="G326" s="138">
        <v>0</v>
      </c>
      <c r="H326" s="138">
        <f t="shared" si="142"/>
        <v>0</v>
      </c>
      <c r="I326" s="81" t="str">
        <f t="shared" si="140"/>
        <v>-</v>
      </c>
      <c r="J326" s="138">
        <v>0</v>
      </c>
      <c r="K326" s="138">
        <f t="shared" si="144"/>
        <v>0</v>
      </c>
      <c r="L326" s="138">
        <v>0</v>
      </c>
      <c r="M326" s="80">
        <v>0</v>
      </c>
      <c r="N326" s="81" t="str">
        <f t="shared" si="141"/>
        <v>-</v>
      </c>
      <c r="O326" s="405"/>
    </row>
    <row r="327" spans="1:15" s="95" customFormat="1" ht="11.1" customHeight="1" outlineLevel="1" x14ac:dyDescent="0.2">
      <c r="A327" s="117"/>
      <c r="B327" s="76" t="s">
        <v>23</v>
      </c>
      <c r="C327" s="82" t="s">
        <v>403</v>
      </c>
      <c r="D327" s="108"/>
      <c r="E327" s="108"/>
      <c r="F327" s="79" t="s">
        <v>22</v>
      </c>
      <c r="G327" s="138">
        <v>137903</v>
      </c>
      <c r="H327" s="138">
        <f>ROUNDUP(3536+M327,0)</f>
        <v>130123</v>
      </c>
      <c r="I327" s="81">
        <f t="shared" si="140"/>
        <v>94.3583533353154</v>
      </c>
      <c r="J327" s="138">
        <v>123091</v>
      </c>
      <c r="K327" s="138">
        <f t="shared" si="144"/>
        <v>10492</v>
      </c>
      <c r="L327" s="138">
        <v>133583</v>
      </c>
      <c r="M327" s="80">
        <v>126586.86</v>
      </c>
      <c r="N327" s="81">
        <f t="shared" si="141"/>
        <v>94.762701840803103</v>
      </c>
      <c r="O327" s="405"/>
    </row>
    <row r="328" spans="1:15" s="95" customFormat="1" ht="11.1" customHeight="1" outlineLevel="1" x14ac:dyDescent="0.2">
      <c r="A328" s="117"/>
      <c r="B328" s="76"/>
      <c r="C328" s="82"/>
      <c r="D328" s="108"/>
      <c r="E328" s="108"/>
      <c r="F328" s="79" t="s">
        <v>45</v>
      </c>
      <c r="G328" s="138">
        <v>0</v>
      </c>
      <c r="H328" s="138">
        <f t="shared" si="142"/>
        <v>0</v>
      </c>
      <c r="I328" s="81" t="str">
        <f t="shared" si="140"/>
        <v>-</v>
      </c>
      <c r="J328" s="138">
        <v>0</v>
      </c>
      <c r="K328" s="138">
        <f t="shared" si="144"/>
        <v>0</v>
      </c>
      <c r="L328" s="138">
        <v>0</v>
      </c>
      <c r="M328" s="80">
        <v>0</v>
      </c>
      <c r="N328" s="81" t="str">
        <f t="shared" si="141"/>
        <v>-</v>
      </c>
      <c r="O328" s="405"/>
    </row>
    <row r="329" spans="1:15" s="95" customFormat="1" ht="11.1" customHeight="1" outlineLevel="1" x14ac:dyDescent="0.2">
      <c r="A329" s="117"/>
      <c r="B329" s="76"/>
      <c r="C329" s="82"/>
      <c r="D329" s="108"/>
      <c r="E329" s="108"/>
      <c r="F329" s="79" t="s">
        <v>359</v>
      </c>
      <c r="G329" s="138">
        <v>0</v>
      </c>
      <c r="H329" s="138">
        <f t="shared" si="142"/>
        <v>0</v>
      </c>
      <c r="I329" s="81" t="str">
        <f t="shared" si="140"/>
        <v>-</v>
      </c>
      <c r="J329" s="138">
        <v>0</v>
      </c>
      <c r="K329" s="138">
        <f t="shared" si="144"/>
        <v>0</v>
      </c>
      <c r="L329" s="138">
        <v>0</v>
      </c>
      <c r="M329" s="80">
        <v>0</v>
      </c>
      <c r="N329" s="81" t="str">
        <f t="shared" si="141"/>
        <v>-</v>
      </c>
      <c r="O329" s="405"/>
    </row>
    <row r="330" spans="1:15" s="95" customFormat="1" ht="3" customHeight="1" outlineLevel="1" x14ac:dyDescent="0.2">
      <c r="A330" s="118"/>
      <c r="B330" s="85"/>
      <c r="C330" s="86"/>
      <c r="D330" s="84"/>
      <c r="E330" s="84"/>
      <c r="F330" s="85"/>
      <c r="G330" s="140"/>
      <c r="H330" s="140"/>
      <c r="I330" s="88"/>
      <c r="J330" s="140"/>
      <c r="K330" s="140"/>
      <c r="L330" s="141"/>
      <c r="M330" s="87"/>
      <c r="N330" s="88"/>
      <c r="O330" s="324"/>
    </row>
    <row r="331" spans="1:15" ht="3.95" customHeight="1" outlineLevel="1" x14ac:dyDescent="0.2">
      <c r="A331" s="59"/>
      <c r="B331" s="60"/>
      <c r="C331" s="61"/>
      <c r="D331" s="62"/>
      <c r="E331" s="62"/>
      <c r="F331" s="59"/>
      <c r="G331" s="131"/>
      <c r="H331" s="131"/>
      <c r="I331" s="59"/>
      <c r="J331" s="131"/>
      <c r="K331" s="131"/>
      <c r="L331" s="131"/>
      <c r="M331" s="63"/>
      <c r="N331" s="64"/>
      <c r="O331" s="320"/>
    </row>
    <row r="332" spans="1:15" ht="11.45" customHeight="1" outlineLevel="1" x14ac:dyDescent="0.2">
      <c r="A332" s="28" t="s">
        <v>61</v>
      </c>
      <c r="B332" s="413" t="s">
        <v>62</v>
      </c>
      <c r="C332" s="414"/>
      <c r="D332" s="29"/>
      <c r="E332" s="29"/>
      <c r="F332" s="30"/>
      <c r="G332" s="132">
        <f>SUM(G333:G338)</f>
        <v>12482407</v>
      </c>
      <c r="H332" s="132">
        <f>SUM(H333:H338)</f>
        <v>8249407</v>
      </c>
      <c r="I332" s="32">
        <f>IF(G332&gt;0,H332/G332*100,"-")</f>
        <v>66.088271276525433</v>
      </c>
      <c r="J332" s="132">
        <f>SUM(J333:J338)</f>
        <v>1902245</v>
      </c>
      <c r="K332" s="132">
        <f>SUM(K333:K338)</f>
        <v>3454510</v>
      </c>
      <c r="L332" s="132">
        <f>SUM(L333:L338)</f>
        <v>5356755</v>
      </c>
      <c r="M332" s="31">
        <f>SUM(M333:M338)</f>
        <v>4046023.6299999994</v>
      </c>
      <c r="N332" s="32">
        <f t="shared" ref="N332:N338" si="145">IF(L332&gt;0,M332/L332*100,"-")</f>
        <v>75.531242888651789</v>
      </c>
      <c r="O332" s="321"/>
    </row>
    <row r="333" spans="1:15" ht="11.45" customHeight="1" outlineLevel="1" x14ac:dyDescent="0.2">
      <c r="A333" s="30"/>
      <c r="B333" s="33"/>
      <c r="C333" s="34"/>
      <c r="D333" s="29"/>
      <c r="E333" s="29"/>
      <c r="F333" s="35" t="s">
        <v>15</v>
      </c>
      <c r="G333" s="133">
        <f>G342+G355+G367+G378+G387+G396+G405+G414+G423+G432+G441+G450+G459+G468+G480+G489+G498+G507+G516+G525+G534+G543+G552+G575+G584</f>
        <v>17076</v>
      </c>
      <c r="H333" s="133">
        <f>H342+H355+H367+H378+H387+H396+H405+H414+H423+H432+H441+H450+H459+H468+H480+H489+H498+H507+H516+H525+H534+H543+H552+H575+H584</f>
        <v>6150</v>
      </c>
      <c r="I333" s="37">
        <f t="shared" ref="I333:I338" si="146">IF(G333&gt;0,H333/G333*100,"-")</f>
        <v>36.015460295151094</v>
      </c>
      <c r="J333" s="133">
        <f>J342+J355+J367+J378+J387+J396+J405+J414+J423+J432+J441+J450+J459+J468+J480+J489+J498+J507+J516+J525+J534+J543+J552+J575+J584</f>
        <v>0</v>
      </c>
      <c r="K333" s="133">
        <f>K342+K355+K367+K378+K387+K396+K405+K414+K423+K432+K441+K450+K459+K468+K480+K489+K498+K507+K516+K525+K534+K543+K552+K575+K584</f>
        <v>17076</v>
      </c>
      <c r="L333" s="133">
        <f>L342+L355+L367+L378+L387+L396+L405+L414+L423+L432+L441+L450+L459+L468+L480+L489+L498+L507+L516+L525+L534+L543+L552+L575+L584</f>
        <v>17076</v>
      </c>
      <c r="M333" s="36">
        <f>M342+M355+M367+M378+M387+M396+M405+M414+M423+M432+M441+M450+M459+M468+M480+M489+M498+M507+M516+M525+M534+M543+M552+M575+M584</f>
        <v>6150</v>
      </c>
      <c r="N333" s="37">
        <f t="shared" si="145"/>
        <v>36.015460295151094</v>
      </c>
      <c r="O333" s="321"/>
    </row>
    <row r="334" spans="1:15" ht="11.45" customHeight="1" outlineLevel="1" x14ac:dyDescent="0.2">
      <c r="A334" s="30"/>
      <c r="B334" s="33"/>
      <c r="C334" s="34"/>
      <c r="D334" s="29"/>
      <c r="E334" s="29"/>
      <c r="F334" s="35" t="s">
        <v>7</v>
      </c>
      <c r="G334" s="133">
        <f t="shared" ref="G334:H338" si="147">G343+G356+G368+G379+G388+G397+G406+G415+G424+G433+G442+G451+G460+G469+G481+G490+G499+G508+G517+G526+G535+G544+G553+G576+G585</f>
        <v>11168048</v>
      </c>
      <c r="H334" s="133">
        <f t="shared" si="147"/>
        <v>7341750</v>
      </c>
      <c r="I334" s="37">
        <f t="shared" si="146"/>
        <v>65.738882927437274</v>
      </c>
      <c r="J334" s="133">
        <f t="shared" ref="J334:M334" si="148">J343+J356+J368+J379+J388+J397+J406+J415+J424+J433+J442+J451+J460+J469+J481+J490+J499+J508+J517+J526+J535+J544+J553+J576+J585</f>
        <v>1684665</v>
      </c>
      <c r="K334" s="133">
        <f t="shared" si="148"/>
        <v>3156058</v>
      </c>
      <c r="L334" s="133">
        <f t="shared" si="148"/>
        <v>4840723</v>
      </c>
      <c r="M334" s="36">
        <f t="shared" si="148"/>
        <v>3636050.4999999995</v>
      </c>
      <c r="N334" s="37">
        <f t="shared" si="145"/>
        <v>75.113789820239646</v>
      </c>
      <c r="O334" s="321"/>
    </row>
    <row r="335" spans="1:15" ht="11.45" customHeight="1" outlineLevel="1" x14ac:dyDescent="0.2">
      <c r="A335" s="30"/>
      <c r="B335" s="33"/>
      <c r="C335" s="34"/>
      <c r="D335" s="29"/>
      <c r="E335" s="29"/>
      <c r="F335" s="35" t="s">
        <v>8</v>
      </c>
      <c r="G335" s="133">
        <f t="shared" si="147"/>
        <v>0</v>
      </c>
      <c r="H335" s="133">
        <f t="shared" si="147"/>
        <v>0</v>
      </c>
      <c r="I335" s="37" t="str">
        <f t="shared" si="146"/>
        <v>-</v>
      </c>
      <c r="J335" s="133">
        <f t="shared" ref="J335:M335" si="149">J344+J357+J369+J380+J389+J398+J407+J416+J425+J434+J443+J452+J461+J470+J482+J491+J500+J509+J518+J527+J536+J545+J554+J577+J586</f>
        <v>0</v>
      </c>
      <c r="K335" s="133">
        <f t="shared" si="149"/>
        <v>0</v>
      </c>
      <c r="L335" s="133">
        <f t="shared" si="149"/>
        <v>0</v>
      </c>
      <c r="M335" s="36">
        <f t="shared" si="149"/>
        <v>0</v>
      </c>
      <c r="N335" s="37" t="str">
        <f t="shared" si="145"/>
        <v>-</v>
      </c>
      <c r="O335" s="321"/>
    </row>
    <row r="336" spans="1:15" ht="11.45" customHeight="1" outlineLevel="1" x14ac:dyDescent="0.2">
      <c r="A336" s="30"/>
      <c r="B336" s="33"/>
      <c r="C336" s="34"/>
      <c r="D336" s="29"/>
      <c r="E336" s="29"/>
      <c r="F336" s="35" t="s">
        <v>22</v>
      </c>
      <c r="G336" s="133">
        <f t="shared" si="147"/>
        <v>1289761</v>
      </c>
      <c r="H336" s="133">
        <f t="shared" si="147"/>
        <v>893985</v>
      </c>
      <c r="I336" s="37">
        <f t="shared" si="146"/>
        <v>69.314004687690201</v>
      </c>
      <c r="J336" s="133">
        <f t="shared" ref="J336:M336" si="150">J345+J358+J370+J381+J390+J399+J408+J417+J426+J435+J444+J453+J462+J471+J483+J492+J501+J510+J519+J528+J537+J546+J555+J578+J587</f>
        <v>217580</v>
      </c>
      <c r="K336" s="133">
        <f t="shared" si="150"/>
        <v>273854</v>
      </c>
      <c r="L336" s="133">
        <f t="shared" si="150"/>
        <v>491434</v>
      </c>
      <c r="M336" s="36">
        <f t="shared" si="150"/>
        <v>396301.69999999995</v>
      </c>
      <c r="N336" s="37">
        <f t="shared" si="145"/>
        <v>80.641896979044986</v>
      </c>
      <c r="O336" s="321"/>
    </row>
    <row r="337" spans="1:16" ht="11.45" customHeight="1" outlineLevel="1" x14ac:dyDescent="0.2">
      <c r="A337" s="30"/>
      <c r="B337" s="33"/>
      <c r="C337" s="34"/>
      <c r="D337" s="29"/>
      <c r="E337" s="29"/>
      <c r="F337" s="35" t="s">
        <v>45</v>
      </c>
      <c r="G337" s="133">
        <f t="shared" si="147"/>
        <v>7522</v>
      </c>
      <c r="H337" s="133">
        <f t="shared" si="147"/>
        <v>7522</v>
      </c>
      <c r="I337" s="37">
        <f t="shared" si="146"/>
        <v>100</v>
      </c>
      <c r="J337" s="133">
        <f t="shared" ref="J337:M337" si="151">J346+J359+J371+J382+J391+J400+J409+J418+J427+J436+J445+J454+J463+J472+J484+J493+J502+J511+J520+J529+J538+J547+J556+J579+J588</f>
        <v>0</v>
      </c>
      <c r="K337" s="133">
        <f t="shared" si="151"/>
        <v>7522</v>
      </c>
      <c r="L337" s="133">
        <f t="shared" si="151"/>
        <v>7522</v>
      </c>
      <c r="M337" s="36">
        <f t="shared" si="151"/>
        <v>7521.43</v>
      </c>
      <c r="N337" s="37">
        <f t="shared" si="145"/>
        <v>99.99242222813082</v>
      </c>
      <c r="O337" s="321"/>
    </row>
    <row r="338" spans="1:16" ht="11.45" customHeight="1" outlineLevel="1" x14ac:dyDescent="0.2">
      <c r="A338" s="30"/>
      <c r="B338" s="33"/>
      <c r="C338" s="34"/>
      <c r="D338" s="29"/>
      <c r="E338" s="29"/>
      <c r="F338" s="35" t="s">
        <v>359</v>
      </c>
      <c r="G338" s="133">
        <f t="shared" si="147"/>
        <v>0</v>
      </c>
      <c r="H338" s="133">
        <f t="shared" si="147"/>
        <v>0</v>
      </c>
      <c r="I338" s="37" t="str">
        <f t="shared" si="146"/>
        <v>-</v>
      </c>
      <c r="J338" s="133">
        <f t="shared" ref="J338:M338" si="152">J347+J360+J372+J383+J392+J401+J410+J419+J428+J437+J446+J455+J464+J473+J485+J494+J503+J512+J521+J530+J539+J548+J557+J580+J589</f>
        <v>0</v>
      </c>
      <c r="K338" s="133">
        <f t="shared" si="152"/>
        <v>0</v>
      </c>
      <c r="L338" s="133">
        <f t="shared" si="152"/>
        <v>0</v>
      </c>
      <c r="M338" s="36">
        <f t="shared" si="152"/>
        <v>0</v>
      </c>
      <c r="N338" s="37" t="str">
        <f t="shared" si="145"/>
        <v>-</v>
      </c>
      <c r="O338" s="321"/>
    </row>
    <row r="339" spans="1:16" ht="3.95" customHeight="1" outlineLevel="1" x14ac:dyDescent="0.2">
      <c r="A339" s="65"/>
      <c r="B339" s="66"/>
      <c r="C339" s="67"/>
      <c r="D339" s="68"/>
      <c r="E339" s="68"/>
      <c r="F339" s="65"/>
      <c r="G339" s="134"/>
      <c r="H339" s="134"/>
      <c r="I339" s="70"/>
      <c r="J339" s="134"/>
      <c r="K339" s="134"/>
      <c r="L339" s="134"/>
      <c r="M339" s="69"/>
      <c r="N339" s="70"/>
      <c r="O339" s="322"/>
    </row>
    <row r="340" spans="1:16" s="15" customFormat="1" ht="3.95" customHeight="1" outlineLevel="1" x14ac:dyDescent="0.2">
      <c r="A340" s="185"/>
      <c r="B340" s="72"/>
      <c r="C340" s="230"/>
      <c r="D340" s="179"/>
      <c r="E340" s="179"/>
      <c r="F340" s="224"/>
      <c r="G340" s="222"/>
      <c r="H340" s="222"/>
      <c r="I340" s="225"/>
      <c r="J340" s="222"/>
      <c r="K340" s="222"/>
      <c r="L340" s="135"/>
      <c r="M340" s="229"/>
      <c r="N340" s="75"/>
      <c r="O340" s="390"/>
      <c r="P340" s="169"/>
    </row>
    <row r="341" spans="1:16" s="15" customFormat="1" ht="11.1" customHeight="1" outlineLevel="1" x14ac:dyDescent="0.2">
      <c r="A341" s="424" t="s">
        <v>475</v>
      </c>
      <c r="B341" s="76" t="s">
        <v>9</v>
      </c>
      <c r="C341" s="173" t="s">
        <v>55</v>
      </c>
      <c r="D341" s="410" t="s">
        <v>182</v>
      </c>
      <c r="E341" s="410" t="s">
        <v>54</v>
      </c>
      <c r="F341" s="226" t="s">
        <v>157</v>
      </c>
      <c r="G341" s="171">
        <f>SUM(G342:G347)</f>
        <v>2158730</v>
      </c>
      <c r="H341" s="171">
        <f>SUM(H342:H347)</f>
        <v>2157383</v>
      </c>
      <c r="I341" s="39">
        <f t="shared" ref="I341:I347" si="153">IF(G341&gt;0,H341/G341*100,"-")</f>
        <v>99.937602201294283</v>
      </c>
      <c r="J341" s="171">
        <f>SUM(J342:J347)</f>
        <v>334961</v>
      </c>
      <c r="K341" s="171">
        <f>SUM(K342:K347)</f>
        <v>24612</v>
      </c>
      <c r="L341" s="228">
        <f>SUM(L342:L347)</f>
        <v>359573</v>
      </c>
      <c r="M341" s="172">
        <f>SUM(M342:M347)</f>
        <v>358224.86</v>
      </c>
      <c r="N341" s="39">
        <f t="shared" ref="N341:N347" si="154">IF(L341&gt;0,M341/L341*100,"-")</f>
        <v>99.625071960352969</v>
      </c>
      <c r="O341" s="422" t="s">
        <v>629</v>
      </c>
      <c r="P341" s="169"/>
    </row>
    <row r="342" spans="1:16" s="15" customFormat="1" ht="11.1" customHeight="1" outlineLevel="1" x14ac:dyDescent="0.2">
      <c r="A342" s="424"/>
      <c r="B342" s="76" t="s">
        <v>10</v>
      </c>
      <c r="C342" s="173" t="s">
        <v>75</v>
      </c>
      <c r="D342" s="410"/>
      <c r="E342" s="410"/>
      <c r="F342" s="79" t="s">
        <v>15</v>
      </c>
      <c r="G342" s="165">
        <v>0</v>
      </c>
      <c r="H342" s="138">
        <f>ROUNDUP(0+M342,0)</f>
        <v>0</v>
      </c>
      <c r="I342" s="81" t="str">
        <f t="shared" si="153"/>
        <v>-</v>
      </c>
      <c r="J342" s="138">
        <v>0</v>
      </c>
      <c r="K342" s="138">
        <f t="shared" ref="K342:K347" si="155">L342-J342</f>
        <v>0</v>
      </c>
      <c r="L342" s="138">
        <v>0</v>
      </c>
      <c r="M342" s="80">
        <v>0</v>
      </c>
      <c r="N342" s="81" t="str">
        <f t="shared" si="154"/>
        <v>-</v>
      </c>
      <c r="O342" s="423"/>
      <c r="P342" s="169"/>
    </row>
    <row r="343" spans="1:16" s="15" customFormat="1" ht="11.1" customHeight="1" outlineLevel="1" x14ac:dyDescent="0.2">
      <c r="A343" s="424"/>
      <c r="B343" s="76" t="s">
        <v>11</v>
      </c>
      <c r="C343" s="168" t="s">
        <v>319</v>
      </c>
      <c r="D343" s="410"/>
      <c r="E343" s="410"/>
      <c r="F343" s="79" t="s">
        <v>7</v>
      </c>
      <c r="G343" s="373">
        <v>1834920</v>
      </c>
      <c r="H343" s="373">
        <f>ROUNDUP(1529284+M343,0)</f>
        <v>1833775</v>
      </c>
      <c r="I343" s="81">
        <f t="shared" si="153"/>
        <v>99.937599459376983</v>
      </c>
      <c r="J343" s="138">
        <v>284717</v>
      </c>
      <c r="K343" s="138">
        <f t="shared" si="155"/>
        <v>20919</v>
      </c>
      <c r="L343" s="138">
        <v>305636</v>
      </c>
      <c r="M343" s="80">
        <v>304490.46999999997</v>
      </c>
      <c r="N343" s="81">
        <f t="shared" si="154"/>
        <v>99.625197947885709</v>
      </c>
      <c r="O343" s="423"/>
      <c r="P343" s="169"/>
    </row>
    <row r="344" spans="1:16" s="15" customFormat="1" ht="11.1" customHeight="1" outlineLevel="1" x14ac:dyDescent="0.2">
      <c r="A344" s="205"/>
      <c r="B344" s="76"/>
      <c r="C344" s="168" t="s">
        <v>166</v>
      </c>
      <c r="D344" s="108"/>
      <c r="E344" s="182"/>
      <c r="F344" s="79" t="s">
        <v>8</v>
      </c>
      <c r="G344" s="373">
        <v>0</v>
      </c>
      <c r="H344" s="178">
        <f>ROUNDUP(0+M344,0)</f>
        <v>0</v>
      </c>
      <c r="I344" s="81" t="str">
        <f t="shared" si="153"/>
        <v>-</v>
      </c>
      <c r="J344" s="138">
        <v>0</v>
      </c>
      <c r="K344" s="138">
        <f t="shared" si="155"/>
        <v>0</v>
      </c>
      <c r="L344" s="138">
        <v>0</v>
      </c>
      <c r="M344" s="80">
        <v>0</v>
      </c>
      <c r="N344" s="81" t="str">
        <f t="shared" si="154"/>
        <v>-</v>
      </c>
      <c r="O344" s="423"/>
      <c r="P344" s="169"/>
    </row>
    <row r="345" spans="1:16" s="15" customFormat="1" ht="11.1" customHeight="1" outlineLevel="1" x14ac:dyDescent="0.2">
      <c r="A345" s="205"/>
      <c r="B345" s="76" t="s">
        <v>12</v>
      </c>
      <c r="C345" s="168" t="s">
        <v>196</v>
      </c>
      <c r="D345" s="108"/>
      <c r="E345" s="182"/>
      <c r="F345" s="79" t="s">
        <v>22</v>
      </c>
      <c r="G345" s="373">
        <v>323810</v>
      </c>
      <c r="H345" s="373">
        <f>ROUNDUP(269873+M345,0)</f>
        <v>323608</v>
      </c>
      <c r="I345" s="81">
        <f t="shared" si="153"/>
        <v>99.937617738797442</v>
      </c>
      <c r="J345" s="138">
        <v>50244</v>
      </c>
      <c r="K345" s="138">
        <f t="shared" si="155"/>
        <v>3693</v>
      </c>
      <c r="L345" s="138">
        <v>53937</v>
      </c>
      <c r="M345" s="80">
        <v>53734.39</v>
      </c>
      <c r="N345" s="81">
        <f t="shared" si="154"/>
        <v>99.624358047351535</v>
      </c>
      <c r="O345" s="423"/>
      <c r="P345" s="169"/>
    </row>
    <row r="346" spans="1:16" s="15" customFormat="1" ht="11.1" customHeight="1" outlineLevel="1" x14ac:dyDescent="0.2">
      <c r="A346" s="205"/>
      <c r="B346" s="76"/>
      <c r="C346" s="168" t="s">
        <v>168</v>
      </c>
      <c r="D346" s="108"/>
      <c r="E346" s="182"/>
      <c r="F346" s="79" t="s">
        <v>45</v>
      </c>
      <c r="G346" s="373">
        <v>0</v>
      </c>
      <c r="H346" s="178">
        <f>ROUNDUP(0+M346,0)</f>
        <v>0</v>
      </c>
      <c r="I346" s="166" t="str">
        <f t="shared" si="153"/>
        <v>-</v>
      </c>
      <c r="J346" s="138">
        <v>0</v>
      </c>
      <c r="K346" s="138">
        <f t="shared" si="155"/>
        <v>0</v>
      </c>
      <c r="L346" s="138">
        <v>0</v>
      </c>
      <c r="M346" s="80">
        <v>0</v>
      </c>
      <c r="N346" s="81" t="str">
        <f t="shared" si="154"/>
        <v>-</v>
      </c>
      <c r="O346" s="423"/>
      <c r="P346" s="169"/>
    </row>
    <row r="347" spans="1:16" s="15" customFormat="1" ht="11.1" customHeight="1" outlineLevel="1" x14ac:dyDescent="0.2">
      <c r="A347" s="205"/>
      <c r="B347" s="76" t="s">
        <v>23</v>
      </c>
      <c r="C347" s="82" t="s">
        <v>185</v>
      </c>
      <c r="D347" s="108"/>
      <c r="E347" s="182"/>
      <c r="F347" s="79" t="s">
        <v>359</v>
      </c>
      <c r="G347" s="373">
        <v>0</v>
      </c>
      <c r="H347" s="178">
        <f>ROUNDUP(0+M347,0)</f>
        <v>0</v>
      </c>
      <c r="I347" s="166" t="str">
        <f t="shared" si="153"/>
        <v>-</v>
      </c>
      <c r="J347" s="138">
        <v>0</v>
      </c>
      <c r="K347" s="138">
        <f t="shared" si="155"/>
        <v>0</v>
      </c>
      <c r="L347" s="138">
        <v>0</v>
      </c>
      <c r="M347" s="80">
        <v>0</v>
      </c>
      <c r="N347" s="81" t="str">
        <f t="shared" si="154"/>
        <v>-</v>
      </c>
      <c r="O347" s="423"/>
      <c r="P347" s="169"/>
    </row>
    <row r="348" spans="1:16" s="15" customFormat="1" ht="11.1" customHeight="1" outlineLevel="1" x14ac:dyDescent="0.2">
      <c r="A348" s="217"/>
      <c r="B348" s="76"/>
      <c r="C348" s="82" t="s">
        <v>186</v>
      </c>
      <c r="D348" s="388"/>
      <c r="E348" s="281"/>
      <c r="F348" s="106"/>
      <c r="G348" s="373"/>
      <c r="H348" s="373"/>
      <c r="I348" s="166"/>
      <c r="J348" s="165"/>
      <c r="K348" s="165"/>
      <c r="L348" s="138"/>
      <c r="M348" s="89"/>
      <c r="N348" s="81"/>
      <c r="O348" s="391"/>
      <c r="P348" s="169"/>
    </row>
    <row r="349" spans="1:16" s="15" customFormat="1" ht="11.1" customHeight="1" outlineLevel="1" x14ac:dyDescent="0.2">
      <c r="A349" s="217"/>
      <c r="B349" s="76"/>
      <c r="C349" s="82" t="s">
        <v>187</v>
      </c>
      <c r="D349" s="388"/>
      <c r="E349" s="281"/>
      <c r="F349" s="106"/>
      <c r="G349" s="373"/>
      <c r="H349" s="373"/>
      <c r="I349" s="166"/>
      <c r="J349" s="165"/>
      <c r="K349" s="165"/>
      <c r="L349" s="138"/>
      <c r="M349" s="89"/>
      <c r="N349" s="81"/>
      <c r="O349" s="391"/>
      <c r="P349" s="169"/>
    </row>
    <row r="350" spans="1:16" s="15" customFormat="1" ht="11.1" customHeight="1" outlineLevel="1" x14ac:dyDescent="0.2">
      <c r="A350" s="217"/>
      <c r="B350" s="76"/>
      <c r="C350" s="82" t="s">
        <v>188</v>
      </c>
      <c r="D350" s="388"/>
      <c r="E350" s="281"/>
      <c r="F350" s="106"/>
      <c r="G350" s="373"/>
      <c r="H350" s="373"/>
      <c r="I350" s="166"/>
      <c r="J350" s="165"/>
      <c r="K350" s="165"/>
      <c r="L350" s="138"/>
      <c r="M350" s="89"/>
      <c r="N350" s="81"/>
      <c r="O350" s="391"/>
      <c r="P350" s="169"/>
    </row>
    <row r="351" spans="1:16" s="15" customFormat="1" ht="11.1" customHeight="1" outlineLevel="1" x14ac:dyDescent="0.2">
      <c r="A351" s="217"/>
      <c r="B351" s="76"/>
      <c r="C351" s="82" t="s">
        <v>189</v>
      </c>
      <c r="D351" s="388"/>
      <c r="E351" s="281"/>
      <c r="F351" s="106"/>
      <c r="G351" s="373"/>
      <c r="H351" s="373"/>
      <c r="I351" s="166"/>
      <c r="J351" s="165"/>
      <c r="K351" s="165"/>
      <c r="L351" s="138"/>
      <c r="M351" s="89"/>
      <c r="N351" s="81"/>
      <c r="O351" s="391"/>
      <c r="P351" s="169"/>
    </row>
    <row r="352" spans="1:16" s="15" customFormat="1" ht="3.95" customHeight="1" outlineLevel="1" x14ac:dyDescent="0.2">
      <c r="A352" s="219"/>
      <c r="B352" s="85"/>
      <c r="C352" s="174"/>
      <c r="D352" s="180"/>
      <c r="E352" s="181"/>
      <c r="F352" s="204"/>
      <c r="G352" s="374"/>
      <c r="H352" s="374"/>
      <c r="I352" s="175"/>
      <c r="J352" s="167"/>
      <c r="K352" s="167"/>
      <c r="L352" s="141"/>
      <c r="M352" s="176"/>
      <c r="N352" s="88"/>
      <c r="O352" s="325"/>
      <c r="P352" s="169"/>
    </row>
    <row r="353" spans="1:16" s="15" customFormat="1" ht="3.95" customHeight="1" outlineLevel="1" x14ac:dyDescent="0.2">
      <c r="A353" s="220"/>
      <c r="B353" s="72"/>
      <c r="C353" s="230"/>
      <c r="D353" s="179"/>
      <c r="E353" s="221"/>
      <c r="F353" s="224"/>
      <c r="G353" s="375"/>
      <c r="H353" s="375"/>
      <c r="I353" s="225"/>
      <c r="J353" s="222"/>
      <c r="K353" s="222"/>
      <c r="L353" s="136"/>
      <c r="M353" s="229"/>
      <c r="N353" s="75"/>
      <c r="O353" s="390"/>
      <c r="P353" s="169"/>
    </row>
    <row r="354" spans="1:16" s="15" customFormat="1" ht="11.1" customHeight="1" outlineLevel="1" x14ac:dyDescent="0.2">
      <c r="A354" s="424" t="s">
        <v>476</v>
      </c>
      <c r="B354" s="76" t="s">
        <v>9</v>
      </c>
      <c r="C354" s="148" t="s">
        <v>55</v>
      </c>
      <c r="D354" s="410" t="s">
        <v>389</v>
      </c>
      <c r="E354" s="410" t="s">
        <v>54</v>
      </c>
      <c r="F354" s="226" t="s">
        <v>157</v>
      </c>
      <c r="G354" s="376">
        <f>SUM(G355:G360)</f>
        <v>1565007</v>
      </c>
      <c r="H354" s="376">
        <f>SUM(H355:H360)</f>
        <v>149156</v>
      </c>
      <c r="I354" s="39">
        <f t="shared" ref="I354:I360" si="156">IF(G354&gt;0,H354/G354*100,"-")</f>
        <v>9.5306921949869867</v>
      </c>
      <c r="J354" s="171">
        <f>SUM(J355:J360)</f>
        <v>0</v>
      </c>
      <c r="K354" s="171">
        <f>SUM(K355:K360)</f>
        <v>430522</v>
      </c>
      <c r="L354" s="228">
        <f>SUM(L355:L360)</f>
        <v>430522</v>
      </c>
      <c r="M354" s="172">
        <f>SUM(M355:M360)</f>
        <v>149155.98000000001</v>
      </c>
      <c r="N354" s="39">
        <f t="shared" ref="N354:N360" si="157">IF(L354&gt;0,M354/L354*100,"-")</f>
        <v>34.645379330208449</v>
      </c>
      <c r="O354" s="422" t="s">
        <v>631</v>
      </c>
      <c r="P354" s="169"/>
    </row>
    <row r="355" spans="1:16" s="15" customFormat="1" ht="11.1" customHeight="1" outlineLevel="1" x14ac:dyDescent="0.2">
      <c r="A355" s="424"/>
      <c r="B355" s="76" t="s">
        <v>10</v>
      </c>
      <c r="C355" s="82" t="s">
        <v>75</v>
      </c>
      <c r="D355" s="410"/>
      <c r="E355" s="410"/>
      <c r="F355" s="79" t="s">
        <v>15</v>
      </c>
      <c r="G355" s="373">
        <v>17076</v>
      </c>
      <c r="H355" s="178">
        <f t="shared" ref="H355:H360" si="158">ROUNDUP(0+M355,0)</f>
        <v>6150</v>
      </c>
      <c r="I355" s="81">
        <f t="shared" si="156"/>
        <v>36.015460295151094</v>
      </c>
      <c r="J355" s="138">
        <v>0</v>
      </c>
      <c r="K355" s="138">
        <f t="shared" ref="K355:K360" si="159">L355-J355</f>
        <v>17076</v>
      </c>
      <c r="L355" s="138">
        <v>17076</v>
      </c>
      <c r="M355" s="83">
        <v>6150</v>
      </c>
      <c r="N355" s="81">
        <f t="shared" si="157"/>
        <v>36.015460295151094</v>
      </c>
      <c r="O355" s="423"/>
      <c r="P355" s="169"/>
    </row>
    <row r="356" spans="1:16" s="15" customFormat="1" ht="11.1" customHeight="1" outlineLevel="1" x14ac:dyDescent="0.2">
      <c r="A356" s="424"/>
      <c r="B356" s="76" t="s">
        <v>11</v>
      </c>
      <c r="C356" s="82" t="s">
        <v>167</v>
      </c>
      <c r="D356" s="410"/>
      <c r="E356" s="410"/>
      <c r="F356" s="79" t="s">
        <v>7</v>
      </c>
      <c r="G356" s="373">
        <v>1399954</v>
      </c>
      <c r="H356" s="178">
        <f t="shared" si="158"/>
        <v>143006</v>
      </c>
      <c r="I356" s="81">
        <f t="shared" si="156"/>
        <v>10.215049923068902</v>
      </c>
      <c r="J356" s="138">
        <v>0</v>
      </c>
      <c r="K356" s="138">
        <f t="shared" si="159"/>
        <v>413446</v>
      </c>
      <c r="L356" s="138">
        <v>413446</v>
      </c>
      <c r="M356" s="83">
        <v>143005.98000000001</v>
      </c>
      <c r="N356" s="81">
        <f t="shared" si="157"/>
        <v>34.588792732303617</v>
      </c>
      <c r="O356" s="423"/>
      <c r="P356" s="169"/>
    </row>
    <row r="357" spans="1:16" s="15" customFormat="1" ht="11.1" customHeight="1" outlineLevel="1" x14ac:dyDescent="0.2">
      <c r="A357" s="205"/>
      <c r="B357" s="76"/>
      <c r="C357" s="82" t="s">
        <v>166</v>
      </c>
      <c r="D357" s="108"/>
      <c r="E357" s="182"/>
      <c r="F357" s="79" t="s">
        <v>8</v>
      </c>
      <c r="G357" s="373">
        <v>0</v>
      </c>
      <c r="H357" s="178">
        <f t="shared" si="158"/>
        <v>0</v>
      </c>
      <c r="I357" s="81" t="str">
        <f t="shared" si="156"/>
        <v>-</v>
      </c>
      <c r="J357" s="138">
        <v>0</v>
      </c>
      <c r="K357" s="138">
        <f t="shared" si="159"/>
        <v>0</v>
      </c>
      <c r="L357" s="138">
        <v>0</v>
      </c>
      <c r="M357" s="80">
        <v>0</v>
      </c>
      <c r="N357" s="81" t="str">
        <f t="shared" si="157"/>
        <v>-</v>
      </c>
      <c r="O357" s="423"/>
      <c r="P357" s="169"/>
    </row>
    <row r="358" spans="1:16" s="15" customFormat="1" ht="11.1" customHeight="1" outlineLevel="1" x14ac:dyDescent="0.2">
      <c r="A358" s="205"/>
      <c r="B358" s="76" t="s">
        <v>12</v>
      </c>
      <c r="C358" s="82" t="s">
        <v>520</v>
      </c>
      <c r="D358" s="108"/>
      <c r="E358" s="182"/>
      <c r="F358" s="79" t="s">
        <v>22</v>
      </c>
      <c r="G358" s="373">
        <v>147977</v>
      </c>
      <c r="H358" s="178">
        <f t="shared" si="158"/>
        <v>0</v>
      </c>
      <c r="I358" s="81">
        <f t="shared" si="156"/>
        <v>0</v>
      </c>
      <c r="J358" s="138">
        <v>0</v>
      </c>
      <c r="K358" s="138">
        <f t="shared" si="159"/>
        <v>0</v>
      </c>
      <c r="L358" s="138">
        <v>0</v>
      </c>
      <c r="M358" s="80">
        <v>0</v>
      </c>
      <c r="N358" s="81" t="str">
        <f t="shared" si="157"/>
        <v>-</v>
      </c>
      <c r="O358" s="423"/>
      <c r="P358" s="169"/>
    </row>
    <row r="359" spans="1:16" s="15" customFormat="1" ht="11.1" customHeight="1" outlineLevel="1" x14ac:dyDescent="0.2">
      <c r="A359" s="205"/>
      <c r="B359" s="76"/>
      <c r="C359" s="82" t="s">
        <v>521</v>
      </c>
      <c r="D359" s="108"/>
      <c r="E359" s="182"/>
      <c r="F359" s="79" t="s">
        <v>45</v>
      </c>
      <c r="G359" s="373">
        <v>0</v>
      </c>
      <c r="H359" s="178">
        <f t="shared" si="158"/>
        <v>0</v>
      </c>
      <c r="I359" s="166" t="str">
        <f t="shared" si="156"/>
        <v>-</v>
      </c>
      <c r="J359" s="138">
        <v>0</v>
      </c>
      <c r="K359" s="138">
        <f t="shared" si="159"/>
        <v>0</v>
      </c>
      <c r="L359" s="138">
        <v>0</v>
      </c>
      <c r="M359" s="80">
        <v>0</v>
      </c>
      <c r="N359" s="81" t="str">
        <f t="shared" si="157"/>
        <v>-</v>
      </c>
      <c r="O359" s="423"/>
      <c r="P359" s="169"/>
    </row>
    <row r="360" spans="1:16" s="15" customFormat="1" ht="11.1" customHeight="1" outlineLevel="1" x14ac:dyDescent="0.2">
      <c r="A360" s="205"/>
      <c r="B360" s="76" t="s">
        <v>23</v>
      </c>
      <c r="C360" s="82" t="s">
        <v>522</v>
      </c>
      <c r="D360" s="108"/>
      <c r="E360" s="182"/>
      <c r="F360" s="79" t="s">
        <v>359</v>
      </c>
      <c r="G360" s="373">
        <v>0</v>
      </c>
      <c r="H360" s="178">
        <f t="shared" si="158"/>
        <v>0</v>
      </c>
      <c r="I360" s="166" t="str">
        <f t="shared" si="156"/>
        <v>-</v>
      </c>
      <c r="J360" s="138">
        <v>0</v>
      </c>
      <c r="K360" s="138">
        <f t="shared" si="159"/>
        <v>0</v>
      </c>
      <c r="L360" s="138">
        <v>0</v>
      </c>
      <c r="M360" s="80">
        <v>0</v>
      </c>
      <c r="N360" s="81" t="str">
        <f t="shared" si="157"/>
        <v>-</v>
      </c>
      <c r="O360" s="423"/>
      <c r="P360" s="169"/>
    </row>
    <row r="361" spans="1:16" s="15" customFormat="1" ht="11.1" customHeight="1" outlineLevel="1" x14ac:dyDescent="0.2">
      <c r="A361" s="284"/>
      <c r="B361" s="76"/>
      <c r="C361" s="82" t="s">
        <v>523</v>
      </c>
      <c r="D361" s="108"/>
      <c r="E361" s="182"/>
      <c r="F361" s="106"/>
      <c r="G361" s="373"/>
      <c r="H361" s="373"/>
      <c r="I361" s="166"/>
      <c r="J361" s="165"/>
      <c r="K361" s="165"/>
      <c r="L361" s="138"/>
      <c r="M361" s="89"/>
      <c r="N361" s="81"/>
      <c r="O361" s="391"/>
      <c r="P361" s="169"/>
    </row>
    <row r="362" spans="1:16" s="15" customFormat="1" ht="11.1" customHeight="1" outlineLevel="1" x14ac:dyDescent="0.2">
      <c r="A362" s="284"/>
      <c r="B362" s="76"/>
      <c r="C362" s="82" t="s">
        <v>524</v>
      </c>
      <c r="D362" s="108"/>
      <c r="E362" s="182"/>
      <c r="F362" s="106"/>
      <c r="G362" s="373"/>
      <c r="H362" s="373"/>
      <c r="I362" s="166"/>
      <c r="J362" s="165"/>
      <c r="K362" s="165"/>
      <c r="L362" s="138"/>
      <c r="M362" s="89"/>
      <c r="N362" s="81"/>
      <c r="O362" s="391"/>
      <c r="P362" s="169"/>
    </row>
    <row r="363" spans="1:16" s="15" customFormat="1" ht="11.1" customHeight="1" outlineLevel="1" x14ac:dyDescent="0.2">
      <c r="A363" s="284"/>
      <c r="B363" s="76"/>
      <c r="C363" s="82" t="s">
        <v>525</v>
      </c>
      <c r="D363" s="108"/>
      <c r="E363" s="182"/>
      <c r="F363" s="106"/>
      <c r="G363" s="373"/>
      <c r="H363" s="373"/>
      <c r="I363" s="166"/>
      <c r="J363" s="165"/>
      <c r="K363" s="165"/>
      <c r="L363" s="138"/>
      <c r="M363" s="89"/>
      <c r="N363" s="81"/>
      <c r="O363" s="391"/>
      <c r="P363" s="169"/>
    </row>
    <row r="364" spans="1:16" s="15" customFormat="1" ht="3.95" customHeight="1" outlineLevel="1" x14ac:dyDescent="0.2">
      <c r="A364" s="232"/>
      <c r="B364" s="85"/>
      <c r="C364" s="86"/>
      <c r="D364" s="180"/>
      <c r="E364" s="181"/>
      <c r="F364" s="204"/>
      <c r="G364" s="374"/>
      <c r="H364" s="374"/>
      <c r="I364" s="175"/>
      <c r="J364" s="167"/>
      <c r="K364" s="167"/>
      <c r="L364" s="141"/>
      <c r="M364" s="176"/>
      <c r="N364" s="88"/>
      <c r="O364" s="325"/>
      <c r="P364" s="169"/>
    </row>
    <row r="365" spans="1:16" s="15" customFormat="1" ht="3.95" customHeight="1" outlineLevel="1" x14ac:dyDescent="0.2">
      <c r="A365" s="220"/>
      <c r="B365" s="72"/>
      <c r="C365" s="230"/>
      <c r="D365" s="179"/>
      <c r="E365" s="221"/>
      <c r="F365" s="224"/>
      <c r="G365" s="375"/>
      <c r="H365" s="375"/>
      <c r="I365" s="225"/>
      <c r="J365" s="222"/>
      <c r="K365" s="222"/>
      <c r="L365" s="136"/>
      <c r="M365" s="229"/>
      <c r="N365" s="75"/>
      <c r="O365" s="390"/>
      <c r="P365" s="169"/>
    </row>
    <row r="366" spans="1:16" s="15" customFormat="1" ht="11.1" customHeight="1" outlineLevel="1" x14ac:dyDescent="0.2">
      <c r="A366" s="424" t="s">
        <v>477</v>
      </c>
      <c r="B366" s="76" t="s">
        <v>9</v>
      </c>
      <c r="C366" s="148" t="s">
        <v>55</v>
      </c>
      <c r="D366" s="410" t="s">
        <v>182</v>
      </c>
      <c r="E366" s="410" t="s">
        <v>54</v>
      </c>
      <c r="F366" s="226" t="s">
        <v>157</v>
      </c>
      <c r="G366" s="376">
        <f>SUM(G367:G372)</f>
        <v>999980</v>
      </c>
      <c r="H366" s="376">
        <f>SUM(H367:H372)</f>
        <v>999942</v>
      </c>
      <c r="I366" s="39">
        <f t="shared" ref="I366:I372" si="160">IF(G366&gt;0,H366/G366*100,"-")</f>
        <v>99.996199923998475</v>
      </c>
      <c r="J366" s="171">
        <f>SUM(J367:J372)</f>
        <v>327588</v>
      </c>
      <c r="K366" s="171">
        <f>SUM(K367:K372)</f>
        <v>6102</v>
      </c>
      <c r="L366" s="228">
        <f>SUM(L367:L372)</f>
        <v>333690</v>
      </c>
      <c r="M366" s="172">
        <f>SUM(M367:M372)</f>
        <v>333650.71999999997</v>
      </c>
      <c r="N366" s="39">
        <f t="shared" ref="N366:N372" si="161">IF(L366&gt;0,M366/L366*100,"-")</f>
        <v>99.988228595402902</v>
      </c>
      <c r="O366" s="422" t="s">
        <v>630</v>
      </c>
      <c r="P366" s="169"/>
    </row>
    <row r="367" spans="1:16" s="15" customFormat="1" ht="11.1" customHeight="1" outlineLevel="1" x14ac:dyDescent="0.2">
      <c r="A367" s="424"/>
      <c r="B367" s="76" t="s">
        <v>10</v>
      </c>
      <c r="C367" s="82" t="s">
        <v>75</v>
      </c>
      <c r="D367" s="410"/>
      <c r="E367" s="410"/>
      <c r="F367" s="79" t="s">
        <v>15</v>
      </c>
      <c r="G367" s="373">
        <v>0</v>
      </c>
      <c r="H367" s="178">
        <f>ROUNDUP(0+M367,0)</f>
        <v>0</v>
      </c>
      <c r="I367" s="81" t="str">
        <f t="shared" si="160"/>
        <v>-</v>
      </c>
      <c r="J367" s="138">
        <v>0</v>
      </c>
      <c r="K367" s="138">
        <f t="shared" ref="K367:K372" si="162">L367-J367</f>
        <v>0</v>
      </c>
      <c r="L367" s="138">
        <v>0</v>
      </c>
      <c r="M367" s="80">
        <v>0</v>
      </c>
      <c r="N367" s="81" t="str">
        <f t="shared" si="161"/>
        <v>-</v>
      </c>
      <c r="O367" s="423"/>
      <c r="P367" s="169"/>
    </row>
    <row r="368" spans="1:16" s="15" customFormat="1" ht="11.1" customHeight="1" outlineLevel="1" x14ac:dyDescent="0.2">
      <c r="A368" s="424"/>
      <c r="B368" s="76" t="s">
        <v>11</v>
      </c>
      <c r="C368" s="82" t="s">
        <v>167</v>
      </c>
      <c r="D368" s="410"/>
      <c r="E368" s="410"/>
      <c r="F368" s="79" t="s">
        <v>7</v>
      </c>
      <c r="G368" s="373">
        <v>849982</v>
      </c>
      <c r="H368" s="373">
        <f>ROUNDUP(566346+M368,0)</f>
        <v>849950</v>
      </c>
      <c r="I368" s="81">
        <f t="shared" si="160"/>
        <v>99.996235214392769</v>
      </c>
      <c r="J368" s="138">
        <v>278450</v>
      </c>
      <c r="K368" s="138">
        <f t="shared" si="162"/>
        <v>5186</v>
      </c>
      <c r="L368" s="138">
        <v>283636</v>
      </c>
      <c r="M368" s="80">
        <v>283603.11</v>
      </c>
      <c r="N368" s="81">
        <f t="shared" si="161"/>
        <v>99.988404151800196</v>
      </c>
      <c r="O368" s="423"/>
      <c r="P368" s="169"/>
    </row>
    <row r="369" spans="1:16" s="15" customFormat="1" ht="11.1" customHeight="1" outlineLevel="1" x14ac:dyDescent="0.2">
      <c r="A369" s="205"/>
      <c r="B369" s="76"/>
      <c r="C369" s="82" t="s">
        <v>166</v>
      </c>
      <c r="D369" s="108"/>
      <c r="E369" s="182"/>
      <c r="F369" s="79" t="s">
        <v>8</v>
      </c>
      <c r="G369" s="373">
        <v>0</v>
      </c>
      <c r="H369" s="178">
        <f>ROUNDUP(0+M369,0)</f>
        <v>0</v>
      </c>
      <c r="I369" s="81" t="str">
        <f t="shared" si="160"/>
        <v>-</v>
      </c>
      <c r="J369" s="138">
        <v>0</v>
      </c>
      <c r="K369" s="138">
        <f t="shared" si="162"/>
        <v>0</v>
      </c>
      <c r="L369" s="138">
        <v>0</v>
      </c>
      <c r="M369" s="80">
        <v>0</v>
      </c>
      <c r="N369" s="81" t="str">
        <f t="shared" si="161"/>
        <v>-</v>
      </c>
      <c r="O369" s="423"/>
      <c r="P369" s="169"/>
    </row>
    <row r="370" spans="1:16" s="15" customFormat="1" ht="11.1" customHeight="1" outlineLevel="1" x14ac:dyDescent="0.2">
      <c r="A370" s="205"/>
      <c r="B370" s="76" t="s">
        <v>12</v>
      </c>
      <c r="C370" s="82" t="s">
        <v>238</v>
      </c>
      <c r="D370" s="108"/>
      <c r="E370" s="182"/>
      <c r="F370" s="79" t="s">
        <v>22</v>
      </c>
      <c r="G370" s="373">
        <v>149998</v>
      </c>
      <c r="H370" s="373">
        <f>ROUNDUP(99944+M370,0)</f>
        <v>149992</v>
      </c>
      <c r="I370" s="81">
        <f t="shared" si="160"/>
        <v>99.995999946665961</v>
      </c>
      <c r="J370" s="138">
        <v>49138</v>
      </c>
      <c r="K370" s="138">
        <f t="shared" si="162"/>
        <v>916</v>
      </c>
      <c r="L370" s="138">
        <v>50054</v>
      </c>
      <c r="M370" s="80">
        <v>50047.61</v>
      </c>
      <c r="N370" s="81">
        <f t="shared" si="161"/>
        <v>99.987233787509496</v>
      </c>
      <c r="O370" s="423"/>
      <c r="P370" s="169"/>
    </row>
    <row r="371" spans="1:16" s="15" customFormat="1" ht="11.1" customHeight="1" outlineLevel="1" x14ac:dyDescent="0.2">
      <c r="A371" s="205"/>
      <c r="B371" s="76"/>
      <c r="C371" s="82" t="s">
        <v>239</v>
      </c>
      <c r="D371" s="108"/>
      <c r="E371" s="182"/>
      <c r="F371" s="79" t="s">
        <v>45</v>
      </c>
      <c r="G371" s="373">
        <v>0</v>
      </c>
      <c r="H371" s="178">
        <f>ROUNDUP(0+M371,0)</f>
        <v>0</v>
      </c>
      <c r="I371" s="166" t="str">
        <f t="shared" si="160"/>
        <v>-</v>
      </c>
      <c r="J371" s="138">
        <v>0</v>
      </c>
      <c r="K371" s="138">
        <f t="shared" si="162"/>
        <v>0</v>
      </c>
      <c r="L371" s="138">
        <v>0</v>
      </c>
      <c r="M371" s="80">
        <v>0</v>
      </c>
      <c r="N371" s="81" t="str">
        <f t="shared" si="161"/>
        <v>-</v>
      </c>
      <c r="O371" s="423"/>
      <c r="P371" s="169"/>
    </row>
    <row r="372" spans="1:16" s="15" customFormat="1" ht="11.1" customHeight="1" outlineLevel="1" x14ac:dyDescent="0.2">
      <c r="A372" s="205"/>
      <c r="B372" s="76" t="s">
        <v>23</v>
      </c>
      <c r="C372" s="82" t="s">
        <v>282</v>
      </c>
      <c r="D372" s="108"/>
      <c r="E372" s="182"/>
      <c r="F372" s="79" t="s">
        <v>359</v>
      </c>
      <c r="G372" s="373">
        <v>0</v>
      </c>
      <c r="H372" s="178">
        <f>ROUNDUP(0+M372,0)</f>
        <v>0</v>
      </c>
      <c r="I372" s="166" t="str">
        <f t="shared" si="160"/>
        <v>-</v>
      </c>
      <c r="J372" s="138">
        <v>0</v>
      </c>
      <c r="K372" s="138">
        <f t="shared" si="162"/>
        <v>0</v>
      </c>
      <c r="L372" s="138">
        <v>0</v>
      </c>
      <c r="M372" s="80">
        <v>0</v>
      </c>
      <c r="N372" s="81" t="str">
        <f t="shared" si="161"/>
        <v>-</v>
      </c>
      <c r="O372" s="423"/>
      <c r="P372" s="169"/>
    </row>
    <row r="373" spans="1:16" s="15" customFormat="1" ht="11.1" customHeight="1" outlineLevel="1" x14ac:dyDescent="0.2">
      <c r="A373" s="284"/>
      <c r="B373" s="76"/>
      <c r="C373" s="82" t="s">
        <v>283</v>
      </c>
      <c r="D373" s="108"/>
      <c r="E373" s="182"/>
      <c r="F373" s="106"/>
      <c r="G373" s="373"/>
      <c r="H373" s="373"/>
      <c r="I373" s="166"/>
      <c r="J373" s="165"/>
      <c r="K373" s="165"/>
      <c r="L373" s="138"/>
      <c r="M373" s="89"/>
      <c r="N373" s="81"/>
      <c r="O373" s="391"/>
      <c r="P373" s="169"/>
    </row>
    <row r="374" spans="1:16" s="15" customFormat="1" ht="11.1" customHeight="1" outlineLevel="1" x14ac:dyDescent="0.2">
      <c r="A374" s="284"/>
      <c r="B374" s="76"/>
      <c r="C374" s="82" t="s">
        <v>284</v>
      </c>
      <c r="D374" s="108"/>
      <c r="E374" s="182"/>
      <c r="F374" s="106"/>
      <c r="G374" s="373"/>
      <c r="H374" s="373"/>
      <c r="I374" s="166"/>
      <c r="J374" s="165"/>
      <c r="K374" s="165"/>
      <c r="L374" s="138"/>
      <c r="M374" s="89"/>
      <c r="N374" s="81"/>
      <c r="O374" s="391"/>
      <c r="P374" s="169"/>
    </row>
    <row r="375" spans="1:16" s="15" customFormat="1" ht="3.95" customHeight="1" outlineLevel="1" x14ac:dyDescent="0.2">
      <c r="A375" s="232"/>
      <c r="B375" s="85"/>
      <c r="C375" s="86"/>
      <c r="D375" s="180"/>
      <c r="E375" s="181"/>
      <c r="F375" s="204"/>
      <c r="G375" s="374"/>
      <c r="H375" s="374"/>
      <c r="I375" s="175"/>
      <c r="J375" s="167"/>
      <c r="K375" s="167"/>
      <c r="L375" s="141"/>
      <c r="M375" s="176"/>
      <c r="N375" s="88"/>
      <c r="O375" s="325"/>
      <c r="P375" s="169"/>
    </row>
    <row r="376" spans="1:16" s="15" customFormat="1" ht="3.95" customHeight="1" outlineLevel="1" x14ac:dyDescent="0.2">
      <c r="A376" s="197"/>
      <c r="B376" s="72"/>
      <c r="C376" s="73"/>
      <c r="D376" s="179"/>
      <c r="E376" s="179"/>
      <c r="F376" s="224"/>
      <c r="G376" s="375"/>
      <c r="H376" s="375"/>
      <c r="I376" s="225"/>
      <c r="J376" s="222"/>
      <c r="K376" s="222"/>
      <c r="L376" s="135"/>
      <c r="M376" s="218"/>
      <c r="N376" s="75"/>
      <c r="O376" s="326"/>
    </row>
    <row r="377" spans="1:16" s="15" customFormat="1" ht="11.1" customHeight="1" outlineLevel="1" x14ac:dyDescent="0.2">
      <c r="A377" s="409" t="s">
        <v>478</v>
      </c>
      <c r="B377" s="76" t="s">
        <v>9</v>
      </c>
      <c r="C377" s="148" t="s">
        <v>55</v>
      </c>
      <c r="D377" s="410" t="s">
        <v>281</v>
      </c>
      <c r="E377" s="410" t="s">
        <v>54</v>
      </c>
      <c r="F377" s="78" t="s">
        <v>157</v>
      </c>
      <c r="G377" s="377">
        <f>SUM(G378:G383)</f>
        <v>2424481</v>
      </c>
      <c r="H377" s="377">
        <f>SUM(H378:H383)</f>
        <v>1536871</v>
      </c>
      <c r="I377" s="39">
        <f t="shared" ref="I377:I383" si="163">IF(G377&gt;0,H377/G377*100,"-")</f>
        <v>63.389690412092328</v>
      </c>
      <c r="J377" s="164">
        <f>SUM(J378:J383)</f>
        <v>735440</v>
      </c>
      <c r="K377" s="164">
        <f>SUM(K378:K383)</f>
        <v>79825</v>
      </c>
      <c r="L377" s="164">
        <f>SUM(L378:L383)</f>
        <v>815265</v>
      </c>
      <c r="M377" s="38">
        <f>SUM(M378:M383)</f>
        <v>718256.61</v>
      </c>
      <c r="N377" s="39">
        <f t="shared" ref="N377:N380" si="164">IF(L377&gt;0,M377/L377*100,"-")</f>
        <v>88.10099906165479</v>
      </c>
      <c r="O377" s="422" t="s">
        <v>631</v>
      </c>
    </row>
    <row r="378" spans="1:16" s="15" customFormat="1" ht="11.1" customHeight="1" outlineLevel="1" x14ac:dyDescent="0.2">
      <c r="A378" s="409"/>
      <c r="B378" s="76" t="s">
        <v>10</v>
      </c>
      <c r="C378" s="148" t="s">
        <v>75</v>
      </c>
      <c r="D378" s="410"/>
      <c r="E378" s="410"/>
      <c r="F378" s="79" t="s">
        <v>15</v>
      </c>
      <c r="G378" s="373">
        <v>0</v>
      </c>
      <c r="H378" s="178">
        <f t="shared" ref="H378:H383" si="165">ROUNDUP(0+M378,0)</f>
        <v>0</v>
      </c>
      <c r="I378" s="81" t="str">
        <f t="shared" si="163"/>
        <v>-</v>
      </c>
      <c r="J378" s="138">
        <v>0</v>
      </c>
      <c r="K378" s="138">
        <f t="shared" ref="K378:K383" si="166">L378-J378</f>
        <v>0</v>
      </c>
      <c r="L378" s="138">
        <v>0</v>
      </c>
      <c r="M378" s="80">
        <v>0</v>
      </c>
      <c r="N378" s="81" t="str">
        <f t="shared" si="164"/>
        <v>-</v>
      </c>
      <c r="O378" s="423"/>
    </row>
    <row r="379" spans="1:16" s="15" customFormat="1" ht="11.1" customHeight="1" outlineLevel="1" x14ac:dyDescent="0.2">
      <c r="A379" s="409"/>
      <c r="B379" s="76" t="s">
        <v>11</v>
      </c>
      <c r="C379" s="82" t="s">
        <v>78</v>
      </c>
      <c r="D379" s="410"/>
      <c r="E379" s="410"/>
      <c r="F379" s="79" t="s">
        <v>7</v>
      </c>
      <c r="G379" s="373">
        <v>2060809</v>
      </c>
      <c r="H379" s="373">
        <f>ROUNDUP(695821+M379,0)</f>
        <v>1306340</v>
      </c>
      <c r="I379" s="81">
        <f t="shared" si="163"/>
        <v>63.389668814528669</v>
      </c>
      <c r="J379" s="138">
        <v>625124</v>
      </c>
      <c r="K379" s="138">
        <f t="shared" si="166"/>
        <v>67851</v>
      </c>
      <c r="L379" s="138">
        <v>692975</v>
      </c>
      <c r="M379" s="80">
        <v>610518.12</v>
      </c>
      <c r="N379" s="81">
        <f t="shared" si="164"/>
        <v>88.101031061726616</v>
      </c>
      <c r="O379" s="423"/>
    </row>
    <row r="380" spans="1:16" s="15" customFormat="1" ht="11.1" customHeight="1" outlineLevel="1" x14ac:dyDescent="0.2">
      <c r="A380" s="205"/>
      <c r="B380" s="76" t="s">
        <v>12</v>
      </c>
      <c r="C380" s="82" t="s">
        <v>285</v>
      </c>
      <c r="D380" s="108"/>
      <c r="E380" s="108"/>
      <c r="F380" s="79" t="s">
        <v>8</v>
      </c>
      <c r="G380" s="373">
        <v>0</v>
      </c>
      <c r="H380" s="178">
        <f t="shared" si="165"/>
        <v>0</v>
      </c>
      <c r="I380" s="81" t="str">
        <f t="shared" si="163"/>
        <v>-</v>
      </c>
      <c r="J380" s="138">
        <v>0</v>
      </c>
      <c r="K380" s="138">
        <f t="shared" si="166"/>
        <v>0</v>
      </c>
      <c r="L380" s="138">
        <v>0</v>
      </c>
      <c r="M380" s="80">
        <v>0</v>
      </c>
      <c r="N380" s="81" t="str">
        <f t="shared" si="164"/>
        <v>-</v>
      </c>
      <c r="O380" s="423"/>
    </row>
    <row r="381" spans="1:16" s="15" customFormat="1" ht="11.1" customHeight="1" outlineLevel="1" x14ac:dyDescent="0.2">
      <c r="A381" s="205"/>
      <c r="B381" s="76" t="s">
        <v>23</v>
      </c>
      <c r="C381" s="82" t="s">
        <v>286</v>
      </c>
      <c r="D381" s="108"/>
      <c r="E381" s="108"/>
      <c r="F381" s="79" t="s">
        <v>22</v>
      </c>
      <c r="G381" s="373">
        <v>363672</v>
      </c>
      <c r="H381" s="373">
        <f>ROUNDUP(122792+M381,0)</f>
        <v>230531</v>
      </c>
      <c r="I381" s="81">
        <f t="shared" si="163"/>
        <v>63.389812798345758</v>
      </c>
      <c r="J381" s="138">
        <v>110316</v>
      </c>
      <c r="K381" s="138">
        <f t="shared" si="166"/>
        <v>11974</v>
      </c>
      <c r="L381" s="138">
        <v>122290</v>
      </c>
      <c r="M381" s="80">
        <v>107738.49</v>
      </c>
      <c r="N381" s="81">
        <f>IF(L381&gt;0,M381/L381*100,"-")</f>
        <v>88.100817728350648</v>
      </c>
      <c r="O381" s="423"/>
    </row>
    <row r="382" spans="1:16" s="15" customFormat="1" ht="11.1" customHeight="1" outlineLevel="1" x14ac:dyDescent="0.2">
      <c r="A382" s="205"/>
      <c r="B382" s="76"/>
      <c r="C382" s="82" t="s">
        <v>287</v>
      </c>
      <c r="D382" s="108"/>
      <c r="E382" s="108"/>
      <c r="F382" s="79" t="s">
        <v>45</v>
      </c>
      <c r="G382" s="373">
        <v>0</v>
      </c>
      <c r="H382" s="178">
        <f t="shared" si="165"/>
        <v>0</v>
      </c>
      <c r="I382" s="166" t="str">
        <f t="shared" si="163"/>
        <v>-</v>
      </c>
      <c r="J382" s="138">
        <v>0</v>
      </c>
      <c r="K382" s="138">
        <f t="shared" si="166"/>
        <v>0</v>
      </c>
      <c r="L382" s="138">
        <v>0</v>
      </c>
      <c r="M382" s="80">
        <v>0</v>
      </c>
      <c r="N382" s="81" t="str">
        <f>IF(L382&gt;0,M382/L382*100,"-")</f>
        <v>-</v>
      </c>
      <c r="O382" s="423"/>
    </row>
    <row r="383" spans="1:16" s="15" customFormat="1" ht="11.1" customHeight="1" outlineLevel="1" x14ac:dyDescent="0.2">
      <c r="A383" s="205"/>
      <c r="B383" s="76"/>
      <c r="C383" s="82"/>
      <c r="D383" s="108"/>
      <c r="E383" s="108"/>
      <c r="F383" s="79" t="s">
        <v>359</v>
      </c>
      <c r="G383" s="373">
        <v>0</v>
      </c>
      <c r="H383" s="178">
        <f t="shared" si="165"/>
        <v>0</v>
      </c>
      <c r="I383" s="166" t="str">
        <f t="shared" si="163"/>
        <v>-</v>
      </c>
      <c r="J383" s="138">
        <v>0</v>
      </c>
      <c r="K383" s="138">
        <f t="shared" si="166"/>
        <v>0</v>
      </c>
      <c r="L383" s="138">
        <v>0</v>
      </c>
      <c r="M383" s="80">
        <v>0</v>
      </c>
      <c r="N383" s="81" t="str">
        <f>IF(L383&gt;0,M383/L383*100,"-")</f>
        <v>-</v>
      </c>
      <c r="O383" s="423"/>
    </row>
    <row r="384" spans="1:16" s="15" customFormat="1" ht="3.95" customHeight="1" outlineLevel="1" x14ac:dyDescent="0.2">
      <c r="A384" s="219"/>
      <c r="B384" s="85"/>
      <c r="C384" s="86"/>
      <c r="D384" s="180"/>
      <c r="E384" s="180"/>
      <c r="F384" s="204"/>
      <c r="G384" s="374"/>
      <c r="H384" s="374"/>
      <c r="I384" s="175"/>
      <c r="J384" s="167"/>
      <c r="K384" s="167"/>
      <c r="L384" s="140"/>
      <c r="M384" s="163"/>
      <c r="N384" s="88"/>
      <c r="O384" s="327"/>
    </row>
    <row r="385" spans="1:15" s="15" customFormat="1" ht="3.95" customHeight="1" outlineLevel="1" x14ac:dyDescent="0.2">
      <c r="A385" s="197"/>
      <c r="B385" s="72"/>
      <c r="C385" s="73"/>
      <c r="D385" s="179"/>
      <c r="E385" s="179"/>
      <c r="F385" s="224"/>
      <c r="G385" s="375"/>
      <c r="H385" s="375"/>
      <c r="I385" s="225"/>
      <c r="J385" s="222"/>
      <c r="K385" s="222"/>
      <c r="L385" s="135"/>
      <c r="M385" s="218"/>
      <c r="N385" s="75"/>
      <c r="O385" s="326"/>
    </row>
    <row r="386" spans="1:15" s="15" customFormat="1" ht="11.1" customHeight="1" outlineLevel="1" x14ac:dyDescent="0.2">
      <c r="A386" s="409" t="s">
        <v>479</v>
      </c>
      <c r="B386" s="76" t="s">
        <v>9</v>
      </c>
      <c r="C386" s="148" t="s">
        <v>55</v>
      </c>
      <c r="D386" s="410" t="s">
        <v>291</v>
      </c>
      <c r="E386" s="410" t="s">
        <v>54</v>
      </c>
      <c r="F386" s="78" t="s">
        <v>157</v>
      </c>
      <c r="G386" s="377">
        <f>SUM(G387:G392)</f>
        <v>594520</v>
      </c>
      <c r="H386" s="377">
        <f>SUM(H387:H392)</f>
        <v>577294</v>
      </c>
      <c r="I386" s="39">
        <f t="shared" ref="I386:I392" si="167">IF(G386&gt;0,H386/G386*100,"-")</f>
        <v>97.102536500033636</v>
      </c>
      <c r="J386" s="164">
        <f>SUM(J387:J392)</f>
        <v>225550</v>
      </c>
      <c r="K386" s="164">
        <f>SUM(K387:K392)</f>
        <v>68093</v>
      </c>
      <c r="L386" s="164">
        <f>SUM(L387:L392)</f>
        <v>293643</v>
      </c>
      <c r="M386" s="38">
        <f>SUM(M387:M392)</f>
        <v>276415.82</v>
      </c>
      <c r="N386" s="39">
        <f t="shared" ref="N386:N389" si="168">IF(L386&gt;0,M386/L386*100,"-")</f>
        <v>94.133291105185549</v>
      </c>
      <c r="O386" s="422" t="s">
        <v>632</v>
      </c>
    </row>
    <row r="387" spans="1:15" s="15" customFormat="1" ht="11.1" customHeight="1" outlineLevel="1" x14ac:dyDescent="0.2">
      <c r="A387" s="409"/>
      <c r="B387" s="76" t="s">
        <v>10</v>
      </c>
      <c r="C387" s="148" t="s">
        <v>75</v>
      </c>
      <c r="D387" s="410"/>
      <c r="E387" s="410"/>
      <c r="F387" s="79" t="s">
        <v>15</v>
      </c>
      <c r="G387" s="373">
        <v>0</v>
      </c>
      <c r="H387" s="178">
        <f t="shared" ref="H387:H392" si="169">ROUNDUP(0+M387,0)</f>
        <v>0</v>
      </c>
      <c r="I387" s="81" t="str">
        <f t="shared" si="167"/>
        <v>-</v>
      </c>
      <c r="J387" s="138">
        <v>0</v>
      </c>
      <c r="K387" s="138">
        <f t="shared" ref="K387:K392" si="170">L387-J387</f>
        <v>0</v>
      </c>
      <c r="L387" s="138">
        <v>0</v>
      </c>
      <c r="M387" s="80">
        <v>0</v>
      </c>
      <c r="N387" s="81" t="str">
        <f t="shared" si="168"/>
        <v>-</v>
      </c>
      <c r="O387" s="423"/>
    </row>
    <row r="388" spans="1:15" s="15" customFormat="1" ht="11.1" customHeight="1" outlineLevel="1" x14ac:dyDescent="0.2">
      <c r="A388" s="409"/>
      <c r="B388" s="76" t="s">
        <v>11</v>
      </c>
      <c r="C388" s="82" t="s">
        <v>78</v>
      </c>
      <c r="D388" s="410"/>
      <c r="E388" s="410"/>
      <c r="F388" s="79" t="s">
        <v>7</v>
      </c>
      <c r="G388" s="373">
        <v>581564</v>
      </c>
      <c r="H388" s="373">
        <f>ROUNDUP(296265+M388,0)</f>
        <v>564618</v>
      </c>
      <c r="I388" s="81">
        <f t="shared" si="167"/>
        <v>97.086133254465551</v>
      </c>
      <c r="J388" s="138">
        <v>218784</v>
      </c>
      <c r="K388" s="138">
        <f t="shared" si="170"/>
        <v>66515</v>
      </c>
      <c r="L388" s="138">
        <v>285299</v>
      </c>
      <c r="M388" s="80">
        <v>268352.48</v>
      </c>
      <c r="N388" s="81">
        <f t="shared" si="168"/>
        <v>94.060084332577404</v>
      </c>
      <c r="O388" s="423"/>
    </row>
    <row r="389" spans="1:15" s="15" customFormat="1" ht="11.1" customHeight="1" outlineLevel="1" x14ac:dyDescent="0.2">
      <c r="A389" s="205"/>
      <c r="B389" s="76" t="s">
        <v>12</v>
      </c>
      <c r="C389" s="82" t="s">
        <v>288</v>
      </c>
      <c r="D389" s="108"/>
      <c r="E389" s="108"/>
      <c r="F389" s="79" t="s">
        <v>8</v>
      </c>
      <c r="G389" s="165">
        <v>0</v>
      </c>
      <c r="H389" s="138">
        <f t="shared" si="169"/>
        <v>0</v>
      </c>
      <c r="I389" s="81" t="str">
        <f t="shared" si="167"/>
        <v>-</v>
      </c>
      <c r="J389" s="138">
        <v>0</v>
      </c>
      <c r="K389" s="138">
        <f t="shared" si="170"/>
        <v>0</v>
      </c>
      <c r="L389" s="138">
        <v>0</v>
      </c>
      <c r="M389" s="80">
        <v>0</v>
      </c>
      <c r="N389" s="81" t="str">
        <f t="shared" si="168"/>
        <v>-</v>
      </c>
      <c r="O389" s="423"/>
    </row>
    <row r="390" spans="1:15" s="15" customFormat="1" ht="11.1" customHeight="1" outlineLevel="1" x14ac:dyDescent="0.2">
      <c r="A390" s="205"/>
      <c r="B390" s="76" t="s">
        <v>23</v>
      </c>
      <c r="C390" s="82" t="s">
        <v>289</v>
      </c>
      <c r="D390" s="108"/>
      <c r="E390" s="108"/>
      <c r="F390" s="79" t="s">
        <v>22</v>
      </c>
      <c r="G390" s="165">
        <v>12956</v>
      </c>
      <c r="H390" s="165">
        <f>ROUNDUP(4612+M390,0)</f>
        <v>12676</v>
      </c>
      <c r="I390" s="81">
        <f t="shared" si="167"/>
        <v>97.838839147885153</v>
      </c>
      <c r="J390" s="138">
        <v>6766</v>
      </c>
      <c r="K390" s="138">
        <f t="shared" si="170"/>
        <v>1578</v>
      </c>
      <c r="L390" s="138">
        <v>8344</v>
      </c>
      <c r="M390" s="80">
        <v>8063.34</v>
      </c>
      <c r="N390" s="81">
        <f>IF(L390&gt;0,M390/L390*100,"-")</f>
        <v>96.636385426653888</v>
      </c>
      <c r="O390" s="423"/>
    </row>
    <row r="391" spans="1:15" s="15" customFormat="1" ht="11.1" customHeight="1" outlineLevel="1" x14ac:dyDescent="0.2">
      <c r="A391" s="205"/>
      <c r="B391" s="76"/>
      <c r="C391" s="82" t="s">
        <v>290</v>
      </c>
      <c r="D391" s="108"/>
      <c r="E391" s="108"/>
      <c r="F391" s="79" t="s">
        <v>45</v>
      </c>
      <c r="G391" s="165">
        <v>0</v>
      </c>
      <c r="H391" s="138">
        <f t="shared" si="169"/>
        <v>0</v>
      </c>
      <c r="I391" s="166" t="str">
        <f t="shared" si="167"/>
        <v>-</v>
      </c>
      <c r="J391" s="138">
        <v>0</v>
      </c>
      <c r="K391" s="138">
        <f t="shared" si="170"/>
        <v>0</v>
      </c>
      <c r="L391" s="138">
        <v>0</v>
      </c>
      <c r="M391" s="80">
        <v>0</v>
      </c>
      <c r="N391" s="81" t="str">
        <f>IF(L391&gt;0,M391/L391*100,"-")</f>
        <v>-</v>
      </c>
      <c r="O391" s="423"/>
    </row>
    <row r="392" spans="1:15" s="15" customFormat="1" ht="11.1" customHeight="1" outlineLevel="1" x14ac:dyDescent="0.2">
      <c r="A392" s="205"/>
      <c r="B392" s="76"/>
      <c r="C392" s="82"/>
      <c r="D392" s="108"/>
      <c r="E392" s="108"/>
      <c r="F392" s="79" t="s">
        <v>359</v>
      </c>
      <c r="G392" s="165">
        <v>0</v>
      </c>
      <c r="H392" s="138">
        <f t="shared" si="169"/>
        <v>0</v>
      </c>
      <c r="I392" s="166" t="str">
        <f t="shared" si="167"/>
        <v>-</v>
      </c>
      <c r="J392" s="138">
        <v>0</v>
      </c>
      <c r="K392" s="138">
        <f t="shared" si="170"/>
        <v>0</v>
      </c>
      <c r="L392" s="138">
        <v>0</v>
      </c>
      <c r="M392" s="80">
        <v>0</v>
      </c>
      <c r="N392" s="81" t="str">
        <f>IF(L392&gt;0,M392/L392*100,"-")</f>
        <v>-</v>
      </c>
      <c r="O392" s="423"/>
    </row>
    <row r="393" spans="1:15" s="15" customFormat="1" ht="3.95" customHeight="1" outlineLevel="1" x14ac:dyDescent="0.2">
      <c r="A393" s="219"/>
      <c r="B393" s="85"/>
      <c r="C393" s="86"/>
      <c r="D393" s="180"/>
      <c r="E393" s="180"/>
      <c r="F393" s="204"/>
      <c r="G393" s="167"/>
      <c r="H393" s="167"/>
      <c r="I393" s="175"/>
      <c r="J393" s="167"/>
      <c r="K393" s="167"/>
      <c r="L393" s="140"/>
      <c r="M393" s="163"/>
      <c r="N393" s="88"/>
      <c r="O393" s="327"/>
    </row>
    <row r="394" spans="1:15" s="15" customFormat="1" ht="3.95" customHeight="1" outlineLevel="1" x14ac:dyDescent="0.2">
      <c r="A394" s="185"/>
      <c r="B394" s="72"/>
      <c r="C394" s="73"/>
      <c r="D394" s="179"/>
      <c r="E394" s="221"/>
      <c r="F394" s="224"/>
      <c r="G394" s="222"/>
      <c r="H394" s="222"/>
      <c r="I394" s="75"/>
      <c r="J394" s="222"/>
      <c r="K394" s="222"/>
      <c r="L394" s="135"/>
      <c r="M394" s="218"/>
      <c r="N394" s="75"/>
      <c r="O394" s="326"/>
    </row>
    <row r="395" spans="1:15" s="15" customFormat="1" ht="11.1" customHeight="1" outlineLevel="1" x14ac:dyDescent="0.2">
      <c r="A395" s="424" t="s">
        <v>480</v>
      </c>
      <c r="B395" s="76" t="s">
        <v>9</v>
      </c>
      <c r="C395" s="148" t="s">
        <v>55</v>
      </c>
      <c r="D395" s="410" t="s">
        <v>389</v>
      </c>
      <c r="E395" s="410" t="s">
        <v>54</v>
      </c>
      <c r="F395" s="78" t="s">
        <v>157</v>
      </c>
      <c r="G395" s="164">
        <f>SUM(G396:G401)</f>
        <v>600122</v>
      </c>
      <c r="H395" s="164">
        <f>SUM(H396:H401)</f>
        <v>244379</v>
      </c>
      <c r="I395" s="39">
        <f t="shared" ref="I395:I401" si="171">IF(G395&gt;0,H395/G395*100,"-")</f>
        <v>40.721553284165552</v>
      </c>
      <c r="J395" s="164">
        <f>SUM(J396:J401)</f>
        <v>0</v>
      </c>
      <c r="K395" s="164">
        <f>SUM(K396:K401)</f>
        <v>265584</v>
      </c>
      <c r="L395" s="164">
        <f>SUM(L396:L401)</f>
        <v>265584</v>
      </c>
      <c r="M395" s="38">
        <f>SUM(M396:M401)</f>
        <v>244378.58000000002</v>
      </c>
      <c r="N395" s="39">
        <f t="shared" ref="N395:N398" si="172">IF(L395&gt;0,M395/L395*100,"-")</f>
        <v>92.015550635580468</v>
      </c>
      <c r="O395" s="422" t="s">
        <v>631</v>
      </c>
    </row>
    <row r="396" spans="1:15" s="15" customFormat="1" ht="11.1" customHeight="1" outlineLevel="1" x14ac:dyDescent="0.2">
      <c r="A396" s="424"/>
      <c r="B396" s="76" t="s">
        <v>10</v>
      </c>
      <c r="C396" s="148" t="s">
        <v>75</v>
      </c>
      <c r="D396" s="410"/>
      <c r="E396" s="410"/>
      <c r="F396" s="79" t="s">
        <v>15</v>
      </c>
      <c r="G396" s="165">
        <v>0</v>
      </c>
      <c r="H396" s="138">
        <f t="shared" ref="H396:H401" si="173">ROUNDUP(0+M396,0)</f>
        <v>0</v>
      </c>
      <c r="I396" s="81" t="str">
        <f t="shared" si="171"/>
        <v>-</v>
      </c>
      <c r="J396" s="138">
        <v>0</v>
      </c>
      <c r="K396" s="138">
        <f t="shared" ref="K396:K401" si="174">L396-J396</f>
        <v>0</v>
      </c>
      <c r="L396" s="138">
        <v>0</v>
      </c>
      <c r="M396" s="80">
        <v>0</v>
      </c>
      <c r="N396" s="81" t="str">
        <f t="shared" si="172"/>
        <v>-</v>
      </c>
      <c r="O396" s="423"/>
    </row>
    <row r="397" spans="1:15" s="15" customFormat="1" ht="11.1" customHeight="1" outlineLevel="1" x14ac:dyDescent="0.2">
      <c r="A397" s="424"/>
      <c r="B397" s="76" t="s">
        <v>11</v>
      </c>
      <c r="C397" s="82" t="s">
        <v>78</v>
      </c>
      <c r="D397" s="410"/>
      <c r="E397" s="410"/>
      <c r="F397" s="79" t="s">
        <v>7</v>
      </c>
      <c r="G397" s="165">
        <v>585460</v>
      </c>
      <c r="H397" s="138">
        <f t="shared" si="173"/>
        <v>238408</v>
      </c>
      <c r="I397" s="81">
        <f t="shared" si="171"/>
        <v>40.721483961329554</v>
      </c>
      <c r="J397" s="138">
        <v>0</v>
      </c>
      <c r="K397" s="138">
        <f t="shared" si="174"/>
        <v>259095</v>
      </c>
      <c r="L397" s="138">
        <v>259095</v>
      </c>
      <c r="M397" s="83">
        <v>238407.92</v>
      </c>
      <c r="N397" s="81">
        <f t="shared" si="172"/>
        <v>92.015639051313229</v>
      </c>
      <c r="O397" s="423"/>
    </row>
    <row r="398" spans="1:15" s="15" customFormat="1" ht="11.1" customHeight="1" outlineLevel="1" x14ac:dyDescent="0.2">
      <c r="A398" s="117"/>
      <c r="B398" s="76" t="s">
        <v>12</v>
      </c>
      <c r="C398" s="82" t="s">
        <v>526</v>
      </c>
      <c r="D398" s="108"/>
      <c r="E398" s="182"/>
      <c r="F398" s="79" t="s">
        <v>8</v>
      </c>
      <c r="G398" s="165">
        <v>0</v>
      </c>
      <c r="H398" s="138">
        <f t="shared" si="173"/>
        <v>0</v>
      </c>
      <c r="I398" s="81" t="str">
        <f t="shared" si="171"/>
        <v>-</v>
      </c>
      <c r="J398" s="138">
        <v>0</v>
      </c>
      <c r="K398" s="138">
        <f t="shared" si="174"/>
        <v>0</v>
      </c>
      <c r="L398" s="138">
        <v>0</v>
      </c>
      <c r="M398" s="83">
        <v>0</v>
      </c>
      <c r="N398" s="81" t="str">
        <f t="shared" si="172"/>
        <v>-</v>
      </c>
      <c r="O398" s="423"/>
    </row>
    <row r="399" spans="1:15" s="15" customFormat="1" ht="11.1" customHeight="1" outlineLevel="1" x14ac:dyDescent="0.2">
      <c r="A399" s="117"/>
      <c r="B399" s="76" t="s">
        <v>23</v>
      </c>
      <c r="C399" s="82" t="s">
        <v>527</v>
      </c>
      <c r="D399" s="108"/>
      <c r="E399" s="182"/>
      <c r="F399" s="79" t="s">
        <v>22</v>
      </c>
      <c r="G399" s="165">
        <v>14662</v>
      </c>
      <c r="H399" s="138">
        <f t="shared" si="173"/>
        <v>5971</v>
      </c>
      <c r="I399" s="81">
        <f t="shared" si="171"/>
        <v>40.724321374982949</v>
      </c>
      <c r="J399" s="138">
        <v>0</v>
      </c>
      <c r="K399" s="138">
        <f t="shared" si="174"/>
        <v>6489</v>
      </c>
      <c r="L399" s="138">
        <v>6489</v>
      </c>
      <c r="M399" s="83">
        <v>5970.66</v>
      </c>
      <c r="N399" s="81">
        <f>IF(L399&gt;0,M399/L399*100,"-")</f>
        <v>92.012020342117424</v>
      </c>
      <c r="O399" s="423"/>
    </row>
    <row r="400" spans="1:15" s="15" customFormat="1" ht="11.1" customHeight="1" outlineLevel="1" x14ac:dyDescent="0.2">
      <c r="A400" s="117"/>
      <c r="B400" s="76"/>
      <c r="C400" s="82" t="s">
        <v>528</v>
      </c>
      <c r="D400" s="108"/>
      <c r="E400" s="182"/>
      <c r="F400" s="79" t="s">
        <v>45</v>
      </c>
      <c r="G400" s="165">
        <v>0</v>
      </c>
      <c r="H400" s="138">
        <f t="shared" si="173"/>
        <v>0</v>
      </c>
      <c r="I400" s="81" t="str">
        <f t="shared" si="171"/>
        <v>-</v>
      </c>
      <c r="J400" s="138">
        <v>0</v>
      </c>
      <c r="K400" s="138">
        <f t="shared" si="174"/>
        <v>0</v>
      </c>
      <c r="L400" s="138">
        <v>0</v>
      </c>
      <c r="M400" s="80">
        <v>0</v>
      </c>
      <c r="N400" s="81" t="str">
        <f>IF(L400&gt;0,M400/L400*100,"-")</f>
        <v>-</v>
      </c>
      <c r="O400" s="423"/>
    </row>
    <row r="401" spans="1:15" s="15" customFormat="1" ht="11.1" customHeight="1" outlineLevel="1" x14ac:dyDescent="0.2">
      <c r="A401" s="117"/>
      <c r="B401" s="76"/>
      <c r="C401" s="82"/>
      <c r="D401" s="108"/>
      <c r="E401" s="182"/>
      <c r="F401" s="79" t="s">
        <v>359</v>
      </c>
      <c r="G401" s="165">
        <v>0</v>
      </c>
      <c r="H401" s="138">
        <f t="shared" si="173"/>
        <v>0</v>
      </c>
      <c r="I401" s="81" t="str">
        <f t="shared" si="171"/>
        <v>-</v>
      </c>
      <c r="J401" s="138">
        <v>0</v>
      </c>
      <c r="K401" s="138">
        <f t="shared" si="174"/>
        <v>0</v>
      </c>
      <c r="L401" s="138">
        <v>0</v>
      </c>
      <c r="M401" s="80">
        <v>0</v>
      </c>
      <c r="N401" s="81" t="str">
        <f t="shared" ref="N401" si="175">IF(L401&gt;0,M401/L401*100,"-")</f>
        <v>-</v>
      </c>
      <c r="O401" s="423"/>
    </row>
    <row r="402" spans="1:15" s="15" customFormat="1" ht="3.95" customHeight="1" outlineLevel="1" x14ac:dyDescent="0.2">
      <c r="A402" s="157"/>
      <c r="B402" s="85"/>
      <c r="C402" s="86"/>
      <c r="D402" s="180"/>
      <c r="E402" s="181"/>
      <c r="F402" s="204"/>
      <c r="G402" s="167"/>
      <c r="H402" s="167"/>
      <c r="I402" s="88"/>
      <c r="J402" s="167"/>
      <c r="K402" s="167"/>
      <c r="L402" s="140"/>
      <c r="M402" s="163"/>
      <c r="N402" s="88"/>
      <c r="O402" s="327"/>
    </row>
    <row r="403" spans="1:15" s="15" customFormat="1" ht="3.95" customHeight="1" outlineLevel="1" x14ac:dyDescent="0.2">
      <c r="A403" s="185"/>
      <c r="B403" s="72"/>
      <c r="C403" s="73"/>
      <c r="D403" s="179"/>
      <c r="E403" s="221"/>
      <c r="F403" s="224"/>
      <c r="G403" s="222"/>
      <c r="H403" s="222"/>
      <c r="I403" s="75"/>
      <c r="J403" s="222"/>
      <c r="K403" s="222"/>
      <c r="L403" s="135"/>
      <c r="M403" s="218"/>
      <c r="N403" s="75"/>
      <c r="O403" s="326"/>
    </row>
    <row r="404" spans="1:15" s="15" customFormat="1" ht="11.1" customHeight="1" outlineLevel="1" x14ac:dyDescent="0.2">
      <c r="A404" s="424" t="s">
        <v>481</v>
      </c>
      <c r="B404" s="76" t="s">
        <v>9</v>
      </c>
      <c r="C404" s="148" t="s">
        <v>55</v>
      </c>
      <c r="D404" s="410" t="s">
        <v>389</v>
      </c>
      <c r="E404" s="410" t="s">
        <v>54</v>
      </c>
      <c r="F404" s="78" t="s">
        <v>157</v>
      </c>
      <c r="G404" s="164">
        <f>SUM(G405:G410)</f>
        <v>832543</v>
      </c>
      <c r="H404" s="164">
        <f>SUM(H405:H410)</f>
        <v>346292</v>
      </c>
      <c r="I404" s="39">
        <f t="shared" ref="I404:I410" si="176">IF(G404&gt;0,H404/G404*100,"-")</f>
        <v>41.594488212620853</v>
      </c>
      <c r="J404" s="164">
        <f>SUM(J405:J410)</f>
        <v>0</v>
      </c>
      <c r="K404" s="164">
        <f>SUM(K405:K410)</f>
        <v>439345</v>
      </c>
      <c r="L404" s="164">
        <f>SUM(L405:L410)</f>
        <v>439345</v>
      </c>
      <c r="M404" s="38">
        <f>SUM(M405:M410)</f>
        <v>346290.58</v>
      </c>
      <c r="N404" s="39">
        <f t="shared" ref="N404:N407" si="177">IF(L404&gt;0,M404/L404*100,"-")</f>
        <v>78.819738474319735</v>
      </c>
      <c r="O404" s="422" t="s">
        <v>631</v>
      </c>
    </row>
    <row r="405" spans="1:15" s="15" customFormat="1" ht="11.1" customHeight="1" outlineLevel="1" x14ac:dyDescent="0.2">
      <c r="A405" s="424"/>
      <c r="B405" s="76" t="s">
        <v>10</v>
      </c>
      <c r="C405" s="148" t="s">
        <v>75</v>
      </c>
      <c r="D405" s="410"/>
      <c r="E405" s="410"/>
      <c r="F405" s="79" t="s">
        <v>15</v>
      </c>
      <c r="G405" s="165">
        <v>0</v>
      </c>
      <c r="H405" s="138">
        <f t="shared" ref="H405:H410" si="178">ROUNDUP(0+M405,0)</f>
        <v>0</v>
      </c>
      <c r="I405" s="81" t="str">
        <f t="shared" si="176"/>
        <v>-</v>
      </c>
      <c r="J405" s="138">
        <v>0</v>
      </c>
      <c r="K405" s="138">
        <f t="shared" ref="K405:K410" si="179">L405-J405</f>
        <v>0</v>
      </c>
      <c r="L405" s="138">
        <v>0</v>
      </c>
      <c r="M405" s="80">
        <v>0</v>
      </c>
      <c r="N405" s="81" t="str">
        <f t="shared" si="177"/>
        <v>-</v>
      </c>
      <c r="O405" s="423"/>
    </row>
    <row r="406" spans="1:15" s="15" customFormat="1" ht="11.1" customHeight="1" outlineLevel="1" x14ac:dyDescent="0.2">
      <c r="A406" s="424"/>
      <c r="B406" s="76" t="s">
        <v>11</v>
      </c>
      <c r="C406" s="82" t="s">
        <v>78</v>
      </c>
      <c r="D406" s="410"/>
      <c r="E406" s="410"/>
      <c r="F406" s="79" t="s">
        <v>7</v>
      </c>
      <c r="G406" s="165">
        <v>806350</v>
      </c>
      <c r="H406" s="138">
        <f t="shared" si="178"/>
        <v>335397</v>
      </c>
      <c r="I406" s="81">
        <f t="shared" si="176"/>
        <v>41.59446890308179</v>
      </c>
      <c r="J406" s="138">
        <v>0</v>
      </c>
      <c r="K406" s="138">
        <f t="shared" si="179"/>
        <v>425523</v>
      </c>
      <c r="L406" s="138">
        <v>425523</v>
      </c>
      <c r="M406" s="83">
        <v>335396.31</v>
      </c>
      <c r="N406" s="81">
        <f t="shared" si="177"/>
        <v>78.819784124477408</v>
      </c>
      <c r="O406" s="423"/>
    </row>
    <row r="407" spans="1:15" s="15" customFormat="1" ht="11.1" customHeight="1" outlineLevel="1" x14ac:dyDescent="0.2">
      <c r="A407" s="117"/>
      <c r="B407" s="76" t="s">
        <v>12</v>
      </c>
      <c r="C407" s="82" t="s">
        <v>529</v>
      </c>
      <c r="D407" s="108"/>
      <c r="E407" s="182"/>
      <c r="F407" s="79" t="s">
        <v>8</v>
      </c>
      <c r="G407" s="165">
        <v>0</v>
      </c>
      <c r="H407" s="138">
        <f t="shared" si="178"/>
        <v>0</v>
      </c>
      <c r="I407" s="81" t="str">
        <f t="shared" si="176"/>
        <v>-</v>
      </c>
      <c r="J407" s="138">
        <v>0</v>
      </c>
      <c r="K407" s="138">
        <f t="shared" si="179"/>
        <v>0</v>
      </c>
      <c r="L407" s="138">
        <v>0</v>
      </c>
      <c r="M407" s="83">
        <v>0</v>
      </c>
      <c r="N407" s="81" t="str">
        <f t="shared" si="177"/>
        <v>-</v>
      </c>
      <c r="O407" s="423"/>
    </row>
    <row r="408" spans="1:15" s="15" customFormat="1" ht="11.1" customHeight="1" outlineLevel="1" x14ac:dyDescent="0.2">
      <c r="A408" s="117"/>
      <c r="B408" s="76" t="s">
        <v>23</v>
      </c>
      <c r="C408" s="82" t="s">
        <v>530</v>
      </c>
      <c r="D408" s="108"/>
      <c r="E408" s="182"/>
      <c r="F408" s="79" t="s">
        <v>22</v>
      </c>
      <c r="G408" s="165">
        <v>26193</v>
      </c>
      <c r="H408" s="138">
        <f t="shared" si="178"/>
        <v>10895</v>
      </c>
      <c r="I408" s="81">
        <f t="shared" si="176"/>
        <v>41.595082655671362</v>
      </c>
      <c r="J408" s="138">
        <v>0</v>
      </c>
      <c r="K408" s="138">
        <f t="shared" si="179"/>
        <v>13822</v>
      </c>
      <c r="L408" s="138">
        <v>13822</v>
      </c>
      <c r="M408" s="83">
        <v>10894.27</v>
      </c>
      <c r="N408" s="81">
        <f>IF(L408&gt;0,M408/L408*100,"-")</f>
        <v>78.818333092171898</v>
      </c>
      <c r="O408" s="423"/>
    </row>
    <row r="409" spans="1:15" s="15" customFormat="1" ht="11.1" customHeight="1" outlineLevel="1" x14ac:dyDescent="0.2">
      <c r="A409" s="117"/>
      <c r="B409" s="76"/>
      <c r="C409" s="82" t="s">
        <v>531</v>
      </c>
      <c r="D409" s="108"/>
      <c r="E409" s="182"/>
      <c r="F409" s="79" t="s">
        <v>45</v>
      </c>
      <c r="G409" s="165">
        <v>0</v>
      </c>
      <c r="H409" s="138">
        <f t="shared" si="178"/>
        <v>0</v>
      </c>
      <c r="I409" s="81" t="str">
        <f t="shared" si="176"/>
        <v>-</v>
      </c>
      <c r="J409" s="138">
        <v>0</v>
      </c>
      <c r="K409" s="138">
        <f t="shared" si="179"/>
        <v>0</v>
      </c>
      <c r="L409" s="138">
        <v>0</v>
      </c>
      <c r="M409" s="80">
        <v>0</v>
      </c>
      <c r="N409" s="81" t="str">
        <f>IF(L409&gt;0,M409/L409*100,"-")</f>
        <v>-</v>
      </c>
      <c r="O409" s="423"/>
    </row>
    <row r="410" spans="1:15" s="15" customFormat="1" ht="11.1" customHeight="1" outlineLevel="1" x14ac:dyDescent="0.2">
      <c r="A410" s="117"/>
      <c r="B410" s="76"/>
      <c r="C410" s="82"/>
      <c r="D410" s="108"/>
      <c r="E410" s="182"/>
      <c r="F410" s="79" t="s">
        <v>359</v>
      </c>
      <c r="G410" s="165">
        <v>0</v>
      </c>
      <c r="H410" s="138">
        <f t="shared" si="178"/>
        <v>0</v>
      </c>
      <c r="I410" s="81" t="str">
        <f t="shared" si="176"/>
        <v>-</v>
      </c>
      <c r="J410" s="138">
        <v>0</v>
      </c>
      <c r="K410" s="138">
        <f t="shared" si="179"/>
        <v>0</v>
      </c>
      <c r="L410" s="138">
        <v>0</v>
      </c>
      <c r="M410" s="80">
        <v>0</v>
      </c>
      <c r="N410" s="81" t="str">
        <f t="shared" ref="N410" si="180">IF(L410&gt;0,M410/L410*100,"-")</f>
        <v>-</v>
      </c>
      <c r="O410" s="423"/>
    </row>
    <row r="411" spans="1:15" s="15" customFormat="1" ht="3.95" customHeight="1" outlineLevel="1" x14ac:dyDescent="0.2">
      <c r="A411" s="157"/>
      <c r="B411" s="85"/>
      <c r="C411" s="86"/>
      <c r="D411" s="180"/>
      <c r="E411" s="181"/>
      <c r="F411" s="204"/>
      <c r="G411" s="167"/>
      <c r="H411" s="167"/>
      <c r="I411" s="88"/>
      <c r="J411" s="167"/>
      <c r="K411" s="167"/>
      <c r="L411" s="140"/>
      <c r="M411" s="163"/>
      <c r="N411" s="88"/>
      <c r="O411" s="327"/>
    </row>
    <row r="412" spans="1:15" s="15" customFormat="1" ht="3.95" customHeight="1" outlineLevel="1" x14ac:dyDescent="0.2">
      <c r="A412" s="185"/>
      <c r="B412" s="72"/>
      <c r="C412" s="73"/>
      <c r="D412" s="179"/>
      <c r="E412" s="221"/>
      <c r="F412" s="224"/>
      <c r="G412" s="222"/>
      <c r="H412" s="222"/>
      <c r="I412" s="75"/>
      <c r="J412" s="222"/>
      <c r="K412" s="222"/>
      <c r="L412" s="135"/>
      <c r="M412" s="218"/>
      <c r="N412" s="75"/>
      <c r="O412" s="326"/>
    </row>
    <row r="413" spans="1:15" s="15" customFormat="1" ht="11.1" customHeight="1" outlineLevel="1" x14ac:dyDescent="0.2">
      <c r="A413" s="424" t="s">
        <v>482</v>
      </c>
      <c r="B413" s="76" t="s">
        <v>9</v>
      </c>
      <c r="C413" s="148" t="s">
        <v>55</v>
      </c>
      <c r="D413" s="410" t="s">
        <v>279</v>
      </c>
      <c r="E413" s="410" t="s">
        <v>54</v>
      </c>
      <c r="F413" s="78" t="s">
        <v>157</v>
      </c>
      <c r="G413" s="164">
        <f>SUM(G414:G419)</f>
        <v>295951</v>
      </c>
      <c r="H413" s="164">
        <f>SUM(H414:H419)</f>
        <v>240726</v>
      </c>
      <c r="I413" s="39">
        <f t="shared" ref="I413:I419" si="181">IF(G413&gt;0,H413/G413*100,"-")</f>
        <v>81.339816388523772</v>
      </c>
      <c r="J413" s="164">
        <f>SUM(J414:J419)</f>
        <v>170915</v>
      </c>
      <c r="K413" s="164">
        <f>SUM(K414:K419)</f>
        <v>15753</v>
      </c>
      <c r="L413" s="164">
        <f>SUM(L414:L419)</f>
        <v>186668</v>
      </c>
      <c r="M413" s="38">
        <f>SUM(M414:M419)</f>
        <v>170557.53</v>
      </c>
      <c r="N413" s="39">
        <f t="shared" ref="N413:N416" si="182">IF(L413&gt;0,M413/L413*100,"-")</f>
        <v>91.369452718194864</v>
      </c>
      <c r="O413" s="422" t="s">
        <v>631</v>
      </c>
    </row>
    <row r="414" spans="1:15" s="15" customFormat="1" ht="11.1" customHeight="1" outlineLevel="1" x14ac:dyDescent="0.2">
      <c r="A414" s="424"/>
      <c r="B414" s="76" t="s">
        <v>10</v>
      </c>
      <c r="C414" s="148" t="s">
        <v>75</v>
      </c>
      <c r="D414" s="410"/>
      <c r="E414" s="410"/>
      <c r="F414" s="79" t="s">
        <v>15</v>
      </c>
      <c r="G414" s="165">
        <v>0</v>
      </c>
      <c r="H414" s="138">
        <f t="shared" ref="H414:H419" si="183">ROUNDUP(0+M414,0)</f>
        <v>0</v>
      </c>
      <c r="I414" s="81" t="str">
        <f t="shared" si="181"/>
        <v>-</v>
      </c>
      <c r="J414" s="138">
        <v>0</v>
      </c>
      <c r="K414" s="138">
        <f t="shared" ref="K414:K419" si="184">L414-J414</f>
        <v>0</v>
      </c>
      <c r="L414" s="138">
        <v>0</v>
      </c>
      <c r="M414" s="80">
        <v>0</v>
      </c>
      <c r="N414" s="81" t="str">
        <f t="shared" si="182"/>
        <v>-</v>
      </c>
      <c r="O414" s="423"/>
    </row>
    <row r="415" spans="1:15" s="15" customFormat="1" ht="11.1" customHeight="1" outlineLevel="1" x14ac:dyDescent="0.2">
      <c r="A415" s="424"/>
      <c r="B415" s="76" t="s">
        <v>11</v>
      </c>
      <c r="C415" s="82" t="s">
        <v>78</v>
      </c>
      <c r="D415" s="410"/>
      <c r="E415" s="410"/>
      <c r="F415" s="79" t="s">
        <v>7</v>
      </c>
      <c r="G415" s="165">
        <v>280732</v>
      </c>
      <c r="H415" s="165">
        <f>ROUNDUP(69711+M415,0)</f>
        <v>239159</v>
      </c>
      <c r="I415" s="81">
        <f t="shared" si="181"/>
        <v>85.19121439664876</v>
      </c>
      <c r="J415" s="138">
        <v>169799</v>
      </c>
      <c r="K415" s="138">
        <f t="shared" si="184"/>
        <v>15645</v>
      </c>
      <c r="L415" s="138">
        <v>185444</v>
      </c>
      <c r="M415" s="80">
        <v>169447.44</v>
      </c>
      <c r="N415" s="81">
        <f t="shared" si="182"/>
        <v>91.373913418606151</v>
      </c>
      <c r="O415" s="423"/>
    </row>
    <row r="416" spans="1:15" s="15" customFormat="1" ht="11.1" customHeight="1" outlineLevel="1" x14ac:dyDescent="0.2">
      <c r="A416" s="117"/>
      <c r="B416" s="76" t="s">
        <v>12</v>
      </c>
      <c r="C416" s="82" t="s">
        <v>436</v>
      </c>
      <c r="D416" s="108"/>
      <c r="E416" s="182"/>
      <c r="F416" s="79" t="s">
        <v>8</v>
      </c>
      <c r="G416" s="165">
        <v>0</v>
      </c>
      <c r="H416" s="138">
        <f t="shared" si="183"/>
        <v>0</v>
      </c>
      <c r="I416" s="81" t="str">
        <f t="shared" si="181"/>
        <v>-</v>
      </c>
      <c r="J416" s="138">
        <v>0</v>
      </c>
      <c r="K416" s="138">
        <f t="shared" si="184"/>
        <v>0</v>
      </c>
      <c r="L416" s="138">
        <v>0</v>
      </c>
      <c r="M416" s="80">
        <v>0</v>
      </c>
      <c r="N416" s="81" t="str">
        <f t="shared" si="182"/>
        <v>-</v>
      </c>
      <c r="O416" s="423"/>
    </row>
    <row r="417" spans="1:16" s="15" customFormat="1" ht="11.1" customHeight="1" outlineLevel="1" x14ac:dyDescent="0.2">
      <c r="A417" s="117"/>
      <c r="B417" s="76"/>
      <c r="C417" s="82" t="s">
        <v>320</v>
      </c>
      <c r="D417" s="108"/>
      <c r="E417" s="182"/>
      <c r="F417" s="79" t="s">
        <v>22</v>
      </c>
      <c r="G417" s="165">
        <v>15219</v>
      </c>
      <c r="H417" s="165">
        <f>ROUNDUP(456+M417,0)</f>
        <v>1567</v>
      </c>
      <c r="I417" s="81">
        <f t="shared" si="181"/>
        <v>10.296340101189303</v>
      </c>
      <c r="J417" s="138">
        <v>1116</v>
      </c>
      <c r="K417" s="138">
        <f t="shared" si="184"/>
        <v>108</v>
      </c>
      <c r="L417" s="138">
        <v>1224</v>
      </c>
      <c r="M417" s="80">
        <v>1110.0899999999999</v>
      </c>
      <c r="N417" s="81">
        <f>IF(L417&gt;0,M417/L417*100,"-")</f>
        <v>90.693627450980387</v>
      </c>
      <c r="O417" s="423"/>
    </row>
    <row r="418" spans="1:16" s="15" customFormat="1" ht="11.1" customHeight="1" outlineLevel="1" x14ac:dyDescent="0.2">
      <c r="A418" s="117"/>
      <c r="B418" s="76" t="s">
        <v>23</v>
      </c>
      <c r="C418" s="82" t="s">
        <v>532</v>
      </c>
      <c r="D418" s="108"/>
      <c r="E418" s="182"/>
      <c r="F418" s="79" t="s">
        <v>45</v>
      </c>
      <c r="G418" s="165">
        <v>0</v>
      </c>
      <c r="H418" s="138">
        <f t="shared" si="183"/>
        <v>0</v>
      </c>
      <c r="I418" s="81" t="str">
        <f t="shared" si="181"/>
        <v>-</v>
      </c>
      <c r="J418" s="138">
        <v>0</v>
      </c>
      <c r="K418" s="138">
        <f t="shared" si="184"/>
        <v>0</v>
      </c>
      <c r="L418" s="138">
        <v>0</v>
      </c>
      <c r="M418" s="80">
        <v>0</v>
      </c>
      <c r="N418" s="81" t="str">
        <f>IF(L418&gt;0,M418/L418*100,"-")</f>
        <v>-</v>
      </c>
      <c r="O418" s="423"/>
    </row>
    <row r="419" spans="1:16" s="15" customFormat="1" ht="11.1" customHeight="1" outlineLevel="1" x14ac:dyDescent="0.2">
      <c r="A419" s="117"/>
      <c r="B419" s="76"/>
      <c r="C419" s="82" t="s">
        <v>533</v>
      </c>
      <c r="D419" s="108"/>
      <c r="E419" s="182"/>
      <c r="F419" s="79" t="s">
        <v>359</v>
      </c>
      <c r="G419" s="165">
        <v>0</v>
      </c>
      <c r="H419" s="138">
        <f t="shared" si="183"/>
        <v>0</v>
      </c>
      <c r="I419" s="81" t="str">
        <f t="shared" si="181"/>
        <v>-</v>
      </c>
      <c r="J419" s="138">
        <v>0</v>
      </c>
      <c r="K419" s="138">
        <f t="shared" si="184"/>
        <v>0</v>
      </c>
      <c r="L419" s="138">
        <v>0</v>
      </c>
      <c r="M419" s="80">
        <v>0</v>
      </c>
      <c r="N419" s="81" t="str">
        <f t="shared" ref="N419" si="185">IF(L419&gt;0,M419/L419*100,"-")</f>
        <v>-</v>
      </c>
      <c r="O419" s="423"/>
    </row>
    <row r="420" spans="1:16" s="15" customFormat="1" ht="3.95" customHeight="1" outlineLevel="1" x14ac:dyDescent="0.2">
      <c r="A420" s="157"/>
      <c r="B420" s="85"/>
      <c r="C420" s="86"/>
      <c r="D420" s="180"/>
      <c r="E420" s="181"/>
      <c r="F420" s="204"/>
      <c r="G420" s="167"/>
      <c r="H420" s="167"/>
      <c r="I420" s="88"/>
      <c r="J420" s="167"/>
      <c r="K420" s="167"/>
      <c r="L420" s="140"/>
      <c r="M420" s="163"/>
      <c r="N420" s="88"/>
      <c r="O420" s="327"/>
    </row>
    <row r="421" spans="1:16" s="15" customFormat="1" ht="3.95" customHeight="1" outlineLevel="1" x14ac:dyDescent="0.2">
      <c r="A421" s="72"/>
      <c r="B421" s="72"/>
      <c r="C421" s="73"/>
      <c r="D421" s="179"/>
      <c r="E421" s="179"/>
      <c r="F421" s="224"/>
      <c r="G421" s="222"/>
      <c r="H421" s="222"/>
      <c r="I421" s="223"/>
      <c r="J421" s="222"/>
      <c r="K421" s="222"/>
      <c r="L421" s="135"/>
      <c r="M421" s="229"/>
      <c r="N421" s="75"/>
      <c r="O421" s="326"/>
      <c r="P421" s="169"/>
    </row>
    <row r="422" spans="1:16" s="15" customFormat="1" ht="11.1" customHeight="1" outlineLevel="1" x14ac:dyDescent="0.2">
      <c r="A422" s="424" t="s">
        <v>483</v>
      </c>
      <c r="B422" s="76" t="s">
        <v>9</v>
      </c>
      <c r="C422" s="148" t="s">
        <v>55</v>
      </c>
      <c r="D422" s="410" t="s">
        <v>182</v>
      </c>
      <c r="E422" s="410" t="s">
        <v>54</v>
      </c>
      <c r="F422" s="78" t="s">
        <v>157</v>
      </c>
      <c r="G422" s="171">
        <f>SUM(G423:G428)</f>
        <v>366964</v>
      </c>
      <c r="H422" s="171">
        <f>SUM(H423:H428)</f>
        <v>359586</v>
      </c>
      <c r="I422" s="39">
        <f t="shared" ref="I422:I428" si="186">IF(G422&gt;0,H422/G422*100,"-")</f>
        <v>97.98944855626165</v>
      </c>
      <c r="J422" s="171">
        <f>SUM(J423:J428)</f>
        <v>27655</v>
      </c>
      <c r="K422" s="171">
        <f>SUM(K423:K428)</f>
        <v>12026</v>
      </c>
      <c r="L422" s="171">
        <f>SUM(L423:L428)</f>
        <v>39681</v>
      </c>
      <c r="M422" s="172">
        <f>SUM(M423:M428)</f>
        <v>32302.21</v>
      </c>
      <c r="N422" s="39">
        <f t="shared" ref="N422:N428" si="187">IF(L422&gt;0,M422/L422*100,"-")</f>
        <v>81.404727703434887</v>
      </c>
      <c r="O422" s="422" t="s">
        <v>633</v>
      </c>
      <c r="P422" s="169"/>
    </row>
    <row r="423" spans="1:16" s="15" customFormat="1" ht="11.1" customHeight="1" outlineLevel="1" x14ac:dyDescent="0.2">
      <c r="A423" s="424"/>
      <c r="B423" s="76" t="s">
        <v>10</v>
      </c>
      <c r="C423" s="148" t="s">
        <v>75</v>
      </c>
      <c r="D423" s="410"/>
      <c r="E423" s="410"/>
      <c r="F423" s="79" t="s">
        <v>15</v>
      </c>
      <c r="G423" s="165">
        <v>0</v>
      </c>
      <c r="H423" s="138">
        <f>ROUNDUP(0+M423,0)</f>
        <v>0</v>
      </c>
      <c r="I423" s="81" t="str">
        <f t="shared" si="186"/>
        <v>-</v>
      </c>
      <c r="J423" s="138">
        <v>0</v>
      </c>
      <c r="K423" s="138">
        <f t="shared" ref="K423:K428" si="188">L423-J423</f>
        <v>0</v>
      </c>
      <c r="L423" s="138">
        <v>0</v>
      </c>
      <c r="M423" s="80">
        <v>0</v>
      </c>
      <c r="N423" s="81" t="str">
        <f t="shared" si="187"/>
        <v>-</v>
      </c>
      <c r="O423" s="423"/>
      <c r="P423" s="169"/>
    </row>
    <row r="424" spans="1:16" s="15" customFormat="1" ht="11.1" customHeight="1" outlineLevel="1" x14ac:dyDescent="0.2">
      <c r="A424" s="424"/>
      <c r="B424" s="76" t="s">
        <v>11</v>
      </c>
      <c r="C424" s="82" t="s">
        <v>80</v>
      </c>
      <c r="D424" s="410"/>
      <c r="E424" s="410"/>
      <c r="F424" s="79" t="s">
        <v>7</v>
      </c>
      <c r="G424" s="165">
        <v>366964</v>
      </c>
      <c r="H424" s="373">
        <f>ROUNDUP(327283+M424,0)</f>
        <v>359586</v>
      </c>
      <c r="I424" s="81">
        <f t="shared" si="186"/>
        <v>97.98944855626165</v>
      </c>
      <c r="J424" s="138">
        <v>27655</v>
      </c>
      <c r="K424" s="138">
        <f t="shared" si="188"/>
        <v>12026</v>
      </c>
      <c r="L424" s="138">
        <v>39681</v>
      </c>
      <c r="M424" s="80">
        <v>32302.21</v>
      </c>
      <c r="N424" s="81">
        <f t="shared" si="187"/>
        <v>81.404727703434887</v>
      </c>
      <c r="O424" s="423"/>
      <c r="P424" s="169"/>
    </row>
    <row r="425" spans="1:16" s="15" customFormat="1" ht="11.1" customHeight="1" outlineLevel="1" x14ac:dyDescent="0.2">
      <c r="A425" s="117"/>
      <c r="B425" s="76" t="s">
        <v>12</v>
      </c>
      <c r="C425" s="82" t="s">
        <v>195</v>
      </c>
      <c r="D425" s="108"/>
      <c r="E425" s="108"/>
      <c r="F425" s="79" t="s">
        <v>8</v>
      </c>
      <c r="G425" s="165">
        <v>0</v>
      </c>
      <c r="H425" s="138">
        <f>ROUNDUP(0+M425,0)</f>
        <v>0</v>
      </c>
      <c r="I425" s="81" t="str">
        <f t="shared" si="186"/>
        <v>-</v>
      </c>
      <c r="J425" s="138">
        <v>0</v>
      </c>
      <c r="K425" s="138">
        <f t="shared" si="188"/>
        <v>0</v>
      </c>
      <c r="L425" s="138">
        <v>0</v>
      </c>
      <c r="M425" s="80">
        <v>0</v>
      </c>
      <c r="N425" s="81" t="str">
        <f t="shared" si="187"/>
        <v>-</v>
      </c>
      <c r="O425" s="423"/>
      <c r="P425" s="169"/>
    </row>
    <row r="426" spans="1:16" s="15" customFormat="1" ht="11.1" customHeight="1" outlineLevel="1" x14ac:dyDescent="0.2">
      <c r="A426" s="117"/>
      <c r="B426" s="76" t="s">
        <v>23</v>
      </c>
      <c r="C426" s="82" t="s">
        <v>183</v>
      </c>
      <c r="D426" s="108"/>
      <c r="E426" s="108"/>
      <c r="F426" s="79" t="s">
        <v>22</v>
      </c>
      <c r="G426" s="165">
        <v>0</v>
      </c>
      <c r="H426" s="138">
        <f>ROUNDUP(0+M426,0)</f>
        <v>0</v>
      </c>
      <c r="I426" s="81" t="str">
        <f t="shared" si="186"/>
        <v>-</v>
      </c>
      <c r="J426" s="138">
        <v>0</v>
      </c>
      <c r="K426" s="138">
        <f t="shared" si="188"/>
        <v>0</v>
      </c>
      <c r="L426" s="138">
        <v>0</v>
      </c>
      <c r="M426" s="80">
        <v>0</v>
      </c>
      <c r="N426" s="81" t="str">
        <f t="shared" si="187"/>
        <v>-</v>
      </c>
      <c r="O426" s="423"/>
      <c r="P426" s="169"/>
    </row>
    <row r="427" spans="1:16" s="15" customFormat="1" ht="11.1" customHeight="1" outlineLevel="1" x14ac:dyDescent="0.2">
      <c r="A427" s="117"/>
      <c r="B427" s="76"/>
      <c r="C427" s="82" t="s">
        <v>184</v>
      </c>
      <c r="D427" s="108"/>
      <c r="E427" s="108"/>
      <c r="F427" s="79" t="s">
        <v>45</v>
      </c>
      <c r="G427" s="165">
        <v>0</v>
      </c>
      <c r="H427" s="138">
        <f>ROUNDUP(0+M427,0)</f>
        <v>0</v>
      </c>
      <c r="I427" s="166" t="str">
        <f t="shared" si="186"/>
        <v>-</v>
      </c>
      <c r="J427" s="138">
        <v>0</v>
      </c>
      <c r="K427" s="138">
        <f t="shared" si="188"/>
        <v>0</v>
      </c>
      <c r="L427" s="138">
        <v>0</v>
      </c>
      <c r="M427" s="80">
        <v>0</v>
      </c>
      <c r="N427" s="81" t="str">
        <f t="shared" si="187"/>
        <v>-</v>
      </c>
      <c r="O427" s="423"/>
      <c r="P427" s="169"/>
    </row>
    <row r="428" spans="1:16" s="15" customFormat="1" ht="11.1" customHeight="1" outlineLevel="1" x14ac:dyDescent="0.2">
      <c r="A428" s="117"/>
      <c r="B428" s="76"/>
      <c r="C428" s="82"/>
      <c r="D428" s="108"/>
      <c r="E428" s="108"/>
      <c r="F428" s="79" t="s">
        <v>359</v>
      </c>
      <c r="G428" s="165">
        <v>0</v>
      </c>
      <c r="H428" s="138">
        <f>ROUNDUP(0+M428,0)</f>
        <v>0</v>
      </c>
      <c r="I428" s="166" t="str">
        <f t="shared" si="186"/>
        <v>-</v>
      </c>
      <c r="J428" s="138">
        <v>0</v>
      </c>
      <c r="K428" s="138">
        <f t="shared" si="188"/>
        <v>0</v>
      </c>
      <c r="L428" s="138">
        <v>0</v>
      </c>
      <c r="M428" s="80">
        <v>0</v>
      </c>
      <c r="N428" s="81" t="str">
        <f t="shared" si="187"/>
        <v>-</v>
      </c>
      <c r="O428" s="423"/>
      <c r="P428" s="169"/>
    </row>
    <row r="429" spans="1:16" s="15" customFormat="1" ht="3.95" customHeight="1" outlineLevel="1" x14ac:dyDescent="0.2">
      <c r="A429" s="157"/>
      <c r="B429" s="85"/>
      <c r="C429" s="174"/>
      <c r="D429" s="180"/>
      <c r="E429" s="180"/>
      <c r="F429" s="204"/>
      <c r="G429" s="167"/>
      <c r="H429" s="167"/>
      <c r="I429" s="175"/>
      <c r="J429" s="167"/>
      <c r="K429" s="167"/>
      <c r="L429" s="140"/>
      <c r="M429" s="176"/>
      <c r="N429" s="88"/>
      <c r="O429" s="325"/>
      <c r="P429" s="169"/>
    </row>
    <row r="430" spans="1:16" s="15" customFormat="1" ht="3.95" customHeight="1" outlineLevel="1" x14ac:dyDescent="0.2">
      <c r="A430" s="185"/>
      <c r="B430" s="72"/>
      <c r="C430" s="73"/>
      <c r="D430" s="179"/>
      <c r="E430" s="221"/>
      <c r="F430" s="224"/>
      <c r="G430" s="222"/>
      <c r="H430" s="222"/>
      <c r="I430" s="75"/>
      <c r="J430" s="222"/>
      <c r="K430" s="222"/>
      <c r="L430" s="135"/>
      <c r="M430" s="218"/>
      <c r="N430" s="75"/>
      <c r="O430" s="326"/>
    </row>
    <row r="431" spans="1:16" s="15" customFormat="1" ht="11.1" customHeight="1" outlineLevel="1" x14ac:dyDescent="0.2">
      <c r="A431" s="424" t="s">
        <v>484</v>
      </c>
      <c r="B431" s="76" t="s">
        <v>9</v>
      </c>
      <c r="C431" s="148" t="s">
        <v>431</v>
      </c>
      <c r="D431" s="410" t="s">
        <v>182</v>
      </c>
      <c r="E431" s="410" t="s">
        <v>198</v>
      </c>
      <c r="F431" s="78" t="s">
        <v>157</v>
      </c>
      <c r="G431" s="164">
        <f>SUM(G432:G437)</f>
        <v>88127</v>
      </c>
      <c r="H431" s="164">
        <f>SUM(H432:H437)</f>
        <v>87369</v>
      </c>
      <c r="I431" s="39">
        <f t="shared" ref="I431:I437" si="189">IF(G431&gt;0,H431/G431*100,"-")</f>
        <v>99.139877676535008</v>
      </c>
      <c r="J431" s="164">
        <f>SUM(J432:J437)</f>
        <v>17625</v>
      </c>
      <c r="K431" s="164">
        <f>SUM(K432:K437)</f>
        <v>28093</v>
      </c>
      <c r="L431" s="164">
        <f>SUM(L432:L437)</f>
        <v>45718</v>
      </c>
      <c r="M431" s="38">
        <f>SUM(M432:M437)</f>
        <v>44959.34</v>
      </c>
      <c r="N431" s="39">
        <f t="shared" ref="N431:N437" si="190">IF(L431&gt;0,M431/L431*100,"-")</f>
        <v>98.340566079006081</v>
      </c>
      <c r="O431" s="422" t="s">
        <v>634</v>
      </c>
    </row>
    <row r="432" spans="1:16" s="15" customFormat="1" ht="11.1" customHeight="1" outlineLevel="1" x14ac:dyDescent="0.2">
      <c r="A432" s="424"/>
      <c r="B432" s="76" t="s">
        <v>10</v>
      </c>
      <c r="C432" s="148" t="s">
        <v>82</v>
      </c>
      <c r="D432" s="410"/>
      <c r="E432" s="410"/>
      <c r="F432" s="79" t="s">
        <v>15</v>
      </c>
      <c r="G432" s="165">
        <v>0</v>
      </c>
      <c r="H432" s="138">
        <f>ROUNDUP(0+M432,0)</f>
        <v>0</v>
      </c>
      <c r="I432" s="81" t="str">
        <f t="shared" si="189"/>
        <v>-</v>
      </c>
      <c r="J432" s="138">
        <v>0</v>
      </c>
      <c r="K432" s="138">
        <f t="shared" ref="K432:K437" si="191">L432-J432</f>
        <v>0</v>
      </c>
      <c r="L432" s="138">
        <v>0</v>
      </c>
      <c r="M432" s="80">
        <v>0</v>
      </c>
      <c r="N432" s="81" t="str">
        <f t="shared" si="190"/>
        <v>-</v>
      </c>
      <c r="O432" s="423"/>
    </row>
    <row r="433" spans="1:15" s="15" customFormat="1" ht="11.1" customHeight="1" outlineLevel="1" x14ac:dyDescent="0.2">
      <c r="A433" s="424"/>
      <c r="B433" s="76" t="s">
        <v>11</v>
      </c>
      <c r="C433" s="82" t="s">
        <v>83</v>
      </c>
      <c r="D433" s="410"/>
      <c r="E433" s="410"/>
      <c r="F433" s="79" t="s">
        <v>7</v>
      </c>
      <c r="G433" s="165">
        <v>88127</v>
      </c>
      <c r="H433" s="165">
        <f>ROUNDUP(42409+M433,0)</f>
        <v>87369</v>
      </c>
      <c r="I433" s="81">
        <f t="shared" si="189"/>
        <v>99.139877676535008</v>
      </c>
      <c r="J433" s="138">
        <v>17625</v>
      </c>
      <c r="K433" s="138">
        <f t="shared" si="191"/>
        <v>28093</v>
      </c>
      <c r="L433" s="138">
        <v>45718</v>
      </c>
      <c r="M433" s="80">
        <v>44959.34</v>
      </c>
      <c r="N433" s="81">
        <f t="shared" si="190"/>
        <v>98.340566079006081</v>
      </c>
      <c r="O433" s="423"/>
    </row>
    <row r="434" spans="1:15" s="15" customFormat="1" ht="11.1" customHeight="1" outlineLevel="1" x14ac:dyDescent="0.2">
      <c r="A434" s="117"/>
      <c r="B434" s="76" t="s">
        <v>12</v>
      </c>
      <c r="C434" s="82" t="s">
        <v>433</v>
      </c>
      <c r="D434" s="108"/>
      <c r="E434" s="182"/>
      <c r="F434" s="79" t="s">
        <v>8</v>
      </c>
      <c r="G434" s="165">
        <v>0</v>
      </c>
      <c r="H434" s="138">
        <f>ROUNDUP(0+M434,0)</f>
        <v>0</v>
      </c>
      <c r="I434" s="81" t="str">
        <f t="shared" si="189"/>
        <v>-</v>
      </c>
      <c r="J434" s="138">
        <v>0</v>
      </c>
      <c r="K434" s="138">
        <f t="shared" si="191"/>
        <v>0</v>
      </c>
      <c r="L434" s="138">
        <v>0</v>
      </c>
      <c r="M434" s="80">
        <v>0</v>
      </c>
      <c r="N434" s="81" t="str">
        <f t="shared" si="190"/>
        <v>-</v>
      </c>
      <c r="O434" s="423"/>
    </row>
    <row r="435" spans="1:15" s="15" customFormat="1" ht="11.1" customHeight="1" outlineLevel="1" x14ac:dyDescent="0.2">
      <c r="A435" s="117"/>
      <c r="B435" s="76"/>
      <c r="C435" s="82" t="s">
        <v>434</v>
      </c>
      <c r="D435" s="108"/>
      <c r="E435" s="182"/>
      <c r="F435" s="79" t="s">
        <v>22</v>
      </c>
      <c r="G435" s="165">
        <v>0</v>
      </c>
      <c r="H435" s="165">
        <v>0</v>
      </c>
      <c r="I435" s="81" t="str">
        <f t="shared" si="189"/>
        <v>-</v>
      </c>
      <c r="J435" s="138">
        <v>0</v>
      </c>
      <c r="K435" s="138">
        <f t="shared" si="191"/>
        <v>0</v>
      </c>
      <c r="L435" s="138">
        <v>0</v>
      </c>
      <c r="M435" s="80">
        <v>0</v>
      </c>
      <c r="N435" s="81" t="str">
        <f>IF(L435&gt;0,M435/L435*100,"-")</f>
        <v>-</v>
      </c>
      <c r="O435" s="423"/>
    </row>
    <row r="436" spans="1:15" s="15" customFormat="1" ht="11.1" customHeight="1" outlineLevel="1" x14ac:dyDescent="0.2">
      <c r="A436" s="117"/>
      <c r="B436" s="76" t="s">
        <v>23</v>
      </c>
      <c r="C436" s="82" t="s">
        <v>199</v>
      </c>
      <c r="D436" s="108"/>
      <c r="E436" s="182"/>
      <c r="F436" s="79" t="s">
        <v>45</v>
      </c>
      <c r="G436" s="165">
        <v>0</v>
      </c>
      <c r="H436" s="138">
        <f>ROUNDUP(0+M436,0)</f>
        <v>0</v>
      </c>
      <c r="I436" s="81" t="str">
        <f t="shared" si="189"/>
        <v>-</v>
      </c>
      <c r="J436" s="138">
        <v>0</v>
      </c>
      <c r="K436" s="138">
        <f t="shared" si="191"/>
        <v>0</v>
      </c>
      <c r="L436" s="138">
        <v>0</v>
      </c>
      <c r="M436" s="80">
        <v>0</v>
      </c>
      <c r="N436" s="81" t="str">
        <f>IF(L436&gt;0,M436/L436*100,"-")</f>
        <v>-</v>
      </c>
      <c r="O436" s="423"/>
    </row>
    <row r="437" spans="1:15" s="15" customFormat="1" ht="11.1" customHeight="1" outlineLevel="1" x14ac:dyDescent="0.2">
      <c r="A437" s="117"/>
      <c r="B437" s="76"/>
      <c r="C437" s="82" t="s">
        <v>435</v>
      </c>
      <c r="D437" s="108"/>
      <c r="E437" s="182"/>
      <c r="F437" s="79" t="s">
        <v>359</v>
      </c>
      <c r="G437" s="165">
        <v>0</v>
      </c>
      <c r="H437" s="138">
        <f>ROUNDUP(0+M437,0)</f>
        <v>0</v>
      </c>
      <c r="I437" s="81" t="str">
        <f t="shared" si="189"/>
        <v>-</v>
      </c>
      <c r="J437" s="138">
        <v>0</v>
      </c>
      <c r="K437" s="138">
        <f t="shared" si="191"/>
        <v>0</v>
      </c>
      <c r="L437" s="138">
        <v>0</v>
      </c>
      <c r="M437" s="80">
        <v>0</v>
      </c>
      <c r="N437" s="81" t="str">
        <f t="shared" si="190"/>
        <v>-</v>
      </c>
      <c r="O437" s="423"/>
    </row>
    <row r="438" spans="1:15" s="15" customFormat="1" ht="3.95" customHeight="1" outlineLevel="1" x14ac:dyDescent="0.2">
      <c r="A438" s="157"/>
      <c r="B438" s="85"/>
      <c r="C438" s="86"/>
      <c r="D438" s="180"/>
      <c r="E438" s="181"/>
      <c r="F438" s="204"/>
      <c r="G438" s="167"/>
      <c r="H438" s="167"/>
      <c r="I438" s="88"/>
      <c r="J438" s="167"/>
      <c r="K438" s="167"/>
      <c r="L438" s="140"/>
      <c r="M438" s="163"/>
      <c r="N438" s="88"/>
      <c r="O438" s="327"/>
    </row>
    <row r="439" spans="1:15" s="15" customFormat="1" ht="3.95" customHeight="1" outlineLevel="1" x14ac:dyDescent="0.2">
      <c r="A439" s="72"/>
      <c r="B439" s="72"/>
      <c r="C439" s="73"/>
      <c r="D439" s="231"/>
      <c r="E439" s="231"/>
      <c r="F439" s="224"/>
      <c r="G439" s="222"/>
      <c r="H439" s="222"/>
      <c r="I439" s="225"/>
      <c r="J439" s="222"/>
      <c r="K439" s="227"/>
      <c r="L439" s="135"/>
      <c r="M439" s="229"/>
      <c r="N439" s="155"/>
      <c r="O439" s="326"/>
    </row>
    <row r="440" spans="1:15" s="15" customFormat="1" ht="11.1" customHeight="1" outlineLevel="1" x14ac:dyDescent="0.2">
      <c r="A440" s="409" t="s">
        <v>485</v>
      </c>
      <c r="B440" s="76" t="s">
        <v>9</v>
      </c>
      <c r="C440" s="148" t="s">
        <v>81</v>
      </c>
      <c r="D440" s="410" t="s">
        <v>291</v>
      </c>
      <c r="E440" s="410" t="s">
        <v>201</v>
      </c>
      <c r="F440" s="226" t="s">
        <v>157</v>
      </c>
      <c r="G440" s="137">
        <f>SUM(G441:G446)</f>
        <v>86599</v>
      </c>
      <c r="H440" s="137">
        <f>SUM(H441:H446)</f>
        <v>85522</v>
      </c>
      <c r="I440" s="39">
        <f t="shared" ref="I440:I446" si="192">IF(G440&gt;0,H440/G440*100,"-")</f>
        <v>98.756336678252637</v>
      </c>
      <c r="J440" s="137">
        <f>SUM(J441:J446)</f>
        <v>17320</v>
      </c>
      <c r="K440" s="137">
        <f>SUM(K441:K446)</f>
        <v>36311</v>
      </c>
      <c r="L440" s="137">
        <f>SUM(L441:L446)</f>
        <v>53631</v>
      </c>
      <c r="M440" s="38">
        <f>SUM(M441:M446)</f>
        <v>52553.74</v>
      </c>
      <c r="N440" s="39">
        <f t="shared" ref="N440:N446" si="193">IF(L440&gt;0,M440/L440*100,"-")</f>
        <v>97.99134828737111</v>
      </c>
      <c r="O440" s="422" t="s">
        <v>634</v>
      </c>
    </row>
    <row r="441" spans="1:15" s="15" customFormat="1" ht="11.1" customHeight="1" outlineLevel="1" x14ac:dyDescent="0.2">
      <c r="A441" s="409"/>
      <c r="B441" s="76" t="s">
        <v>10</v>
      </c>
      <c r="C441" s="148" t="s">
        <v>82</v>
      </c>
      <c r="D441" s="410"/>
      <c r="E441" s="410"/>
      <c r="F441" s="79" t="s">
        <v>15</v>
      </c>
      <c r="G441" s="165">
        <v>0</v>
      </c>
      <c r="H441" s="138">
        <f t="shared" ref="H441:H446" si="194">ROUNDUP(0+M441,0)</f>
        <v>0</v>
      </c>
      <c r="I441" s="81" t="str">
        <f t="shared" si="192"/>
        <v>-</v>
      </c>
      <c r="J441" s="138">
        <v>0</v>
      </c>
      <c r="K441" s="138">
        <f t="shared" ref="K441:K446" si="195">L441-J441</f>
        <v>0</v>
      </c>
      <c r="L441" s="138">
        <v>0</v>
      </c>
      <c r="M441" s="80">
        <v>0</v>
      </c>
      <c r="N441" s="81" t="str">
        <f t="shared" si="193"/>
        <v>-</v>
      </c>
      <c r="O441" s="423"/>
    </row>
    <row r="442" spans="1:15" s="15" customFormat="1" ht="11.1" customHeight="1" outlineLevel="1" x14ac:dyDescent="0.2">
      <c r="A442" s="409"/>
      <c r="B442" s="76" t="s">
        <v>11</v>
      </c>
      <c r="C442" s="82" t="s">
        <v>83</v>
      </c>
      <c r="D442" s="410"/>
      <c r="E442" s="410"/>
      <c r="F442" s="79" t="s">
        <v>7</v>
      </c>
      <c r="G442" s="162">
        <v>86599</v>
      </c>
      <c r="H442" s="162">
        <f>ROUNDUP(32968+M442,0)</f>
        <v>85522</v>
      </c>
      <c r="I442" s="81">
        <f t="shared" si="192"/>
        <v>98.756336678252637</v>
      </c>
      <c r="J442" s="138">
        <v>17320</v>
      </c>
      <c r="K442" s="138">
        <f t="shared" si="195"/>
        <v>36311</v>
      </c>
      <c r="L442" s="138">
        <v>53631</v>
      </c>
      <c r="M442" s="80">
        <v>52553.74</v>
      </c>
      <c r="N442" s="81">
        <f t="shared" si="193"/>
        <v>97.99134828737111</v>
      </c>
      <c r="O442" s="423"/>
    </row>
    <row r="443" spans="1:15" s="15" customFormat="1" ht="11.1" customHeight="1" outlineLevel="1" x14ac:dyDescent="0.2">
      <c r="A443" s="117"/>
      <c r="B443" s="76" t="s">
        <v>12</v>
      </c>
      <c r="C443" s="82" t="s">
        <v>292</v>
      </c>
      <c r="D443" s="108"/>
      <c r="E443" s="108"/>
      <c r="F443" s="79" t="s">
        <v>8</v>
      </c>
      <c r="G443" s="165">
        <v>0</v>
      </c>
      <c r="H443" s="138">
        <f t="shared" si="194"/>
        <v>0</v>
      </c>
      <c r="I443" s="81" t="str">
        <f t="shared" si="192"/>
        <v>-</v>
      </c>
      <c r="J443" s="138">
        <v>0</v>
      </c>
      <c r="K443" s="138">
        <f t="shared" si="195"/>
        <v>0</v>
      </c>
      <c r="L443" s="138">
        <v>0</v>
      </c>
      <c r="M443" s="80">
        <v>0</v>
      </c>
      <c r="N443" s="81" t="str">
        <f t="shared" si="193"/>
        <v>-</v>
      </c>
      <c r="O443" s="423"/>
    </row>
    <row r="444" spans="1:15" s="15" customFormat="1" ht="11.1" customHeight="1" outlineLevel="1" x14ac:dyDescent="0.2">
      <c r="A444" s="117"/>
      <c r="B444" s="76" t="s">
        <v>23</v>
      </c>
      <c r="C444" s="82" t="s">
        <v>293</v>
      </c>
      <c r="D444" s="108"/>
      <c r="E444" s="108"/>
      <c r="F444" s="79" t="s">
        <v>22</v>
      </c>
      <c r="G444" s="165">
        <v>0</v>
      </c>
      <c r="H444" s="138">
        <f t="shared" si="194"/>
        <v>0</v>
      </c>
      <c r="I444" s="81" t="str">
        <f t="shared" si="192"/>
        <v>-</v>
      </c>
      <c r="J444" s="138">
        <v>0</v>
      </c>
      <c r="K444" s="138">
        <f t="shared" si="195"/>
        <v>0</v>
      </c>
      <c r="L444" s="138">
        <v>0</v>
      </c>
      <c r="M444" s="80">
        <v>0</v>
      </c>
      <c r="N444" s="81" t="str">
        <f t="shared" si="193"/>
        <v>-</v>
      </c>
      <c r="O444" s="423"/>
    </row>
    <row r="445" spans="1:15" s="15" customFormat="1" ht="11.1" customHeight="1" outlineLevel="1" x14ac:dyDescent="0.2">
      <c r="A445" s="117"/>
      <c r="B445" s="76"/>
      <c r="C445" s="82" t="s">
        <v>294</v>
      </c>
      <c r="D445" s="108"/>
      <c r="E445" s="108"/>
      <c r="F445" s="79" t="s">
        <v>45</v>
      </c>
      <c r="G445" s="165">
        <v>0</v>
      </c>
      <c r="H445" s="138">
        <f t="shared" si="194"/>
        <v>0</v>
      </c>
      <c r="I445" s="166" t="str">
        <f t="shared" si="192"/>
        <v>-</v>
      </c>
      <c r="J445" s="138">
        <v>0</v>
      </c>
      <c r="K445" s="138">
        <f t="shared" si="195"/>
        <v>0</v>
      </c>
      <c r="L445" s="138">
        <v>0</v>
      </c>
      <c r="M445" s="80">
        <v>0</v>
      </c>
      <c r="N445" s="81" t="str">
        <f t="shared" si="193"/>
        <v>-</v>
      </c>
      <c r="O445" s="423"/>
    </row>
    <row r="446" spans="1:15" s="15" customFormat="1" ht="11.1" customHeight="1" outlineLevel="1" x14ac:dyDescent="0.2">
      <c r="A446" s="117"/>
      <c r="B446" s="76"/>
      <c r="C446" s="82"/>
      <c r="D446" s="108"/>
      <c r="E446" s="108"/>
      <c r="F446" s="79" t="s">
        <v>359</v>
      </c>
      <c r="G446" s="165">
        <v>0</v>
      </c>
      <c r="H446" s="138">
        <f t="shared" si="194"/>
        <v>0</v>
      </c>
      <c r="I446" s="166" t="str">
        <f t="shared" si="192"/>
        <v>-</v>
      </c>
      <c r="J446" s="138">
        <v>0</v>
      </c>
      <c r="K446" s="138">
        <f t="shared" si="195"/>
        <v>0</v>
      </c>
      <c r="L446" s="138">
        <v>0</v>
      </c>
      <c r="M446" s="80">
        <v>0</v>
      </c>
      <c r="N446" s="81" t="str">
        <f t="shared" si="193"/>
        <v>-</v>
      </c>
      <c r="O446" s="423"/>
    </row>
    <row r="447" spans="1:15" s="15" customFormat="1" ht="3.95" customHeight="1" outlineLevel="1" x14ac:dyDescent="0.2">
      <c r="A447" s="157"/>
      <c r="B447" s="85"/>
      <c r="C447" s="86"/>
      <c r="D447" s="180"/>
      <c r="E447" s="180"/>
      <c r="F447" s="204"/>
      <c r="G447" s="167"/>
      <c r="H447" s="167"/>
      <c r="I447" s="170"/>
      <c r="J447" s="167"/>
      <c r="K447" s="167"/>
      <c r="L447" s="140"/>
      <c r="M447" s="163"/>
      <c r="N447" s="88"/>
      <c r="O447" s="327"/>
    </row>
    <row r="448" spans="1:15" s="15" customFormat="1" ht="3.95" customHeight="1" outlineLevel="1" x14ac:dyDescent="0.2">
      <c r="A448" s="72"/>
      <c r="B448" s="72"/>
      <c r="C448" s="73"/>
      <c r="D448" s="231"/>
      <c r="E448" s="231"/>
      <c r="F448" s="224"/>
      <c r="G448" s="222"/>
      <c r="H448" s="222"/>
      <c r="I448" s="225"/>
      <c r="J448" s="222"/>
      <c r="K448" s="227"/>
      <c r="L448" s="135"/>
      <c r="M448" s="229"/>
      <c r="N448" s="155"/>
      <c r="O448" s="326"/>
    </row>
    <row r="449" spans="1:15" s="15" customFormat="1" ht="11.1" customHeight="1" outlineLevel="1" x14ac:dyDescent="0.2">
      <c r="A449" s="409" t="s">
        <v>486</v>
      </c>
      <c r="B449" s="76" t="s">
        <v>9</v>
      </c>
      <c r="C449" s="148" t="s">
        <v>81</v>
      </c>
      <c r="D449" s="410" t="s">
        <v>389</v>
      </c>
      <c r="E449" s="410" t="s">
        <v>198</v>
      </c>
      <c r="F449" s="226" t="s">
        <v>157</v>
      </c>
      <c r="G449" s="137">
        <f>SUM(G450:G455)</f>
        <v>84504</v>
      </c>
      <c r="H449" s="137">
        <f>SUM(H450:H455)</f>
        <v>10481</v>
      </c>
      <c r="I449" s="39">
        <f t="shared" ref="I449:I455" si="196">IF(G449&gt;0,H449/G449*100,"-")</f>
        <v>12.402963173340908</v>
      </c>
      <c r="J449" s="137">
        <f>SUM(J450:J455)</f>
        <v>0</v>
      </c>
      <c r="K449" s="137">
        <f>SUM(K450:K455)</f>
        <v>67604</v>
      </c>
      <c r="L449" s="137">
        <f>SUM(L450:L455)</f>
        <v>67604</v>
      </c>
      <c r="M449" s="38">
        <f>SUM(M450:M455)</f>
        <v>10480.57</v>
      </c>
      <c r="N449" s="39">
        <f t="shared" ref="N449:N455" si="197">IF(L449&gt;0,M449/L449*100,"-")</f>
        <v>15.502884444707412</v>
      </c>
      <c r="O449" s="422" t="s">
        <v>631</v>
      </c>
    </row>
    <row r="450" spans="1:15" s="15" customFormat="1" ht="11.1" customHeight="1" outlineLevel="1" x14ac:dyDescent="0.2">
      <c r="A450" s="409"/>
      <c r="B450" s="76" t="s">
        <v>10</v>
      </c>
      <c r="C450" s="148" t="s">
        <v>82</v>
      </c>
      <c r="D450" s="410"/>
      <c r="E450" s="410"/>
      <c r="F450" s="79" t="s">
        <v>15</v>
      </c>
      <c r="G450" s="165">
        <v>0</v>
      </c>
      <c r="H450" s="138">
        <f t="shared" ref="H450:H455" si="198">ROUNDUP(0+M450,0)</f>
        <v>0</v>
      </c>
      <c r="I450" s="81" t="str">
        <f t="shared" si="196"/>
        <v>-</v>
      </c>
      <c r="J450" s="138">
        <v>0</v>
      </c>
      <c r="K450" s="138">
        <f t="shared" ref="K450:K455" si="199">L450-J450</f>
        <v>0</v>
      </c>
      <c r="L450" s="138">
        <v>0</v>
      </c>
      <c r="M450" s="80">
        <v>0</v>
      </c>
      <c r="N450" s="81" t="str">
        <f t="shared" si="197"/>
        <v>-</v>
      </c>
      <c r="O450" s="423"/>
    </row>
    <row r="451" spans="1:15" s="15" customFormat="1" ht="11.1" customHeight="1" outlineLevel="1" x14ac:dyDescent="0.2">
      <c r="A451" s="409"/>
      <c r="B451" s="76" t="s">
        <v>11</v>
      </c>
      <c r="C451" s="82" t="s">
        <v>83</v>
      </c>
      <c r="D451" s="410"/>
      <c r="E451" s="410"/>
      <c r="F451" s="79" t="s">
        <v>7</v>
      </c>
      <c r="G451" s="162">
        <v>84504</v>
      </c>
      <c r="H451" s="138">
        <f t="shared" si="198"/>
        <v>10481</v>
      </c>
      <c r="I451" s="81">
        <f t="shared" si="196"/>
        <v>12.402963173340908</v>
      </c>
      <c r="J451" s="138">
        <v>0</v>
      </c>
      <c r="K451" s="138">
        <f t="shared" si="199"/>
        <v>67604</v>
      </c>
      <c r="L451" s="138">
        <v>67604</v>
      </c>
      <c r="M451" s="80">
        <v>10480.57</v>
      </c>
      <c r="N451" s="81">
        <f t="shared" si="197"/>
        <v>15.502884444707412</v>
      </c>
      <c r="O451" s="423"/>
    </row>
    <row r="452" spans="1:15" s="15" customFormat="1" ht="11.1" customHeight="1" outlineLevel="1" x14ac:dyDescent="0.2">
      <c r="A452" s="117"/>
      <c r="B452" s="76" t="s">
        <v>12</v>
      </c>
      <c r="C452" s="82" t="s">
        <v>534</v>
      </c>
      <c r="D452" s="108"/>
      <c r="E452" s="108"/>
      <c r="F452" s="79" t="s">
        <v>8</v>
      </c>
      <c r="G452" s="165">
        <v>0</v>
      </c>
      <c r="H452" s="138">
        <f t="shared" si="198"/>
        <v>0</v>
      </c>
      <c r="I452" s="81" t="str">
        <f t="shared" si="196"/>
        <v>-</v>
      </c>
      <c r="J452" s="138">
        <v>0</v>
      </c>
      <c r="K452" s="138">
        <f t="shared" si="199"/>
        <v>0</v>
      </c>
      <c r="L452" s="138">
        <v>0</v>
      </c>
      <c r="M452" s="80">
        <v>0</v>
      </c>
      <c r="N452" s="81" t="str">
        <f t="shared" si="197"/>
        <v>-</v>
      </c>
      <c r="O452" s="423"/>
    </row>
    <row r="453" spans="1:15" s="15" customFormat="1" ht="11.1" customHeight="1" outlineLevel="1" x14ac:dyDescent="0.2">
      <c r="A453" s="117"/>
      <c r="B453" s="76" t="s">
        <v>23</v>
      </c>
      <c r="C453" s="82" t="s">
        <v>535</v>
      </c>
      <c r="D453" s="108"/>
      <c r="E453" s="108"/>
      <c r="F453" s="79" t="s">
        <v>22</v>
      </c>
      <c r="G453" s="165">
        <v>0</v>
      </c>
      <c r="H453" s="138">
        <f t="shared" si="198"/>
        <v>0</v>
      </c>
      <c r="I453" s="81" t="str">
        <f t="shared" si="196"/>
        <v>-</v>
      </c>
      <c r="J453" s="138">
        <v>0</v>
      </c>
      <c r="K453" s="138">
        <f t="shared" si="199"/>
        <v>0</v>
      </c>
      <c r="L453" s="138">
        <v>0</v>
      </c>
      <c r="M453" s="80">
        <v>0</v>
      </c>
      <c r="N453" s="81" t="str">
        <f t="shared" si="197"/>
        <v>-</v>
      </c>
      <c r="O453" s="423"/>
    </row>
    <row r="454" spans="1:15" s="15" customFormat="1" ht="11.1" customHeight="1" outlineLevel="1" x14ac:dyDescent="0.2">
      <c r="A454" s="117"/>
      <c r="B454" s="76"/>
      <c r="C454" s="82" t="s">
        <v>536</v>
      </c>
      <c r="D454" s="108"/>
      <c r="E454" s="108"/>
      <c r="F454" s="79" t="s">
        <v>45</v>
      </c>
      <c r="G454" s="165">
        <v>0</v>
      </c>
      <c r="H454" s="138">
        <f t="shared" si="198"/>
        <v>0</v>
      </c>
      <c r="I454" s="166" t="str">
        <f t="shared" si="196"/>
        <v>-</v>
      </c>
      <c r="J454" s="138">
        <v>0</v>
      </c>
      <c r="K454" s="138">
        <f t="shared" si="199"/>
        <v>0</v>
      </c>
      <c r="L454" s="138">
        <v>0</v>
      </c>
      <c r="M454" s="80">
        <v>0</v>
      </c>
      <c r="N454" s="81" t="str">
        <f t="shared" si="197"/>
        <v>-</v>
      </c>
      <c r="O454" s="423"/>
    </row>
    <row r="455" spans="1:15" s="15" customFormat="1" ht="11.1" customHeight="1" outlineLevel="1" x14ac:dyDescent="0.2">
      <c r="A455" s="117"/>
      <c r="B455" s="76"/>
      <c r="C455" s="82"/>
      <c r="D455" s="108"/>
      <c r="E455" s="108"/>
      <c r="F455" s="79" t="s">
        <v>359</v>
      </c>
      <c r="G455" s="165">
        <v>0</v>
      </c>
      <c r="H455" s="138">
        <f t="shared" si="198"/>
        <v>0</v>
      </c>
      <c r="I455" s="166" t="str">
        <f t="shared" si="196"/>
        <v>-</v>
      </c>
      <c r="J455" s="138">
        <v>0</v>
      </c>
      <c r="K455" s="138">
        <f t="shared" si="199"/>
        <v>0</v>
      </c>
      <c r="L455" s="138">
        <v>0</v>
      </c>
      <c r="M455" s="80">
        <v>0</v>
      </c>
      <c r="N455" s="81" t="str">
        <f t="shared" si="197"/>
        <v>-</v>
      </c>
      <c r="O455" s="423"/>
    </row>
    <row r="456" spans="1:15" s="15" customFormat="1" ht="3.95" customHeight="1" outlineLevel="1" x14ac:dyDescent="0.2">
      <c r="A456" s="157"/>
      <c r="B456" s="85"/>
      <c r="C456" s="86"/>
      <c r="D456" s="180"/>
      <c r="E456" s="180"/>
      <c r="F456" s="204"/>
      <c r="G456" s="167"/>
      <c r="H456" s="167"/>
      <c r="I456" s="170"/>
      <c r="J456" s="167"/>
      <c r="K456" s="167"/>
      <c r="L456" s="140"/>
      <c r="M456" s="163"/>
      <c r="N456" s="88"/>
      <c r="O456" s="327"/>
    </row>
    <row r="457" spans="1:15" s="15" customFormat="1" ht="3.95" customHeight="1" outlineLevel="1" x14ac:dyDescent="0.2">
      <c r="A457" s="233"/>
      <c r="B457" s="72"/>
      <c r="C457" s="73"/>
      <c r="D457" s="231"/>
      <c r="E457" s="231"/>
      <c r="F457" s="224"/>
      <c r="G457" s="222"/>
      <c r="H457" s="222"/>
      <c r="I457" s="75"/>
      <c r="J457" s="222"/>
      <c r="K457" s="222"/>
      <c r="L457" s="135"/>
      <c r="M457" s="218"/>
      <c r="N457" s="75"/>
      <c r="O457" s="390"/>
    </row>
    <row r="458" spans="1:15" s="15" customFormat="1" ht="11.1" customHeight="1" outlineLevel="1" x14ac:dyDescent="0.2">
      <c r="A458" s="424" t="s">
        <v>487</v>
      </c>
      <c r="B458" s="76" t="s">
        <v>9</v>
      </c>
      <c r="C458" s="148" t="s">
        <v>81</v>
      </c>
      <c r="D458" s="410" t="s">
        <v>182</v>
      </c>
      <c r="E458" s="410" t="s">
        <v>201</v>
      </c>
      <c r="F458" s="78" t="s">
        <v>157</v>
      </c>
      <c r="G458" s="164">
        <f>SUM(G459:G464)</f>
        <v>85264</v>
      </c>
      <c r="H458" s="164">
        <f>SUM(H459:H464)</f>
        <v>80947</v>
      </c>
      <c r="I458" s="39">
        <f t="shared" ref="I458:I464" si="200">IF(G458&gt;0,H458/G458*100,"-")</f>
        <v>94.936901857759423</v>
      </c>
      <c r="J458" s="164">
        <f>SUM(J459:J464)</f>
        <v>17053</v>
      </c>
      <c r="K458" s="164">
        <f>SUM(K459:K464)</f>
        <v>19240</v>
      </c>
      <c r="L458" s="164">
        <f>SUM(L459:L464)</f>
        <v>36293</v>
      </c>
      <c r="M458" s="38">
        <f>SUM(M459:M464)</f>
        <v>31975.05</v>
      </c>
      <c r="N458" s="39">
        <f t="shared" ref="N458:N464" si="201">IF(L458&gt;0,M458/L458*100,"-")</f>
        <v>88.102526658033227</v>
      </c>
      <c r="O458" s="422" t="s">
        <v>634</v>
      </c>
    </row>
    <row r="459" spans="1:15" s="15" customFormat="1" ht="11.1" customHeight="1" outlineLevel="1" x14ac:dyDescent="0.2">
      <c r="A459" s="424"/>
      <c r="B459" s="76" t="s">
        <v>10</v>
      </c>
      <c r="C459" s="148" t="s">
        <v>82</v>
      </c>
      <c r="D459" s="410"/>
      <c r="E459" s="410"/>
      <c r="F459" s="79" t="s">
        <v>15</v>
      </c>
      <c r="G459" s="165">
        <v>0</v>
      </c>
      <c r="H459" s="138">
        <f>ROUNDUP(0+M459,0)</f>
        <v>0</v>
      </c>
      <c r="I459" s="81" t="str">
        <f t="shared" si="200"/>
        <v>-</v>
      </c>
      <c r="J459" s="138">
        <v>0</v>
      </c>
      <c r="K459" s="138">
        <f t="shared" ref="K459:K464" si="202">L459-J459</f>
        <v>0</v>
      </c>
      <c r="L459" s="138">
        <v>0</v>
      </c>
      <c r="M459" s="80">
        <v>0</v>
      </c>
      <c r="N459" s="81" t="str">
        <f t="shared" si="201"/>
        <v>-</v>
      </c>
      <c r="O459" s="423"/>
    </row>
    <row r="460" spans="1:15" s="15" customFormat="1" ht="11.1" customHeight="1" outlineLevel="1" x14ac:dyDescent="0.2">
      <c r="A460" s="424"/>
      <c r="B460" s="76" t="s">
        <v>11</v>
      </c>
      <c r="C460" s="82" t="s">
        <v>83</v>
      </c>
      <c r="D460" s="410"/>
      <c r="E460" s="410"/>
      <c r="F460" s="79" t="s">
        <v>7</v>
      </c>
      <c r="G460" s="165">
        <v>85264</v>
      </c>
      <c r="H460" s="165">
        <f>ROUNDUP(48971+M460,0)</f>
        <v>80947</v>
      </c>
      <c r="I460" s="81">
        <f t="shared" si="200"/>
        <v>94.936901857759423</v>
      </c>
      <c r="J460" s="138">
        <v>17053</v>
      </c>
      <c r="K460" s="138">
        <f t="shared" si="202"/>
        <v>19240</v>
      </c>
      <c r="L460" s="138">
        <v>36293</v>
      </c>
      <c r="M460" s="80">
        <v>31975.05</v>
      </c>
      <c r="N460" s="81">
        <f t="shared" si="201"/>
        <v>88.102526658033227</v>
      </c>
      <c r="O460" s="423"/>
    </row>
    <row r="461" spans="1:15" s="15" customFormat="1" ht="11.1" customHeight="1" outlineLevel="1" x14ac:dyDescent="0.2">
      <c r="A461" s="205"/>
      <c r="B461" s="76" t="s">
        <v>12</v>
      </c>
      <c r="C461" s="82" t="s">
        <v>202</v>
      </c>
      <c r="D461" s="108"/>
      <c r="E461" s="108"/>
      <c r="F461" s="79" t="s">
        <v>8</v>
      </c>
      <c r="G461" s="165">
        <v>0</v>
      </c>
      <c r="H461" s="138">
        <f>ROUNDUP(0+M461,0)</f>
        <v>0</v>
      </c>
      <c r="I461" s="81" t="str">
        <f t="shared" si="200"/>
        <v>-</v>
      </c>
      <c r="J461" s="138">
        <v>0</v>
      </c>
      <c r="K461" s="138">
        <f t="shared" si="202"/>
        <v>0</v>
      </c>
      <c r="L461" s="138">
        <v>0</v>
      </c>
      <c r="M461" s="80">
        <v>0</v>
      </c>
      <c r="N461" s="81" t="str">
        <f t="shared" si="201"/>
        <v>-</v>
      </c>
      <c r="O461" s="423"/>
    </row>
    <row r="462" spans="1:15" s="15" customFormat="1" ht="11.1" customHeight="1" outlineLevel="1" x14ac:dyDescent="0.2">
      <c r="A462" s="205"/>
      <c r="B462" s="76" t="s">
        <v>23</v>
      </c>
      <c r="C462" s="82" t="s">
        <v>199</v>
      </c>
      <c r="D462" s="108"/>
      <c r="E462" s="108"/>
      <c r="F462" s="79" t="s">
        <v>22</v>
      </c>
      <c r="G462" s="165">
        <v>0</v>
      </c>
      <c r="H462" s="138">
        <f>ROUNDUP(0+M462,0)</f>
        <v>0</v>
      </c>
      <c r="I462" s="81" t="str">
        <f t="shared" si="200"/>
        <v>-</v>
      </c>
      <c r="J462" s="138">
        <v>0</v>
      </c>
      <c r="K462" s="138">
        <f t="shared" si="202"/>
        <v>0</v>
      </c>
      <c r="L462" s="138">
        <v>0</v>
      </c>
      <c r="M462" s="80">
        <v>0</v>
      </c>
      <c r="N462" s="81" t="str">
        <f t="shared" si="201"/>
        <v>-</v>
      </c>
      <c r="O462" s="423"/>
    </row>
    <row r="463" spans="1:15" s="15" customFormat="1" ht="11.1" customHeight="1" outlineLevel="1" x14ac:dyDescent="0.2">
      <c r="A463" s="205"/>
      <c r="B463" s="76"/>
      <c r="C463" s="82" t="s">
        <v>200</v>
      </c>
      <c r="D463" s="108"/>
      <c r="E463" s="108"/>
      <c r="F463" s="79" t="s">
        <v>45</v>
      </c>
      <c r="G463" s="165">
        <v>0</v>
      </c>
      <c r="H463" s="138">
        <f>ROUNDUP(0+M463,0)</f>
        <v>0</v>
      </c>
      <c r="I463" s="166" t="str">
        <f t="shared" si="200"/>
        <v>-</v>
      </c>
      <c r="J463" s="138">
        <v>0</v>
      </c>
      <c r="K463" s="138">
        <f t="shared" si="202"/>
        <v>0</v>
      </c>
      <c r="L463" s="138">
        <v>0</v>
      </c>
      <c r="M463" s="80">
        <v>0</v>
      </c>
      <c r="N463" s="81" t="str">
        <f t="shared" si="201"/>
        <v>-</v>
      </c>
      <c r="O463" s="423"/>
    </row>
    <row r="464" spans="1:15" s="15" customFormat="1" ht="11.1" customHeight="1" outlineLevel="1" x14ac:dyDescent="0.2">
      <c r="A464" s="205"/>
      <c r="B464" s="76"/>
      <c r="C464" s="82"/>
      <c r="D464" s="108"/>
      <c r="E464" s="108"/>
      <c r="F464" s="79" t="s">
        <v>359</v>
      </c>
      <c r="G464" s="165">
        <v>0</v>
      </c>
      <c r="H464" s="138">
        <f>ROUNDUP(0+M464,0)</f>
        <v>0</v>
      </c>
      <c r="I464" s="166" t="str">
        <f t="shared" si="200"/>
        <v>-</v>
      </c>
      <c r="J464" s="138">
        <v>0</v>
      </c>
      <c r="K464" s="138">
        <f t="shared" si="202"/>
        <v>0</v>
      </c>
      <c r="L464" s="138">
        <v>0</v>
      </c>
      <c r="M464" s="80">
        <v>0</v>
      </c>
      <c r="N464" s="81" t="str">
        <f t="shared" si="201"/>
        <v>-</v>
      </c>
      <c r="O464" s="423"/>
    </row>
    <row r="465" spans="1:15" s="15" customFormat="1" ht="3.95" customHeight="1" outlineLevel="1" x14ac:dyDescent="0.2">
      <c r="A465" s="232"/>
      <c r="B465" s="85"/>
      <c r="C465" s="86"/>
      <c r="D465" s="216"/>
      <c r="E465" s="216"/>
      <c r="F465" s="204"/>
      <c r="G465" s="167"/>
      <c r="H465" s="167"/>
      <c r="I465" s="88"/>
      <c r="J465" s="167"/>
      <c r="K465" s="167"/>
      <c r="L465" s="140"/>
      <c r="M465" s="163"/>
      <c r="N465" s="88"/>
      <c r="O465" s="325"/>
    </row>
    <row r="466" spans="1:15" s="15" customFormat="1" ht="3.95" customHeight="1" outlineLevel="1" x14ac:dyDescent="0.2">
      <c r="A466" s="233"/>
      <c r="B466" s="72"/>
      <c r="C466" s="73"/>
      <c r="D466" s="179"/>
      <c r="E466" s="179"/>
      <c r="F466" s="224"/>
      <c r="G466" s="222"/>
      <c r="H466" s="222"/>
      <c r="I466" s="75"/>
      <c r="J466" s="222"/>
      <c r="K466" s="222"/>
      <c r="L466" s="135"/>
      <c r="M466" s="218"/>
      <c r="N466" s="75"/>
      <c r="O466" s="390"/>
    </row>
    <row r="467" spans="1:15" s="15" customFormat="1" ht="11.1" customHeight="1" outlineLevel="1" x14ac:dyDescent="0.2">
      <c r="A467" s="424" t="s">
        <v>488</v>
      </c>
      <c r="B467" s="76" t="s">
        <v>9</v>
      </c>
      <c r="C467" s="148" t="s">
        <v>81</v>
      </c>
      <c r="D467" s="410" t="s">
        <v>389</v>
      </c>
      <c r="E467" s="410" t="s">
        <v>197</v>
      </c>
      <c r="F467" s="78" t="s">
        <v>157</v>
      </c>
      <c r="G467" s="164">
        <f>SUM(G468:G473)</f>
        <v>84504</v>
      </c>
      <c r="H467" s="164">
        <f>SUM(H468:H473)</f>
        <v>18939</v>
      </c>
      <c r="I467" s="39">
        <f t="shared" ref="I467:I473" si="203">IF(G467&gt;0,H467/G467*100,"-")</f>
        <v>22.411956830445895</v>
      </c>
      <c r="J467" s="164">
        <f>SUM(J468:J473)</f>
        <v>0</v>
      </c>
      <c r="K467" s="164">
        <f>SUM(K468:K473)</f>
        <v>67604</v>
      </c>
      <c r="L467" s="164">
        <f>SUM(L468:L473)</f>
        <v>67604</v>
      </c>
      <c r="M467" s="38">
        <f>SUM(M468:M473)</f>
        <v>18938.91</v>
      </c>
      <c r="N467" s="39">
        <f t="shared" ref="N467:N473" si="204">IF(L467&gt;0,M467/L467*100,"-")</f>
        <v>28.014481391633634</v>
      </c>
      <c r="O467" s="422" t="s">
        <v>631</v>
      </c>
    </row>
    <row r="468" spans="1:15" s="15" customFormat="1" ht="11.1" customHeight="1" outlineLevel="1" x14ac:dyDescent="0.2">
      <c r="A468" s="424"/>
      <c r="B468" s="76" t="s">
        <v>10</v>
      </c>
      <c r="C468" s="148" t="s">
        <v>82</v>
      </c>
      <c r="D468" s="410"/>
      <c r="E468" s="410"/>
      <c r="F468" s="79" t="s">
        <v>15</v>
      </c>
      <c r="G468" s="165">
        <v>0</v>
      </c>
      <c r="H468" s="138">
        <f t="shared" ref="H468:H473" si="205">ROUNDUP(0+M468,0)</f>
        <v>0</v>
      </c>
      <c r="I468" s="81" t="str">
        <f t="shared" si="203"/>
        <v>-</v>
      </c>
      <c r="J468" s="138">
        <v>0</v>
      </c>
      <c r="K468" s="138">
        <f t="shared" ref="K468:K473" si="206">L468-J468</f>
        <v>0</v>
      </c>
      <c r="L468" s="138">
        <v>0</v>
      </c>
      <c r="M468" s="80">
        <v>0</v>
      </c>
      <c r="N468" s="81" t="str">
        <f t="shared" si="204"/>
        <v>-</v>
      </c>
      <c r="O468" s="423"/>
    </row>
    <row r="469" spans="1:15" s="15" customFormat="1" ht="11.1" customHeight="1" outlineLevel="1" x14ac:dyDescent="0.2">
      <c r="A469" s="424"/>
      <c r="B469" s="76" t="s">
        <v>11</v>
      </c>
      <c r="C469" s="82" t="s">
        <v>83</v>
      </c>
      <c r="D469" s="410"/>
      <c r="E469" s="410"/>
      <c r="F469" s="79" t="s">
        <v>7</v>
      </c>
      <c r="G469" s="165">
        <v>84504</v>
      </c>
      <c r="H469" s="138">
        <f t="shared" si="205"/>
        <v>18939</v>
      </c>
      <c r="I469" s="81">
        <f t="shared" si="203"/>
        <v>22.411956830445895</v>
      </c>
      <c r="J469" s="138">
        <v>0</v>
      </c>
      <c r="K469" s="138">
        <f t="shared" si="206"/>
        <v>67604</v>
      </c>
      <c r="L469" s="138">
        <v>67604</v>
      </c>
      <c r="M469" s="80">
        <v>18938.91</v>
      </c>
      <c r="N469" s="81">
        <f t="shared" si="204"/>
        <v>28.014481391633634</v>
      </c>
      <c r="O469" s="423"/>
    </row>
    <row r="470" spans="1:15" s="15" customFormat="1" ht="11.1" customHeight="1" outlineLevel="1" x14ac:dyDescent="0.2">
      <c r="A470" s="205"/>
      <c r="B470" s="76" t="s">
        <v>12</v>
      </c>
      <c r="C470" s="82" t="s">
        <v>537</v>
      </c>
      <c r="D470" s="108"/>
      <c r="E470" s="108"/>
      <c r="F470" s="79" t="s">
        <v>8</v>
      </c>
      <c r="G470" s="165">
        <v>0</v>
      </c>
      <c r="H470" s="138">
        <f t="shared" si="205"/>
        <v>0</v>
      </c>
      <c r="I470" s="81" t="str">
        <f t="shared" si="203"/>
        <v>-</v>
      </c>
      <c r="J470" s="138">
        <v>0</v>
      </c>
      <c r="K470" s="138">
        <f t="shared" si="206"/>
        <v>0</v>
      </c>
      <c r="L470" s="138">
        <v>0</v>
      </c>
      <c r="M470" s="80">
        <v>0</v>
      </c>
      <c r="N470" s="81" t="str">
        <f t="shared" si="204"/>
        <v>-</v>
      </c>
      <c r="O470" s="423"/>
    </row>
    <row r="471" spans="1:15" s="15" customFormat="1" ht="11.1" customHeight="1" outlineLevel="1" x14ac:dyDescent="0.2">
      <c r="A471" s="205"/>
      <c r="B471" s="76" t="s">
        <v>23</v>
      </c>
      <c r="C471" s="82" t="s">
        <v>538</v>
      </c>
      <c r="D471" s="108"/>
      <c r="E471" s="108"/>
      <c r="F471" s="79" t="s">
        <v>22</v>
      </c>
      <c r="G471" s="165">
        <v>0</v>
      </c>
      <c r="H471" s="138">
        <f t="shared" si="205"/>
        <v>0</v>
      </c>
      <c r="I471" s="81" t="str">
        <f t="shared" si="203"/>
        <v>-</v>
      </c>
      <c r="J471" s="138">
        <v>0</v>
      </c>
      <c r="K471" s="138">
        <f t="shared" si="206"/>
        <v>0</v>
      </c>
      <c r="L471" s="138">
        <v>0</v>
      </c>
      <c r="M471" s="80">
        <v>0</v>
      </c>
      <c r="N471" s="81" t="str">
        <f t="shared" si="204"/>
        <v>-</v>
      </c>
      <c r="O471" s="423"/>
    </row>
    <row r="472" spans="1:15" s="15" customFormat="1" ht="11.1" customHeight="1" outlineLevel="1" x14ac:dyDescent="0.2">
      <c r="A472" s="205"/>
      <c r="B472" s="76"/>
      <c r="C472" s="82" t="s">
        <v>539</v>
      </c>
      <c r="D472" s="108"/>
      <c r="E472" s="108"/>
      <c r="F472" s="79" t="s">
        <v>45</v>
      </c>
      <c r="G472" s="165">
        <v>0</v>
      </c>
      <c r="H472" s="138">
        <f t="shared" si="205"/>
        <v>0</v>
      </c>
      <c r="I472" s="166" t="str">
        <f t="shared" si="203"/>
        <v>-</v>
      </c>
      <c r="J472" s="138">
        <v>0</v>
      </c>
      <c r="K472" s="138">
        <f t="shared" si="206"/>
        <v>0</v>
      </c>
      <c r="L472" s="138">
        <v>0</v>
      </c>
      <c r="M472" s="80">
        <v>0</v>
      </c>
      <c r="N472" s="81" t="str">
        <f t="shared" si="204"/>
        <v>-</v>
      </c>
      <c r="O472" s="423"/>
    </row>
    <row r="473" spans="1:15" s="15" customFormat="1" ht="11.1" customHeight="1" outlineLevel="1" x14ac:dyDescent="0.2">
      <c r="A473" s="205"/>
      <c r="B473" s="76"/>
      <c r="C473" s="82" t="s">
        <v>540</v>
      </c>
      <c r="D473" s="108"/>
      <c r="E473" s="108"/>
      <c r="F473" s="79" t="s">
        <v>359</v>
      </c>
      <c r="G473" s="165">
        <v>0</v>
      </c>
      <c r="H473" s="138">
        <f t="shared" si="205"/>
        <v>0</v>
      </c>
      <c r="I473" s="166" t="str">
        <f t="shared" si="203"/>
        <v>-</v>
      </c>
      <c r="J473" s="138">
        <v>0</v>
      </c>
      <c r="K473" s="138">
        <f t="shared" si="206"/>
        <v>0</v>
      </c>
      <c r="L473" s="138">
        <v>0</v>
      </c>
      <c r="M473" s="80">
        <v>0</v>
      </c>
      <c r="N473" s="81" t="str">
        <f t="shared" si="204"/>
        <v>-</v>
      </c>
      <c r="O473" s="423"/>
    </row>
    <row r="474" spans="1:15" s="15" customFormat="1" ht="11.1" customHeight="1" outlineLevel="1" x14ac:dyDescent="0.2">
      <c r="A474" s="284"/>
      <c r="B474" s="76"/>
      <c r="C474" s="82" t="s">
        <v>541</v>
      </c>
      <c r="D474" s="108"/>
      <c r="E474" s="108"/>
      <c r="F474" s="106"/>
      <c r="G474" s="165"/>
      <c r="H474" s="139"/>
      <c r="I474" s="166"/>
      <c r="J474" s="139"/>
      <c r="K474" s="139"/>
      <c r="L474" s="139"/>
      <c r="M474" s="80"/>
      <c r="N474" s="81"/>
      <c r="O474" s="391"/>
    </row>
    <row r="475" spans="1:15" s="15" customFormat="1" ht="11.1" customHeight="1" outlineLevel="1" x14ac:dyDescent="0.2">
      <c r="A475" s="284"/>
      <c r="B475" s="76"/>
      <c r="C475" s="82" t="s">
        <v>542</v>
      </c>
      <c r="D475" s="108"/>
      <c r="E475" s="108"/>
      <c r="F475" s="106"/>
      <c r="G475" s="165"/>
      <c r="H475" s="139"/>
      <c r="I475" s="166"/>
      <c r="J475" s="139"/>
      <c r="K475" s="139"/>
      <c r="L475" s="139"/>
      <c r="M475" s="80"/>
      <c r="N475" s="81"/>
      <c r="O475" s="391"/>
    </row>
    <row r="476" spans="1:15" s="15" customFormat="1" ht="11.1" customHeight="1" outlineLevel="1" x14ac:dyDescent="0.2">
      <c r="A476" s="284"/>
      <c r="B476" s="76"/>
      <c r="C476" s="82" t="s">
        <v>543</v>
      </c>
      <c r="D476" s="108"/>
      <c r="E476" s="108"/>
      <c r="F476" s="106"/>
      <c r="G476" s="165"/>
      <c r="H476" s="139"/>
      <c r="I476" s="166"/>
      <c r="J476" s="139"/>
      <c r="K476" s="139"/>
      <c r="L476" s="139"/>
      <c r="M476" s="80"/>
      <c r="N476" s="81"/>
      <c r="O476" s="391"/>
    </row>
    <row r="477" spans="1:15" s="15" customFormat="1" ht="3.95" customHeight="1" outlineLevel="1" x14ac:dyDescent="0.2">
      <c r="A477" s="232"/>
      <c r="B477" s="85"/>
      <c r="C477" s="86"/>
      <c r="D477" s="216"/>
      <c r="E477" s="216"/>
      <c r="F477" s="204"/>
      <c r="G477" s="167"/>
      <c r="H477" s="167"/>
      <c r="I477" s="88"/>
      <c r="J477" s="167"/>
      <c r="K477" s="167"/>
      <c r="L477" s="140"/>
      <c r="M477" s="163"/>
      <c r="N477" s="88"/>
      <c r="O477" s="325"/>
    </row>
    <row r="478" spans="1:15" s="15" customFormat="1" ht="3.95" customHeight="1" outlineLevel="1" x14ac:dyDescent="0.2">
      <c r="A478" s="233"/>
      <c r="B478" s="72"/>
      <c r="C478" s="73"/>
      <c r="D478" s="179"/>
      <c r="E478" s="179"/>
      <c r="F478" s="224"/>
      <c r="G478" s="222"/>
      <c r="H478" s="222"/>
      <c r="I478" s="75"/>
      <c r="J478" s="222"/>
      <c r="K478" s="222"/>
      <c r="L478" s="135"/>
      <c r="M478" s="218"/>
      <c r="N478" s="75"/>
      <c r="O478" s="390"/>
    </row>
    <row r="479" spans="1:15" s="15" customFormat="1" ht="11.1" customHeight="1" outlineLevel="1" x14ac:dyDescent="0.2">
      <c r="A479" s="424" t="s">
        <v>489</v>
      </c>
      <c r="B479" s="76" t="s">
        <v>9</v>
      </c>
      <c r="C479" s="148" t="s">
        <v>81</v>
      </c>
      <c r="D479" s="410" t="s">
        <v>383</v>
      </c>
      <c r="E479" s="410" t="s">
        <v>197</v>
      </c>
      <c r="F479" s="78" t="s">
        <v>157</v>
      </c>
      <c r="G479" s="164">
        <f>SUM(G480:G485)</f>
        <v>59494</v>
      </c>
      <c r="H479" s="164">
        <f>SUM(H480:H485)</f>
        <v>33526</v>
      </c>
      <c r="I479" s="39">
        <f t="shared" ref="I479:I485" si="207">IF(G479&gt;0,H479/G479*100,"-")</f>
        <v>56.351901032036842</v>
      </c>
      <c r="J479" s="164">
        <f>SUM(J480:J485)</f>
        <v>0</v>
      </c>
      <c r="K479" s="164">
        <f>SUM(K480:K485)</f>
        <v>47595</v>
      </c>
      <c r="L479" s="164">
        <f>SUM(L480:L485)</f>
        <v>47595</v>
      </c>
      <c r="M479" s="38">
        <f>SUM(M480:M485)</f>
        <v>33525.03</v>
      </c>
      <c r="N479" s="39">
        <f t="shared" ref="N479:N485" si="208">IF(L479&gt;0,M479/L479*100,"-")</f>
        <v>70.438134257800186</v>
      </c>
      <c r="O479" s="422" t="s">
        <v>631</v>
      </c>
    </row>
    <row r="480" spans="1:15" s="15" customFormat="1" ht="11.1" customHeight="1" outlineLevel="1" x14ac:dyDescent="0.2">
      <c r="A480" s="424"/>
      <c r="B480" s="76" t="s">
        <v>10</v>
      </c>
      <c r="C480" s="148" t="s">
        <v>82</v>
      </c>
      <c r="D480" s="410"/>
      <c r="E480" s="410"/>
      <c r="F480" s="79" t="s">
        <v>15</v>
      </c>
      <c r="G480" s="165">
        <v>0</v>
      </c>
      <c r="H480" s="138">
        <f t="shared" ref="H480:H485" si="209">ROUNDUP(0+M480,0)</f>
        <v>0</v>
      </c>
      <c r="I480" s="81" t="str">
        <f t="shared" si="207"/>
        <v>-</v>
      </c>
      <c r="J480" s="138">
        <v>0</v>
      </c>
      <c r="K480" s="138">
        <f t="shared" ref="K480:K485" si="210">L480-J480</f>
        <v>0</v>
      </c>
      <c r="L480" s="138">
        <v>0</v>
      </c>
      <c r="M480" s="80">
        <v>0</v>
      </c>
      <c r="N480" s="81" t="str">
        <f t="shared" si="208"/>
        <v>-</v>
      </c>
      <c r="O480" s="423"/>
    </row>
    <row r="481" spans="1:15" s="15" customFormat="1" ht="11.1" customHeight="1" outlineLevel="1" x14ac:dyDescent="0.2">
      <c r="A481" s="424"/>
      <c r="B481" s="76" t="s">
        <v>11</v>
      </c>
      <c r="C481" s="82" t="s">
        <v>83</v>
      </c>
      <c r="D481" s="410"/>
      <c r="E481" s="410"/>
      <c r="F481" s="79" t="s">
        <v>7</v>
      </c>
      <c r="G481" s="165">
        <v>59494</v>
      </c>
      <c r="H481" s="138">
        <f t="shared" si="209"/>
        <v>33526</v>
      </c>
      <c r="I481" s="81">
        <f t="shared" si="207"/>
        <v>56.351901032036842</v>
      </c>
      <c r="J481" s="138">
        <v>0</v>
      </c>
      <c r="K481" s="138">
        <f t="shared" si="210"/>
        <v>47595</v>
      </c>
      <c r="L481" s="138">
        <v>47595</v>
      </c>
      <c r="M481" s="80">
        <v>33525.03</v>
      </c>
      <c r="N481" s="81">
        <f t="shared" si="208"/>
        <v>70.438134257800186</v>
      </c>
      <c r="O481" s="423"/>
    </row>
    <row r="482" spans="1:15" s="15" customFormat="1" ht="11.1" customHeight="1" outlineLevel="1" x14ac:dyDescent="0.2">
      <c r="A482" s="205"/>
      <c r="B482" s="76" t="s">
        <v>12</v>
      </c>
      <c r="C482" s="82" t="s">
        <v>432</v>
      </c>
      <c r="D482" s="108"/>
      <c r="E482" s="108"/>
      <c r="F482" s="79" t="s">
        <v>8</v>
      </c>
      <c r="G482" s="165">
        <v>0</v>
      </c>
      <c r="H482" s="138">
        <f t="shared" si="209"/>
        <v>0</v>
      </c>
      <c r="I482" s="81" t="str">
        <f t="shared" si="207"/>
        <v>-</v>
      </c>
      <c r="J482" s="138">
        <v>0</v>
      </c>
      <c r="K482" s="138">
        <f t="shared" si="210"/>
        <v>0</v>
      </c>
      <c r="L482" s="138">
        <v>0</v>
      </c>
      <c r="M482" s="80">
        <v>0</v>
      </c>
      <c r="N482" s="81" t="str">
        <f t="shared" si="208"/>
        <v>-</v>
      </c>
      <c r="O482" s="423"/>
    </row>
    <row r="483" spans="1:15" s="15" customFormat="1" ht="11.1" customHeight="1" outlineLevel="1" x14ac:dyDescent="0.2">
      <c r="A483" s="205"/>
      <c r="B483" s="76" t="s">
        <v>23</v>
      </c>
      <c r="C483" s="82" t="s">
        <v>544</v>
      </c>
      <c r="D483" s="108"/>
      <c r="E483" s="108"/>
      <c r="F483" s="79" t="s">
        <v>22</v>
      </c>
      <c r="G483" s="165">
        <v>0</v>
      </c>
      <c r="H483" s="138">
        <f t="shared" si="209"/>
        <v>0</v>
      </c>
      <c r="I483" s="81" t="str">
        <f t="shared" si="207"/>
        <v>-</v>
      </c>
      <c r="J483" s="138">
        <v>0</v>
      </c>
      <c r="K483" s="138">
        <f t="shared" si="210"/>
        <v>0</v>
      </c>
      <c r="L483" s="138">
        <v>0</v>
      </c>
      <c r="M483" s="80">
        <v>0</v>
      </c>
      <c r="N483" s="81" t="str">
        <f t="shared" si="208"/>
        <v>-</v>
      </c>
      <c r="O483" s="423"/>
    </row>
    <row r="484" spans="1:15" s="15" customFormat="1" ht="11.1" customHeight="1" outlineLevel="1" x14ac:dyDescent="0.2">
      <c r="A484" s="205"/>
      <c r="B484" s="76"/>
      <c r="C484" s="82" t="s">
        <v>545</v>
      </c>
      <c r="D484" s="108"/>
      <c r="E484" s="108"/>
      <c r="F484" s="79" t="s">
        <v>45</v>
      </c>
      <c r="G484" s="165">
        <v>0</v>
      </c>
      <c r="H484" s="138">
        <f t="shared" si="209"/>
        <v>0</v>
      </c>
      <c r="I484" s="166" t="str">
        <f t="shared" si="207"/>
        <v>-</v>
      </c>
      <c r="J484" s="138">
        <v>0</v>
      </c>
      <c r="K484" s="138">
        <f t="shared" si="210"/>
        <v>0</v>
      </c>
      <c r="L484" s="138">
        <v>0</v>
      </c>
      <c r="M484" s="80">
        <v>0</v>
      </c>
      <c r="N484" s="81" t="str">
        <f t="shared" si="208"/>
        <v>-</v>
      </c>
      <c r="O484" s="423"/>
    </row>
    <row r="485" spans="1:15" s="15" customFormat="1" ht="11.1" customHeight="1" outlineLevel="1" x14ac:dyDescent="0.2">
      <c r="A485" s="205"/>
      <c r="B485" s="76"/>
      <c r="C485" s="82" t="s">
        <v>546</v>
      </c>
      <c r="D485" s="108"/>
      <c r="E485" s="108"/>
      <c r="F485" s="79" t="s">
        <v>359</v>
      </c>
      <c r="G485" s="165">
        <v>0</v>
      </c>
      <c r="H485" s="138">
        <f t="shared" si="209"/>
        <v>0</v>
      </c>
      <c r="I485" s="166" t="str">
        <f t="shared" si="207"/>
        <v>-</v>
      </c>
      <c r="J485" s="138">
        <v>0</v>
      </c>
      <c r="K485" s="138">
        <f t="shared" si="210"/>
        <v>0</v>
      </c>
      <c r="L485" s="138">
        <v>0</v>
      </c>
      <c r="M485" s="80">
        <v>0</v>
      </c>
      <c r="N485" s="81" t="str">
        <f t="shared" si="208"/>
        <v>-</v>
      </c>
      <c r="O485" s="423"/>
    </row>
    <row r="486" spans="1:15" s="15" customFormat="1" ht="3.95" customHeight="1" outlineLevel="1" x14ac:dyDescent="0.2">
      <c r="A486" s="232"/>
      <c r="B486" s="85"/>
      <c r="C486" s="86"/>
      <c r="D486" s="216"/>
      <c r="E486" s="216"/>
      <c r="F486" s="204"/>
      <c r="G486" s="167"/>
      <c r="H486" s="167"/>
      <c r="I486" s="88"/>
      <c r="J486" s="167"/>
      <c r="K486" s="167"/>
      <c r="L486" s="140"/>
      <c r="M486" s="163"/>
      <c r="N486" s="88"/>
      <c r="O486" s="325"/>
    </row>
    <row r="487" spans="1:15" s="15" customFormat="1" ht="3.95" customHeight="1" outlineLevel="1" x14ac:dyDescent="0.2">
      <c r="A487" s="233"/>
      <c r="B487" s="72"/>
      <c r="C487" s="73"/>
      <c r="D487" s="179"/>
      <c r="E487" s="179"/>
      <c r="F487" s="224"/>
      <c r="G487" s="222"/>
      <c r="H487" s="222"/>
      <c r="I487" s="75"/>
      <c r="J487" s="222"/>
      <c r="K487" s="222"/>
      <c r="L487" s="135"/>
      <c r="M487" s="218"/>
      <c r="N487" s="75"/>
      <c r="O487" s="390"/>
    </row>
    <row r="488" spans="1:15" s="15" customFormat="1" ht="11.1" customHeight="1" outlineLevel="1" x14ac:dyDescent="0.2">
      <c r="A488" s="424" t="s">
        <v>490</v>
      </c>
      <c r="B488" s="76" t="s">
        <v>9</v>
      </c>
      <c r="C488" s="148" t="s">
        <v>81</v>
      </c>
      <c r="D488" s="410" t="s">
        <v>389</v>
      </c>
      <c r="E488" s="410" t="s">
        <v>197</v>
      </c>
      <c r="F488" s="78" t="s">
        <v>157</v>
      </c>
      <c r="G488" s="164">
        <f>SUM(G489:G494)</f>
        <v>84505</v>
      </c>
      <c r="H488" s="164">
        <f>SUM(H489:H494)</f>
        <v>14574</v>
      </c>
      <c r="I488" s="39">
        <f t="shared" ref="I488:I494" si="211">IF(G488&gt;0,H488/G488*100,"-")</f>
        <v>17.246316785988995</v>
      </c>
      <c r="J488" s="164">
        <f>SUM(J489:J494)</f>
        <v>0</v>
      </c>
      <c r="K488" s="164">
        <f>SUM(K489:K494)</f>
        <v>67604</v>
      </c>
      <c r="L488" s="164">
        <f>SUM(L489:L494)</f>
        <v>67604</v>
      </c>
      <c r="M488" s="38">
        <f>SUM(M489:M494)</f>
        <v>14573.62</v>
      </c>
      <c r="N488" s="39">
        <f t="shared" ref="N488:N494" si="212">IF(L488&gt;0,M488/L488*100,"-")</f>
        <v>21.557333885568902</v>
      </c>
      <c r="O488" s="422" t="s">
        <v>631</v>
      </c>
    </row>
    <row r="489" spans="1:15" s="15" customFormat="1" ht="11.1" customHeight="1" outlineLevel="1" x14ac:dyDescent="0.2">
      <c r="A489" s="424"/>
      <c r="B489" s="76" t="s">
        <v>10</v>
      </c>
      <c r="C489" s="148" t="s">
        <v>82</v>
      </c>
      <c r="D489" s="410"/>
      <c r="E489" s="410"/>
      <c r="F489" s="79" t="s">
        <v>15</v>
      </c>
      <c r="G489" s="165">
        <v>0</v>
      </c>
      <c r="H489" s="138">
        <f t="shared" ref="H489:H494" si="213">ROUNDUP(0+M489,0)</f>
        <v>0</v>
      </c>
      <c r="I489" s="81" t="str">
        <f t="shared" si="211"/>
        <v>-</v>
      </c>
      <c r="J489" s="138">
        <v>0</v>
      </c>
      <c r="K489" s="138">
        <f t="shared" ref="K489:K494" si="214">L489-J489</f>
        <v>0</v>
      </c>
      <c r="L489" s="138">
        <v>0</v>
      </c>
      <c r="M489" s="80">
        <v>0</v>
      </c>
      <c r="N489" s="81" t="str">
        <f t="shared" si="212"/>
        <v>-</v>
      </c>
      <c r="O489" s="423"/>
    </row>
    <row r="490" spans="1:15" s="15" customFormat="1" ht="11.1" customHeight="1" outlineLevel="1" x14ac:dyDescent="0.2">
      <c r="A490" s="424"/>
      <c r="B490" s="76" t="s">
        <v>11</v>
      </c>
      <c r="C490" s="82" t="s">
        <v>83</v>
      </c>
      <c r="D490" s="410"/>
      <c r="E490" s="410"/>
      <c r="F490" s="79" t="s">
        <v>7</v>
      </c>
      <c r="G490" s="165">
        <v>84505</v>
      </c>
      <c r="H490" s="138">
        <f t="shared" si="213"/>
        <v>14574</v>
      </c>
      <c r="I490" s="81">
        <f t="shared" si="211"/>
        <v>17.246316785988995</v>
      </c>
      <c r="J490" s="138">
        <v>0</v>
      </c>
      <c r="K490" s="138">
        <f t="shared" si="214"/>
        <v>67604</v>
      </c>
      <c r="L490" s="138">
        <v>67604</v>
      </c>
      <c r="M490" s="80">
        <v>14573.62</v>
      </c>
      <c r="N490" s="81">
        <f t="shared" si="212"/>
        <v>21.557333885568902</v>
      </c>
      <c r="O490" s="423"/>
    </row>
    <row r="491" spans="1:15" s="15" customFormat="1" ht="11.1" customHeight="1" outlineLevel="1" x14ac:dyDescent="0.2">
      <c r="A491" s="205"/>
      <c r="B491" s="76" t="s">
        <v>12</v>
      </c>
      <c r="C491" s="82" t="s">
        <v>547</v>
      </c>
      <c r="D491" s="108"/>
      <c r="E491" s="108"/>
      <c r="F491" s="79" t="s">
        <v>8</v>
      </c>
      <c r="G491" s="165">
        <v>0</v>
      </c>
      <c r="H491" s="138">
        <f t="shared" si="213"/>
        <v>0</v>
      </c>
      <c r="I491" s="81" t="str">
        <f t="shared" si="211"/>
        <v>-</v>
      </c>
      <c r="J491" s="138">
        <v>0</v>
      </c>
      <c r="K491" s="138">
        <f t="shared" si="214"/>
        <v>0</v>
      </c>
      <c r="L491" s="138">
        <v>0</v>
      </c>
      <c r="M491" s="80">
        <v>0</v>
      </c>
      <c r="N491" s="81" t="str">
        <f t="shared" si="212"/>
        <v>-</v>
      </c>
      <c r="O491" s="423"/>
    </row>
    <row r="492" spans="1:15" s="15" customFormat="1" ht="11.1" customHeight="1" outlineLevel="1" x14ac:dyDescent="0.2">
      <c r="A492" s="205"/>
      <c r="B492" s="76" t="s">
        <v>23</v>
      </c>
      <c r="C492" s="82" t="s">
        <v>548</v>
      </c>
      <c r="D492" s="108"/>
      <c r="E492" s="108"/>
      <c r="F492" s="79" t="s">
        <v>22</v>
      </c>
      <c r="G492" s="165">
        <v>0</v>
      </c>
      <c r="H492" s="138">
        <f t="shared" si="213"/>
        <v>0</v>
      </c>
      <c r="I492" s="81" t="str">
        <f t="shared" si="211"/>
        <v>-</v>
      </c>
      <c r="J492" s="138">
        <v>0</v>
      </c>
      <c r="K492" s="138">
        <f t="shared" si="214"/>
        <v>0</v>
      </c>
      <c r="L492" s="138">
        <v>0</v>
      </c>
      <c r="M492" s="80">
        <v>0</v>
      </c>
      <c r="N492" s="81" t="str">
        <f t="shared" si="212"/>
        <v>-</v>
      </c>
      <c r="O492" s="423"/>
    </row>
    <row r="493" spans="1:15" s="15" customFormat="1" ht="11.1" customHeight="1" outlineLevel="1" x14ac:dyDescent="0.2">
      <c r="A493" s="205"/>
      <c r="B493" s="76"/>
      <c r="C493" s="82" t="s">
        <v>549</v>
      </c>
      <c r="D493" s="108"/>
      <c r="E493" s="108"/>
      <c r="F493" s="79" t="s">
        <v>45</v>
      </c>
      <c r="G493" s="165">
        <v>0</v>
      </c>
      <c r="H493" s="138">
        <f t="shared" si="213"/>
        <v>0</v>
      </c>
      <c r="I493" s="166" t="str">
        <f t="shared" si="211"/>
        <v>-</v>
      </c>
      <c r="J493" s="138">
        <v>0</v>
      </c>
      <c r="K493" s="138">
        <f t="shared" si="214"/>
        <v>0</v>
      </c>
      <c r="L493" s="138">
        <v>0</v>
      </c>
      <c r="M493" s="80">
        <v>0</v>
      </c>
      <c r="N493" s="81" t="str">
        <f t="shared" si="212"/>
        <v>-</v>
      </c>
      <c r="O493" s="423"/>
    </row>
    <row r="494" spans="1:15" s="15" customFormat="1" ht="11.1" customHeight="1" outlineLevel="1" x14ac:dyDescent="0.2">
      <c r="A494" s="205"/>
      <c r="B494" s="76"/>
      <c r="C494" s="82"/>
      <c r="D494" s="108"/>
      <c r="E494" s="108"/>
      <c r="F494" s="79" t="s">
        <v>359</v>
      </c>
      <c r="G494" s="165">
        <v>0</v>
      </c>
      <c r="H494" s="138">
        <f t="shared" si="213"/>
        <v>0</v>
      </c>
      <c r="I494" s="166" t="str">
        <f t="shared" si="211"/>
        <v>-</v>
      </c>
      <c r="J494" s="138">
        <v>0</v>
      </c>
      <c r="K494" s="138">
        <f t="shared" si="214"/>
        <v>0</v>
      </c>
      <c r="L494" s="138">
        <v>0</v>
      </c>
      <c r="M494" s="80">
        <v>0</v>
      </c>
      <c r="N494" s="81" t="str">
        <f t="shared" si="212"/>
        <v>-</v>
      </c>
      <c r="O494" s="423"/>
    </row>
    <row r="495" spans="1:15" s="15" customFormat="1" ht="3.95" customHeight="1" outlineLevel="1" x14ac:dyDescent="0.2">
      <c r="A495" s="232"/>
      <c r="B495" s="85"/>
      <c r="C495" s="86"/>
      <c r="D495" s="216"/>
      <c r="E495" s="216"/>
      <c r="F495" s="204"/>
      <c r="G495" s="167"/>
      <c r="H495" s="167"/>
      <c r="I495" s="88"/>
      <c r="J495" s="167"/>
      <c r="K495" s="167"/>
      <c r="L495" s="140"/>
      <c r="M495" s="163"/>
      <c r="N495" s="88"/>
      <c r="O495" s="325"/>
    </row>
    <row r="496" spans="1:15" s="15" customFormat="1" ht="3.95" customHeight="1" outlineLevel="1" x14ac:dyDescent="0.2">
      <c r="A496" s="233"/>
      <c r="B496" s="72"/>
      <c r="C496" s="73"/>
      <c r="D496" s="179"/>
      <c r="E496" s="179"/>
      <c r="F496" s="224"/>
      <c r="G496" s="222"/>
      <c r="H496" s="222"/>
      <c r="I496" s="75"/>
      <c r="J496" s="222"/>
      <c r="K496" s="222"/>
      <c r="L496" s="135"/>
      <c r="M496" s="218"/>
      <c r="N496" s="75"/>
      <c r="O496" s="390"/>
    </row>
    <row r="497" spans="1:15" s="15" customFormat="1" ht="11.1" customHeight="1" outlineLevel="1" x14ac:dyDescent="0.2">
      <c r="A497" s="424" t="s">
        <v>491</v>
      </c>
      <c r="B497" s="76" t="s">
        <v>9</v>
      </c>
      <c r="C497" s="148" t="s">
        <v>81</v>
      </c>
      <c r="D497" s="410" t="s">
        <v>389</v>
      </c>
      <c r="E497" s="410" t="s">
        <v>198</v>
      </c>
      <c r="F497" s="78" t="s">
        <v>157</v>
      </c>
      <c r="G497" s="164">
        <f>SUM(G498:G503)</f>
        <v>84000</v>
      </c>
      <c r="H497" s="164">
        <f>SUM(H498:H503)</f>
        <v>23935</v>
      </c>
      <c r="I497" s="39">
        <f t="shared" ref="I497:I503" si="215">IF(G497&gt;0,H497/G497*100,"-")</f>
        <v>28.49404761904762</v>
      </c>
      <c r="J497" s="164">
        <f>SUM(J498:J503)</f>
        <v>0</v>
      </c>
      <c r="K497" s="164">
        <f>SUM(K498:K503)</f>
        <v>67200</v>
      </c>
      <c r="L497" s="164">
        <f>SUM(L498:L503)</f>
        <v>67200</v>
      </c>
      <c r="M497" s="38">
        <f>SUM(M498:M503)</f>
        <v>23934.7</v>
      </c>
      <c r="N497" s="39">
        <f t="shared" ref="N497:N503" si="216">IF(L497&gt;0,M497/L497*100,"-")</f>
        <v>35.617113095238096</v>
      </c>
      <c r="O497" s="422" t="s">
        <v>631</v>
      </c>
    </row>
    <row r="498" spans="1:15" s="15" customFormat="1" ht="11.1" customHeight="1" outlineLevel="1" x14ac:dyDescent="0.2">
      <c r="A498" s="424"/>
      <c r="B498" s="76" t="s">
        <v>10</v>
      </c>
      <c r="C498" s="148" t="s">
        <v>82</v>
      </c>
      <c r="D498" s="410"/>
      <c r="E498" s="410"/>
      <c r="F498" s="79" t="s">
        <v>15</v>
      </c>
      <c r="G498" s="165">
        <v>0</v>
      </c>
      <c r="H498" s="138">
        <f t="shared" ref="H498:H503" si="217">ROUNDUP(0+M498,0)</f>
        <v>0</v>
      </c>
      <c r="I498" s="81" t="str">
        <f t="shared" si="215"/>
        <v>-</v>
      </c>
      <c r="J498" s="138">
        <v>0</v>
      </c>
      <c r="K498" s="138">
        <f t="shared" ref="K498:K503" si="218">L498-J498</f>
        <v>0</v>
      </c>
      <c r="L498" s="138">
        <v>0</v>
      </c>
      <c r="M498" s="80">
        <v>0</v>
      </c>
      <c r="N498" s="81" t="str">
        <f t="shared" si="216"/>
        <v>-</v>
      </c>
      <c r="O498" s="423"/>
    </row>
    <row r="499" spans="1:15" s="15" customFormat="1" ht="11.1" customHeight="1" outlineLevel="1" x14ac:dyDescent="0.2">
      <c r="A499" s="424"/>
      <c r="B499" s="76" t="s">
        <v>11</v>
      </c>
      <c r="C499" s="82" t="s">
        <v>83</v>
      </c>
      <c r="D499" s="410"/>
      <c r="E499" s="410"/>
      <c r="F499" s="79" t="s">
        <v>7</v>
      </c>
      <c r="G499" s="165">
        <v>84000</v>
      </c>
      <c r="H499" s="138">
        <f t="shared" si="217"/>
        <v>23935</v>
      </c>
      <c r="I499" s="81">
        <f t="shared" si="215"/>
        <v>28.49404761904762</v>
      </c>
      <c r="J499" s="138">
        <v>0</v>
      </c>
      <c r="K499" s="138">
        <f t="shared" si="218"/>
        <v>67200</v>
      </c>
      <c r="L499" s="138">
        <v>67200</v>
      </c>
      <c r="M499" s="80">
        <v>23934.7</v>
      </c>
      <c r="N499" s="81">
        <f t="shared" si="216"/>
        <v>35.617113095238096</v>
      </c>
      <c r="O499" s="423"/>
    </row>
    <row r="500" spans="1:15" s="15" customFormat="1" ht="11.1" customHeight="1" outlineLevel="1" x14ac:dyDescent="0.2">
      <c r="A500" s="205"/>
      <c r="B500" s="76" t="s">
        <v>12</v>
      </c>
      <c r="C500" s="82" t="s">
        <v>550</v>
      </c>
      <c r="D500" s="108"/>
      <c r="E500" s="108"/>
      <c r="F500" s="79" t="s">
        <v>8</v>
      </c>
      <c r="G500" s="165">
        <v>0</v>
      </c>
      <c r="H500" s="138">
        <f t="shared" si="217"/>
        <v>0</v>
      </c>
      <c r="I500" s="81" t="str">
        <f t="shared" si="215"/>
        <v>-</v>
      </c>
      <c r="J500" s="138">
        <v>0</v>
      </c>
      <c r="K500" s="138">
        <f t="shared" si="218"/>
        <v>0</v>
      </c>
      <c r="L500" s="138">
        <v>0</v>
      </c>
      <c r="M500" s="80">
        <v>0</v>
      </c>
      <c r="N500" s="81" t="str">
        <f t="shared" si="216"/>
        <v>-</v>
      </c>
      <c r="O500" s="423"/>
    </row>
    <row r="501" spans="1:15" s="15" customFormat="1" ht="11.1" customHeight="1" outlineLevel="1" x14ac:dyDescent="0.2">
      <c r="A501" s="205"/>
      <c r="B501" s="76" t="s">
        <v>23</v>
      </c>
      <c r="C501" s="82" t="s">
        <v>551</v>
      </c>
      <c r="D501" s="108"/>
      <c r="E501" s="108"/>
      <c r="F501" s="79" t="s">
        <v>22</v>
      </c>
      <c r="G501" s="165">
        <v>0</v>
      </c>
      <c r="H501" s="138">
        <f t="shared" si="217"/>
        <v>0</v>
      </c>
      <c r="I501" s="81" t="str">
        <f t="shared" si="215"/>
        <v>-</v>
      </c>
      <c r="J501" s="138">
        <v>0</v>
      </c>
      <c r="K501" s="138">
        <f t="shared" si="218"/>
        <v>0</v>
      </c>
      <c r="L501" s="138">
        <v>0</v>
      </c>
      <c r="M501" s="80">
        <v>0</v>
      </c>
      <c r="N501" s="81" t="str">
        <f t="shared" si="216"/>
        <v>-</v>
      </c>
      <c r="O501" s="423"/>
    </row>
    <row r="502" spans="1:15" s="15" customFormat="1" ht="11.1" customHeight="1" outlineLevel="1" x14ac:dyDescent="0.2">
      <c r="A502" s="205"/>
      <c r="B502" s="76"/>
      <c r="C502" s="82" t="s">
        <v>552</v>
      </c>
      <c r="D502" s="108"/>
      <c r="E502" s="108"/>
      <c r="F502" s="79" t="s">
        <v>45</v>
      </c>
      <c r="G502" s="165">
        <v>0</v>
      </c>
      <c r="H502" s="138">
        <f t="shared" si="217"/>
        <v>0</v>
      </c>
      <c r="I502" s="166" t="str">
        <f t="shared" si="215"/>
        <v>-</v>
      </c>
      <c r="J502" s="138">
        <v>0</v>
      </c>
      <c r="K502" s="138">
        <f t="shared" si="218"/>
        <v>0</v>
      </c>
      <c r="L502" s="138">
        <v>0</v>
      </c>
      <c r="M502" s="80">
        <v>0</v>
      </c>
      <c r="N502" s="81" t="str">
        <f t="shared" si="216"/>
        <v>-</v>
      </c>
      <c r="O502" s="423"/>
    </row>
    <row r="503" spans="1:15" s="15" customFormat="1" ht="11.1" customHeight="1" outlineLevel="1" x14ac:dyDescent="0.2">
      <c r="A503" s="205"/>
      <c r="B503" s="76"/>
      <c r="C503" s="82" t="s">
        <v>553</v>
      </c>
      <c r="D503" s="108"/>
      <c r="E503" s="108"/>
      <c r="F503" s="79" t="s">
        <v>359</v>
      </c>
      <c r="G503" s="165">
        <v>0</v>
      </c>
      <c r="H503" s="138">
        <f t="shared" si="217"/>
        <v>0</v>
      </c>
      <c r="I503" s="166" t="str">
        <f t="shared" si="215"/>
        <v>-</v>
      </c>
      <c r="J503" s="138">
        <v>0</v>
      </c>
      <c r="K503" s="138">
        <f t="shared" si="218"/>
        <v>0</v>
      </c>
      <c r="L503" s="138">
        <v>0</v>
      </c>
      <c r="M503" s="80">
        <v>0</v>
      </c>
      <c r="N503" s="81" t="str">
        <f t="shared" si="216"/>
        <v>-</v>
      </c>
      <c r="O503" s="423"/>
    </row>
    <row r="504" spans="1:15" s="15" customFormat="1" ht="3.95" customHeight="1" outlineLevel="1" x14ac:dyDescent="0.2">
      <c r="A504" s="232"/>
      <c r="B504" s="85"/>
      <c r="C504" s="86"/>
      <c r="D504" s="216"/>
      <c r="E504" s="216"/>
      <c r="F504" s="204"/>
      <c r="G504" s="167"/>
      <c r="H504" s="167"/>
      <c r="I504" s="88"/>
      <c r="J504" s="167"/>
      <c r="K504" s="167"/>
      <c r="L504" s="140"/>
      <c r="M504" s="163"/>
      <c r="N504" s="88"/>
      <c r="O504" s="325"/>
    </row>
    <row r="505" spans="1:15" s="15" customFormat="1" ht="3.95" customHeight="1" outlineLevel="1" x14ac:dyDescent="0.2">
      <c r="A505" s="233"/>
      <c r="B505" s="72"/>
      <c r="C505" s="73"/>
      <c r="D505" s="179"/>
      <c r="E505" s="179"/>
      <c r="F505" s="224"/>
      <c r="G505" s="222"/>
      <c r="H505" s="222"/>
      <c r="I505" s="75"/>
      <c r="J505" s="222"/>
      <c r="K505" s="222"/>
      <c r="L505" s="135"/>
      <c r="M505" s="218"/>
      <c r="N505" s="75"/>
      <c r="O505" s="390"/>
    </row>
    <row r="506" spans="1:15" s="15" customFormat="1" ht="11.1" customHeight="1" outlineLevel="1" x14ac:dyDescent="0.2">
      <c r="A506" s="424" t="s">
        <v>492</v>
      </c>
      <c r="B506" s="76" t="s">
        <v>9</v>
      </c>
      <c r="C506" s="148" t="s">
        <v>81</v>
      </c>
      <c r="D506" s="410" t="s">
        <v>182</v>
      </c>
      <c r="E506" s="410" t="s">
        <v>198</v>
      </c>
      <c r="F506" s="78" t="s">
        <v>157</v>
      </c>
      <c r="G506" s="164">
        <f>SUM(G507:G512)</f>
        <v>80260</v>
      </c>
      <c r="H506" s="164">
        <f>SUM(H507:H512)</f>
        <v>80259</v>
      </c>
      <c r="I506" s="39">
        <f t="shared" ref="I506:I512" si="219">IF(G506&gt;0,H506/G506*100,"-")</f>
        <v>99.998754049339638</v>
      </c>
      <c r="J506" s="164">
        <f>SUM(J507:J512)</f>
        <v>16052</v>
      </c>
      <c r="K506" s="164">
        <f>SUM(K507:K512)</f>
        <v>17305</v>
      </c>
      <c r="L506" s="164">
        <f>SUM(L507:L512)</f>
        <v>33357</v>
      </c>
      <c r="M506" s="38">
        <f>SUM(M507:M512)</f>
        <v>33355.46</v>
      </c>
      <c r="N506" s="39">
        <f t="shared" ref="N506:N512" si="220">IF(L506&gt;0,M506/L506*100,"-")</f>
        <v>99.995383277872705</v>
      </c>
      <c r="O506" s="422" t="s">
        <v>634</v>
      </c>
    </row>
    <row r="507" spans="1:15" s="15" customFormat="1" ht="11.1" customHeight="1" outlineLevel="1" x14ac:dyDescent="0.2">
      <c r="A507" s="424"/>
      <c r="B507" s="76" t="s">
        <v>10</v>
      </c>
      <c r="C507" s="148" t="s">
        <v>82</v>
      </c>
      <c r="D507" s="410"/>
      <c r="E507" s="410"/>
      <c r="F507" s="79" t="s">
        <v>15</v>
      </c>
      <c r="G507" s="165">
        <v>0</v>
      </c>
      <c r="H507" s="138">
        <f>ROUNDUP(0+M507,0)</f>
        <v>0</v>
      </c>
      <c r="I507" s="81" t="str">
        <f t="shared" si="219"/>
        <v>-</v>
      </c>
      <c r="J507" s="138">
        <v>0</v>
      </c>
      <c r="K507" s="138">
        <f t="shared" ref="K507:K512" si="221">L507-J507</f>
        <v>0</v>
      </c>
      <c r="L507" s="138">
        <v>0</v>
      </c>
      <c r="M507" s="80">
        <v>0</v>
      </c>
      <c r="N507" s="81" t="str">
        <f t="shared" si="220"/>
        <v>-</v>
      </c>
      <c r="O507" s="423"/>
    </row>
    <row r="508" spans="1:15" s="15" customFormat="1" ht="11.1" customHeight="1" outlineLevel="1" x14ac:dyDescent="0.2">
      <c r="A508" s="424"/>
      <c r="B508" s="76" t="s">
        <v>11</v>
      </c>
      <c r="C508" s="82" t="s">
        <v>83</v>
      </c>
      <c r="D508" s="410"/>
      <c r="E508" s="410"/>
      <c r="F508" s="79" t="s">
        <v>7</v>
      </c>
      <c r="G508" s="165">
        <v>80260</v>
      </c>
      <c r="H508" s="165">
        <f>ROUNDUP(46903+M508,0)</f>
        <v>80259</v>
      </c>
      <c r="I508" s="81">
        <f t="shared" si="219"/>
        <v>99.998754049339638</v>
      </c>
      <c r="J508" s="138">
        <v>16052</v>
      </c>
      <c r="K508" s="138">
        <f t="shared" si="221"/>
        <v>17305</v>
      </c>
      <c r="L508" s="138">
        <v>33357</v>
      </c>
      <c r="M508" s="80">
        <v>33355.46</v>
      </c>
      <c r="N508" s="81">
        <f t="shared" si="220"/>
        <v>99.995383277872705</v>
      </c>
      <c r="O508" s="423"/>
    </row>
    <row r="509" spans="1:15" s="15" customFormat="1" ht="11.1" customHeight="1" outlineLevel="1" x14ac:dyDescent="0.2">
      <c r="A509" s="205"/>
      <c r="B509" s="76" t="s">
        <v>12</v>
      </c>
      <c r="C509" s="82" t="s">
        <v>203</v>
      </c>
      <c r="D509" s="108"/>
      <c r="E509" s="108"/>
      <c r="F509" s="79" t="s">
        <v>8</v>
      </c>
      <c r="G509" s="165">
        <v>0</v>
      </c>
      <c r="H509" s="138">
        <f>ROUNDUP(0+M509,0)</f>
        <v>0</v>
      </c>
      <c r="I509" s="81" t="str">
        <f t="shared" si="219"/>
        <v>-</v>
      </c>
      <c r="J509" s="138">
        <v>0</v>
      </c>
      <c r="K509" s="138">
        <f t="shared" si="221"/>
        <v>0</v>
      </c>
      <c r="L509" s="138">
        <v>0</v>
      </c>
      <c r="M509" s="80">
        <v>0</v>
      </c>
      <c r="N509" s="81" t="str">
        <f t="shared" si="220"/>
        <v>-</v>
      </c>
      <c r="O509" s="423"/>
    </row>
    <row r="510" spans="1:15" s="15" customFormat="1" ht="11.1" customHeight="1" outlineLevel="1" x14ac:dyDescent="0.2">
      <c r="A510" s="205"/>
      <c r="B510" s="76" t="s">
        <v>23</v>
      </c>
      <c r="C510" s="82" t="s">
        <v>199</v>
      </c>
      <c r="D510" s="108"/>
      <c r="E510" s="108"/>
      <c r="F510" s="79" t="s">
        <v>22</v>
      </c>
      <c r="G510" s="165">
        <v>0</v>
      </c>
      <c r="H510" s="138">
        <f>ROUNDUP(0+M510,0)</f>
        <v>0</v>
      </c>
      <c r="I510" s="81" t="str">
        <f t="shared" si="219"/>
        <v>-</v>
      </c>
      <c r="J510" s="138">
        <v>0</v>
      </c>
      <c r="K510" s="138">
        <f t="shared" si="221"/>
        <v>0</v>
      </c>
      <c r="L510" s="138">
        <v>0</v>
      </c>
      <c r="M510" s="80">
        <v>0</v>
      </c>
      <c r="N510" s="81" t="str">
        <f t="shared" si="220"/>
        <v>-</v>
      </c>
      <c r="O510" s="423"/>
    </row>
    <row r="511" spans="1:15" s="15" customFormat="1" ht="11.1" customHeight="1" outlineLevel="1" x14ac:dyDescent="0.2">
      <c r="A511" s="205"/>
      <c r="B511" s="76"/>
      <c r="C511" s="82" t="s">
        <v>200</v>
      </c>
      <c r="D511" s="108"/>
      <c r="E511" s="108"/>
      <c r="F511" s="79" t="s">
        <v>45</v>
      </c>
      <c r="G511" s="165">
        <v>0</v>
      </c>
      <c r="H511" s="138">
        <f>ROUNDUP(0+M511,0)</f>
        <v>0</v>
      </c>
      <c r="I511" s="166" t="str">
        <f t="shared" si="219"/>
        <v>-</v>
      </c>
      <c r="J511" s="138">
        <v>0</v>
      </c>
      <c r="K511" s="138">
        <f t="shared" si="221"/>
        <v>0</v>
      </c>
      <c r="L511" s="138">
        <v>0</v>
      </c>
      <c r="M511" s="80">
        <v>0</v>
      </c>
      <c r="N511" s="81" t="str">
        <f t="shared" si="220"/>
        <v>-</v>
      </c>
      <c r="O511" s="423"/>
    </row>
    <row r="512" spans="1:15" s="15" customFormat="1" ht="11.1" customHeight="1" outlineLevel="1" x14ac:dyDescent="0.2">
      <c r="A512" s="205"/>
      <c r="B512" s="76"/>
      <c r="C512" s="82"/>
      <c r="D512" s="108"/>
      <c r="E512" s="108"/>
      <c r="F512" s="79" t="s">
        <v>359</v>
      </c>
      <c r="G512" s="165">
        <v>0</v>
      </c>
      <c r="H512" s="138">
        <f>ROUNDUP(0+M512,0)</f>
        <v>0</v>
      </c>
      <c r="I512" s="166" t="str">
        <f t="shared" si="219"/>
        <v>-</v>
      </c>
      <c r="J512" s="138">
        <v>0</v>
      </c>
      <c r="K512" s="138">
        <f t="shared" si="221"/>
        <v>0</v>
      </c>
      <c r="L512" s="138">
        <v>0</v>
      </c>
      <c r="M512" s="80">
        <v>0</v>
      </c>
      <c r="N512" s="81" t="str">
        <f t="shared" si="220"/>
        <v>-</v>
      </c>
      <c r="O512" s="423"/>
    </row>
    <row r="513" spans="1:15" s="15" customFormat="1" ht="3.95" customHeight="1" outlineLevel="1" x14ac:dyDescent="0.2">
      <c r="A513" s="232"/>
      <c r="B513" s="85"/>
      <c r="C513" s="86"/>
      <c r="D513" s="216"/>
      <c r="E513" s="216"/>
      <c r="F513" s="204"/>
      <c r="G513" s="167"/>
      <c r="H513" s="167"/>
      <c r="I513" s="88"/>
      <c r="J513" s="167"/>
      <c r="K513" s="167"/>
      <c r="L513" s="140"/>
      <c r="M513" s="163"/>
      <c r="N513" s="88"/>
      <c r="O513" s="325"/>
    </row>
    <row r="514" spans="1:15" s="15" customFormat="1" ht="3.95" customHeight="1" outlineLevel="1" x14ac:dyDescent="0.2">
      <c r="A514" s="185"/>
      <c r="B514" s="72"/>
      <c r="C514" s="73"/>
      <c r="D514" s="179"/>
      <c r="E514" s="179"/>
      <c r="F514" s="224"/>
      <c r="G514" s="222"/>
      <c r="H514" s="222"/>
      <c r="I514" s="223"/>
      <c r="J514" s="222"/>
      <c r="K514" s="222"/>
      <c r="L514" s="135"/>
      <c r="M514" s="218"/>
      <c r="N514" s="75"/>
      <c r="O514" s="390"/>
    </row>
    <row r="515" spans="1:15" s="15" customFormat="1" ht="11.1" customHeight="1" outlineLevel="1" x14ac:dyDescent="0.2">
      <c r="A515" s="424" t="s">
        <v>493</v>
      </c>
      <c r="B515" s="76" t="s">
        <v>9</v>
      </c>
      <c r="C515" s="148" t="s">
        <v>81</v>
      </c>
      <c r="D515" s="410" t="s">
        <v>279</v>
      </c>
      <c r="E515" s="410" t="s">
        <v>190</v>
      </c>
      <c r="F515" s="78" t="s">
        <v>157</v>
      </c>
      <c r="G515" s="164">
        <f>SUM(G516:G521)</f>
        <v>80857</v>
      </c>
      <c r="H515" s="164">
        <f>SUM(H516:H521)</f>
        <v>37842</v>
      </c>
      <c r="I515" s="39">
        <f t="shared" ref="I515:I521" si="222">IF(G515&gt;0,H515/G515*100,"-")</f>
        <v>46.801142758202751</v>
      </c>
      <c r="J515" s="164">
        <f>SUM(J516:J521)</f>
        <v>0</v>
      </c>
      <c r="K515" s="164">
        <f>SUM(K516:K521)</f>
        <v>62133</v>
      </c>
      <c r="L515" s="164">
        <f>SUM(L516:L521)</f>
        <v>62133</v>
      </c>
      <c r="M515" s="38">
        <f>SUM(M516:M521)</f>
        <v>35604.1</v>
      </c>
      <c r="N515" s="39">
        <f t="shared" ref="N515:N521" si="223">IF(L515&gt;0,M515/L515*100,"-")</f>
        <v>57.303043471263258</v>
      </c>
      <c r="O515" s="422" t="s">
        <v>631</v>
      </c>
    </row>
    <row r="516" spans="1:15" s="15" customFormat="1" ht="11.1" customHeight="1" outlineLevel="1" x14ac:dyDescent="0.2">
      <c r="A516" s="424"/>
      <c r="B516" s="76" t="s">
        <v>10</v>
      </c>
      <c r="C516" s="148" t="s">
        <v>82</v>
      </c>
      <c r="D516" s="410"/>
      <c r="E516" s="410"/>
      <c r="F516" s="79" t="s">
        <v>15</v>
      </c>
      <c r="G516" s="165">
        <v>0</v>
      </c>
      <c r="H516" s="138">
        <f t="shared" ref="H516:H521" si="224">ROUNDUP(0+M516,0)</f>
        <v>0</v>
      </c>
      <c r="I516" s="81" t="str">
        <f t="shared" si="222"/>
        <v>-</v>
      </c>
      <c r="J516" s="138">
        <v>0</v>
      </c>
      <c r="K516" s="138">
        <f t="shared" ref="K516:K521" si="225">L516-J516</f>
        <v>0</v>
      </c>
      <c r="L516" s="138">
        <v>0</v>
      </c>
      <c r="M516" s="80">
        <v>0</v>
      </c>
      <c r="N516" s="81" t="str">
        <f t="shared" si="223"/>
        <v>-</v>
      </c>
      <c r="O516" s="423"/>
    </row>
    <row r="517" spans="1:15" s="15" customFormat="1" ht="11.1" customHeight="1" outlineLevel="1" x14ac:dyDescent="0.2">
      <c r="A517" s="424"/>
      <c r="B517" s="76" t="s">
        <v>11</v>
      </c>
      <c r="C517" s="82" t="s">
        <v>83</v>
      </c>
      <c r="D517" s="410"/>
      <c r="E517" s="410"/>
      <c r="F517" s="79" t="s">
        <v>7</v>
      </c>
      <c r="G517" s="165">
        <v>80857</v>
      </c>
      <c r="H517" s="165">
        <f>ROUNDUP(2237+M517,0)</f>
        <v>37842</v>
      </c>
      <c r="I517" s="81">
        <f t="shared" si="222"/>
        <v>46.801142758202751</v>
      </c>
      <c r="J517" s="138">
        <v>0</v>
      </c>
      <c r="K517" s="138">
        <f t="shared" si="225"/>
        <v>62133</v>
      </c>
      <c r="L517" s="138">
        <v>62133</v>
      </c>
      <c r="M517" s="80">
        <v>35604.1</v>
      </c>
      <c r="N517" s="81">
        <f t="shared" si="223"/>
        <v>57.303043471263258</v>
      </c>
      <c r="O517" s="423"/>
    </row>
    <row r="518" spans="1:15" s="15" customFormat="1" ht="11.1" customHeight="1" outlineLevel="1" x14ac:dyDescent="0.2">
      <c r="A518" s="205"/>
      <c r="B518" s="76" t="s">
        <v>12</v>
      </c>
      <c r="C518" s="82" t="s">
        <v>321</v>
      </c>
      <c r="D518" s="108"/>
      <c r="E518" s="108"/>
      <c r="F518" s="79" t="s">
        <v>8</v>
      </c>
      <c r="G518" s="165">
        <v>0</v>
      </c>
      <c r="H518" s="138">
        <f t="shared" si="224"/>
        <v>0</v>
      </c>
      <c r="I518" s="81" t="str">
        <f t="shared" si="222"/>
        <v>-</v>
      </c>
      <c r="J518" s="138">
        <v>0</v>
      </c>
      <c r="K518" s="138">
        <f t="shared" si="225"/>
        <v>0</v>
      </c>
      <c r="L518" s="138">
        <v>0</v>
      </c>
      <c r="M518" s="80">
        <v>0</v>
      </c>
      <c r="N518" s="81" t="str">
        <f t="shared" si="223"/>
        <v>-</v>
      </c>
      <c r="O518" s="423"/>
    </row>
    <row r="519" spans="1:15" s="15" customFormat="1" ht="11.1" customHeight="1" outlineLevel="1" x14ac:dyDescent="0.2">
      <c r="A519" s="205"/>
      <c r="B519" s="76" t="s">
        <v>23</v>
      </c>
      <c r="C519" s="82" t="s">
        <v>322</v>
      </c>
      <c r="D519" s="108"/>
      <c r="E519" s="108"/>
      <c r="F519" s="79" t="s">
        <v>22</v>
      </c>
      <c r="G519" s="165">
        <v>0</v>
      </c>
      <c r="H519" s="138">
        <f t="shared" si="224"/>
        <v>0</v>
      </c>
      <c r="I519" s="81" t="str">
        <f t="shared" si="222"/>
        <v>-</v>
      </c>
      <c r="J519" s="138">
        <v>0</v>
      </c>
      <c r="K519" s="138">
        <f t="shared" si="225"/>
        <v>0</v>
      </c>
      <c r="L519" s="138">
        <v>0</v>
      </c>
      <c r="M519" s="80">
        <v>0</v>
      </c>
      <c r="N519" s="81" t="str">
        <f t="shared" si="223"/>
        <v>-</v>
      </c>
      <c r="O519" s="423"/>
    </row>
    <row r="520" spans="1:15" s="15" customFormat="1" ht="11.1" customHeight="1" outlineLevel="1" x14ac:dyDescent="0.2">
      <c r="A520" s="205"/>
      <c r="B520" s="76"/>
      <c r="C520" s="82" t="s">
        <v>323</v>
      </c>
      <c r="D520" s="108"/>
      <c r="E520" s="108"/>
      <c r="F520" s="79" t="s">
        <v>45</v>
      </c>
      <c r="G520" s="165">
        <v>0</v>
      </c>
      <c r="H520" s="138">
        <f t="shared" si="224"/>
        <v>0</v>
      </c>
      <c r="I520" s="166" t="str">
        <f t="shared" si="222"/>
        <v>-</v>
      </c>
      <c r="J520" s="138">
        <v>0</v>
      </c>
      <c r="K520" s="138">
        <f t="shared" si="225"/>
        <v>0</v>
      </c>
      <c r="L520" s="138">
        <v>0</v>
      </c>
      <c r="M520" s="80">
        <v>0</v>
      </c>
      <c r="N520" s="81" t="str">
        <f t="shared" si="223"/>
        <v>-</v>
      </c>
      <c r="O520" s="423"/>
    </row>
    <row r="521" spans="1:15" s="15" customFormat="1" ht="11.1" customHeight="1" outlineLevel="1" x14ac:dyDescent="0.2">
      <c r="A521" s="205"/>
      <c r="B521" s="76"/>
      <c r="C521" s="82"/>
      <c r="D521" s="108"/>
      <c r="E521" s="108"/>
      <c r="F521" s="79" t="s">
        <v>359</v>
      </c>
      <c r="G521" s="165">
        <v>0</v>
      </c>
      <c r="H521" s="138">
        <f t="shared" si="224"/>
        <v>0</v>
      </c>
      <c r="I521" s="166" t="str">
        <f t="shared" si="222"/>
        <v>-</v>
      </c>
      <c r="J521" s="138">
        <v>0</v>
      </c>
      <c r="K521" s="138">
        <f t="shared" si="225"/>
        <v>0</v>
      </c>
      <c r="L521" s="138">
        <v>0</v>
      </c>
      <c r="M521" s="80">
        <v>0</v>
      </c>
      <c r="N521" s="81" t="str">
        <f t="shared" si="223"/>
        <v>-</v>
      </c>
      <c r="O521" s="423"/>
    </row>
    <row r="522" spans="1:15" s="15" customFormat="1" ht="3.95" customHeight="1" outlineLevel="1" x14ac:dyDescent="0.2">
      <c r="A522" s="219"/>
      <c r="B522" s="85"/>
      <c r="C522" s="86"/>
      <c r="D522" s="180"/>
      <c r="E522" s="180"/>
      <c r="F522" s="204"/>
      <c r="G522" s="167"/>
      <c r="H522" s="167"/>
      <c r="I522" s="88"/>
      <c r="J522" s="167"/>
      <c r="K522" s="167"/>
      <c r="L522" s="140"/>
      <c r="M522" s="163"/>
      <c r="N522" s="88"/>
      <c r="O522" s="325"/>
    </row>
    <row r="523" spans="1:15" s="15" customFormat="1" ht="3.95" customHeight="1" outlineLevel="1" x14ac:dyDescent="0.2">
      <c r="A523" s="233"/>
      <c r="B523" s="72"/>
      <c r="C523" s="73"/>
      <c r="D523" s="231"/>
      <c r="E523" s="231"/>
      <c r="F523" s="224"/>
      <c r="G523" s="222"/>
      <c r="H523" s="222"/>
      <c r="I523" s="75"/>
      <c r="J523" s="222"/>
      <c r="K523" s="222"/>
      <c r="L523" s="135"/>
      <c r="M523" s="218"/>
      <c r="N523" s="75"/>
      <c r="O523" s="326"/>
    </row>
    <row r="524" spans="1:15" s="15" customFormat="1" ht="11.1" customHeight="1" outlineLevel="1" x14ac:dyDescent="0.2">
      <c r="A524" s="424" t="s">
        <v>494</v>
      </c>
      <c r="B524" s="76" t="s">
        <v>9</v>
      </c>
      <c r="C524" s="148" t="s">
        <v>81</v>
      </c>
      <c r="D524" s="410" t="s">
        <v>279</v>
      </c>
      <c r="E524" s="410" t="s">
        <v>197</v>
      </c>
      <c r="F524" s="78" t="s">
        <v>157</v>
      </c>
      <c r="G524" s="164">
        <f>SUM(G525:G530)</f>
        <v>60054</v>
      </c>
      <c r="H524" s="164">
        <f>SUM(H525:H530)</f>
        <v>31226</v>
      </c>
      <c r="I524" s="39">
        <f t="shared" ref="I524:I530" si="226">IF(G524&gt;0,H524/G524*100,"-")</f>
        <v>51.996536450527863</v>
      </c>
      <c r="J524" s="164">
        <f>SUM(J525:J530)</f>
        <v>0</v>
      </c>
      <c r="K524" s="164">
        <f>SUM(K525:K530)</f>
        <v>35146</v>
      </c>
      <c r="L524" s="164">
        <f>SUM(L525:L530)</f>
        <v>35146</v>
      </c>
      <c r="M524" s="38">
        <f>SUM(M525:M530)</f>
        <v>18327.32</v>
      </c>
      <c r="N524" s="39">
        <f t="shared" ref="N524:N530" si="227">IF(L524&gt;0,M524/L524*100,"-")</f>
        <v>52.146247083594147</v>
      </c>
      <c r="O524" s="422" t="s">
        <v>631</v>
      </c>
    </row>
    <row r="525" spans="1:15" s="15" customFormat="1" ht="11.1" customHeight="1" outlineLevel="1" x14ac:dyDescent="0.2">
      <c r="A525" s="424"/>
      <c r="B525" s="76" t="s">
        <v>10</v>
      </c>
      <c r="C525" s="148" t="s">
        <v>82</v>
      </c>
      <c r="D525" s="410"/>
      <c r="E525" s="410"/>
      <c r="F525" s="79" t="s">
        <v>15</v>
      </c>
      <c r="G525" s="165">
        <v>0</v>
      </c>
      <c r="H525" s="138">
        <f t="shared" ref="H525:H530" si="228">ROUNDUP(0+M525,0)</f>
        <v>0</v>
      </c>
      <c r="I525" s="81" t="str">
        <f t="shared" si="226"/>
        <v>-</v>
      </c>
      <c r="J525" s="138">
        <v>0</v>
      </c>
      <c r="K525" s="138">
        <f t="shared" ref="K525:K530" si="229">L525-J525</f>
        <v>0</v>
      </c>
      <c r="L525" s="138">
        <v>0</v>
      </c>
      <c r="M525" s="80">
        <v>0</v>
      </c>
      <c r="N525" s="81" t="str">
        <f t="shared" si="227"/>
        <v>-</v>
      </c>
      <c r="O525" s="423"/>
    </row>
    <row r="526" spans="1:15" s="15" customFormat="1" ht="11.1" customHeight="1" outlineLevel="1" x14ac:dyDescent="0.2">
      <c r="A526" s="424"/>
      <c r="B526" s="76" t="s">
        <v>11</v>
      </c>
      <c r="C526" s="82" t="s">
        <v>83</v>
      </c>
      <c r="D526" s="410"/>
      <c r="E526" s="410"/>
      <c r="F526" s="79" t="s">
        <v>7</v>
      </c>
      <c r="G526" s="165">
        <v>60054</v>
      </c>
      <c r="H526" s="165">
        <f>ROUNDUP(12898+M526,0)</f>
        <v>31226</v>
      </c>
      <c r="I526" s="81">
        <f t="shared" si="226"/>
        <v>51.996536450527863</v>
      </c>
      <c r="J526" s="138">
        <v>0</v>
      </c>
      <c r="K526" s="138">
        <f t="shared" si="229"/>
        <v>35146</v>
      </c>
      <c r="L526" s="138">
        <v>35146</v>
      </c>
      <c r="M526" s="80">
        <v>18327.32</v>
      </c>
      <c r="N526" s="81">
        <f t="shared" si="227"/>
        <v>52.146247083594147</v>
      </c>
      <c r="O526" s="423"/>
    </row>
    <row r="527" spans="1:15" s="15" customFormat="1" ht="11.1" customHeight="1" outlineLevel="1" x14ac:dyDescent="0.2">
      <c r="A527" s="205"/>
      <c r="B527" s="76" t="s">
        <v>12</v>
      </c>
      <c r="C527" s="82" t="s">
        <v>324</v>
      </c>
      <c r="D527" s="108"/>
      <c r="E527" s="108"/>
      <c r="F527" s="79" t="s">
        <v>8</v>
      </c>
      <c r="G527" s="165">
        <v>0</v>
      </c>
      <c r="H527" s="138">
        <f t="shared" si="228"/>
        <v>0</v>
      </c>
      <c r="I527" s="81" t="str">
        <f t="shared" si="226"/>
        <v>-</v>
      </c>
      <c r="J527" s="138">
        <v>0</v>
      </c>
      <c r="K527" s="138">
        <f t="shared" si="229"/>
        <v>0</v>
      </c>
      <c r="L527" s="138">
        <v>0</v>
      </c>
      <c r="M527" s="80">
        <v>0</v>
      </c>
      <c r="N527" s="81" t="str">
        <f t="shared" si="227"/>
        <v>-</v>
      </c>
      <c r="O527" s="423"/>
    </row>
    <row r="528" spans="1:15" s="15" customFormat="1" ht="11.1" customHeight="1" outlineLevel="1" x14ac:dyDescent="0.2">
      <c r="A528" s="205"/>
      <c r="B528" s="76" t="s">
        <v>23</v>
      </c>
      <c r="C528" s="82" t="s">
        <v>325</v>
      </c>
      <c r="D528" s="108"/>
      <c r="E528" s="108"/>
      <c r="F528" s="79" t="s">
        <v>22</v>
      </c>
      <c r="G528" s="165">
        <v>0</v>
      </c>
      <c r="H528" s="138">
        <f t="shared" si="228"/>
        <v>0</v>
      </c>
      <c r="I528" s="81" t="str">
        <f t="shared" si="226"/>
        <v>-</v>
      </c>
      <c r="J528" s="138">
        <v>0</v>
      </c>
      <c r="K528" s="138">
        <f t="shared" si="229"/>
        <v>0</v>
      </c>
      <c r="L528" s="138">
        <v>0</v>
      </c>
      <c r="M528" s="80">
        <v>0</v>
      </c>
      <c r="N528" s="81" t="str">
        <f t="shared" si="227"/>
        <v>-</v>
      </c>
      <c r="O528" s="423"/>
    </row>
    <row r="529" spans="1:15" s="15" customFormat="1" ht="11.1" customHeight="1" outlineLevel="1" x14ac:dyDescent="0.2">
      <c r="A529" s="205"/>
      <c r="B529" s="76"/>
      <c r="C529" s="82" t="s">
        <v>326</v>
      </c>
      <c r="D529" s="108"/>
      <c r="E529" s="108"/>
      <c r="F529" s="79" t="s">
        <v>45</v>
      </c>
      <c r="G529" s="165">
        <v>0</v>
      </c>
      <c r="H529" s="138">
        <f t="shared" si="228"/>
        <v>0</v>
      </c>
      <c r="I529" s="166" t="str">
        <f t="shared" si="226"/>
        <v>-</v>
      </c>
      <c r="J529" s="138">
        <v>0</v>
      </c>
      <c r="K529" s="138">
        <f t="shared" si="229"/>
        <v>0</v>
      </c>
      <c r="L529" s="138">
        <v>0</v>
      </c>
      <c r="M529" s="80">
        <v>0</v>
      </c>
      <c r="N529" s="81" t="str">
        <f t="shared" si="227"/>
        <v>-</v>
      </c>
      <c r="O529" s="423"/>
    </row>
    <row r="530" spans="1:15" s="15" customFormat="1" ht="11.1" customHeight="1" outlineLevel="1" x14ac:dyDescent="0.2">
      <c r="A530" s="205"/>
      <c r="B530" s="76"/>
      <c r="C530" s="82"/>
      <c r="D530" s="108"/>
      <c r="E530" s="108"/>
      <c r="F530" s="79" t="s">
        <v>359</v>
      </c>
      <c r="G530" s="165">
        <v>0</v>
      </c>
      <c r="H530" s="138">
        <f t="shared" si="228"/>
        <v>0</v>
      </c>
      <c r="I530" s="166" t="str">
        <f t="shared" si="226"/>
        <v>-</v>
      </c>
      <c r="J530" s="138">
        <v>0</v>
      </c>
      <c r="K530" s="138">
        <f t="shared" si="229"/>
        <v>0</v>
      </c>
      <c r="L530" s="138">
        <v>0</v>
      </c>
      <c r="M530" s="80">
        <v>0</v>
      </c>
      <c r="N530" s="81" t="str">
        <f t="shared" si="227"/>
        <v>-</v>
      </c>
      <c r="O530" s="423"/>
    </row>
    <row r="531" spans="1:15" s="15" customFormat="1" ht="3.95" customHeight="1" outlineLevel="1" x14ac:dyDescent="0.2">
      <c r="A531" s="232"/>
      <c r="B531" s="85"/>
      <c r="C531" s="86"/>
      <c r="D531" s="180"/>
      <c r="E531" s="180"/>
      <c r="F531" s="204"/>
      <c r="G531" s="167"/>
      <c r="H531" s="167"/>
      <c r="I531" s="88"/>
      <c r="J531" s="167"/>
      <c r="K531" s="167"/>
      <c r="L531" s="140"/>
      <c r="M531" s="163"/>
      <c r="N531" s="88"/>
      <c r="O531" s="325"/>
    </row>
    <row r="532" spans="1:15" s="15" customFormat="1" ht="3.95" customHeight="1" outlineLevel="1" x14ac:dyDescent="0.2">
      <c r="A532" s="233"/>
      <c r="B532" s="72"/>
      <c r="C532" s="73"/>
      <c r="D532" s="231"/>
      <c r="E532" s="231"/>
      <c r="F532" s="224"/>
      <c r="G532" s="222"/>
      <c r="H532" s="222"/>
      <c r="I532" s="75"/>
      <c r="J532" s="222"/>
      <c r="K532" s="222"/>
      <c r="L532" s="135"/>
      <c r="M532" s="218"/>
      <c r="N532" s="75"/>
      <c r="O532" s="326"/>
    </row>
    <row r="533" spans="1:15" s="15" customFormat="1" ht="11.1" customHeight="1" outlineLevel="1" x14ac:dyDescent="0.2">
      <c r="A533" s="424" t="s">
        <v>495</v>
      </c>
      <c r="B533" s="76" t="s">
        <v>9</v>
      </c>
      <c r="C533" s="148" t="s">
        <v>81</v>
      </c>
      <c r="D533" s="410" t="s">
        <v>182</v>
      </c>
      <c r="E533" s="410" t="s">
        <v>197</v>
      </c>
      <c r="F533" s="78" t="s">
        <v>157</v>
      </c>
      <c r="G533" s="164">
        <f>SUM(G534:G539)</f>
        <v>60431</v>
      </c>
      <c r="H533" s="164">
        <f>SUM(H534:H539)</f>
        <v>60308</v>
      </c>
      <c r="I533" s="39">
        <f t="shared" ref="I533:I539" si="230">IF(G533&gt;0,H533/G533*100,"-")</f>
        <v>99.796462080720161</v>
      </c>
      <c r="J533" s="164">
        <f>SUM(J534:J539)</f>
        <v>12086</v>
      </c>
      <c r="K533" s="164">
        <f>SUM(K534:K539)</f>
        <v>20796</v>
      </c>
      <c r="L533" s="164">
        <f>SUM(L534:L539)</f>
        <v>32882</v>
      </c>
      <c r="M533" s="38">
        <f>SUM(M534:M539)</f>
        <v>32758.34</v>
      </c>
      <c r="N533" s="39">
        <f t="shared" ref="N533:N539" si="231">IF(L533&gt;0,M533/L533*100,"-")</f>
        <v>99.623927984915767</v>
      </c>
      <c r="O533" s="422" t="s">
        <v>634</v>
      </c>
    </row>
    <row r="534" spans="1:15" s="15" customFormat="1" ht="11.1" customHeight="1" outlineLevel="1" x14ac:dyDescent="0.2">
      <c r="A534" s="424"/>
      <c r="B534" s="76" t="s">
        <v>10</v>
      </c>
      <c r="C534" s="148" t="s">
        <v>82</v>
      </c>
      <c r="D534" s="410"/>
      <c r="E534" s="410"/>
      <c r="F534" s="79" t="s">
        <v>15</v>
      </c>
      <c r="G534" s="165">
        <v>0</v>
      </c>
      <c r="H534" s="138">
        <f>ROUNDUP(0+M534,0)</f>
        <v>0</v>
      </c>
      <c r="I534" s="81" t="str">
        <f t="shared" si="230"/>
        <v>-</v>
      </c>
      <c r="J534" s="138">
        <v>0</v>
      </c>
      <c r="K534" s="138">
        <f t="shared" ref="K534:K539" si="232">L534-J534</f>
        <v>0</v>
      </c>
      <c r="L534" s="138">
        <v>0</v>
      </c>
      <c r="M534" s="80">
        <v>0</v>
      </c>
      <c r="N534" s="81" t="str">
        <f t="shared" si="231"/>
        <v>-</v>
      </c>
      <c r="O534" s="423"/>
    </row>
    <row r="535" spans="1:15" s="15" customFormat="1" ht="11.1" customHeight="1" outlineLevel="1" x14ac:dyDescent="0.2">
      <c r="A535" s="424"/>
      <c r="B535" s="76" t="s">
        <v>11</v>
      </c>
      <c r="C535" s="82" t="s">
        <v>83</v>
      </c>
      <c r="D535" s="410"/>
      <c r="E535" s="410"/>
      <c r="F535" s="79" t="s">
        <v>7</v>
      </c>
      <c r="G535" s="165">
        <v>60431</v>
      </c>
      <c r="H535" s="165">
        <f>ROUNDUP(27549+M535,0)</f>
        <v>60308</v>
      </c>
      <c r="I535" s="81">
        <f t="shared" si="230"/>
        <v>99.796462080720161</v>
      </c>
      <c r="J535" s="138">
        <v>12086</v>
      </c>
      <c r="K535" s="138">
        <f t="shared" si="232"/>
        <v>20796</v>
      </c>
      <c r="L535" s="138">
        <v>32882</v>
      </c>
      <c r="M535" s="80">
        <v>32758.34</v>
      </c>
      <c r="N535" s="81">
        <f t="shared" si="231"/>
        <v>99.623927984915767</v>
      </c>
      <c r="O535" s="423"/>
    </row>
    <row r="536" spans="1:15" s="15" customFormat="1" ht="11.1" customHeight="1" outlineLevel="1" x14ac:dyDescent="0.2">
      <c r="A536" s="205"/>
      <c r="B536" s="76" t="s">
        <v>12</v>
      </c>
      <c r="C536" s="82" t="s">
        <v>204</v>
      </c>
      <c r="D536" s="108"/>
      <c r="E536" s="108"/>
      <c r="F536" s="79" t="s">
        <v>8</v>
      </c>
      <c r="G536" s="165">
        <v>0</v>
      </c>
      <c r="H536" s="138">
        <f>ROUNDUP(0+M536,0)</f>
        <v>0</v>
      </c>
      <c r="I536" s="81" t="str">
        <f t="shared" si="230"/>
        <v>-</v>
      </c>
      <c r="J536" s="138">
        <v>0</v>
      </c>
      <c r="K536" s="138">
        <f t="shared" si="232"/>
        <v>0</v>
      </c>
      <c r="L536" s="138">
        <v>0</v>
      </c>
      <c r="M536" s="80">
        <v>0</v>
      </c>
      <c r="N536" s="81" t="str">
        <f t="shared" si="231"/>
        <v>-</v>
      </c>
      <c r="O536" s="423"/>
    </row>
    <row r="537" spans="1:15" s="15" customFormat="1" ht="11.1" customHeight="1" outlineLevel="1" x14ac:dyDescent="0.2">
      <c r="A537" s="205"/>
      <c r="B537" s="76" t="s">
        <v>23</v>
      </c>
      <c r="C537" s="82" t="s">
        <v>295</v>
      </c>
      <c r="D537" s="108"/>
      <c r="E537" s="108"/>
      <c r="F537" s="79" t="s">
        <v>22</v>
      </c>
      <c r="G537" s="165">
        <v>0</v>
      </c>
      <c r="H537" s="138">
        <f>ROUNDUP(0+M537,0)</f>
        <v>0</v>
      </c>
      <c r="I537" s="81" t="str">
        <f t="shared" si="230"/>
        <v>-</v>
      </c>
      <c r="J537" s="138">
        <v>0</v>
      </c>
      <c r="K537" s="138">
        <f t="shared" si="232"/>
        <v>0</v>
      </c>
      <c r="L537" s="138">
        <v>0</v>
      </c>
      <c r="M537" s="80">
        <v>0</v>
      </c>
      <c r="N537" s="81" t="str">
        <f t="shared" si="231"/>
        <v>-</v>
      </c>
      <c r="O537" s="423"/>
    </row>
    <row r="538" spans="1:15" s="15" customFormat="1" ht="11.1" customHeight="1" outlineLevel="1" x14ac:dyDescent="0.2">
      <c r="A538" s="205"/>
      <c r="B538" s="76"/>
      <c r="C538" s="82" t="s">
        <v>296</v>
      </c>
      <c r="D538" s="108"/>
      <c r="E538" s="108"/>
      <c r="F538" s="79" t="s">
        <v>45</v>
      </c>
      <c r="G538" s="165">
        <v>0</v>
      </c>
      <c r="H538" s="138">
        <f>ROUNDUP(0+M538,0)</f>
        <v>0</v>
      </c>
      <c r="I538" s="166" t="str">
        <f t="shared" si="230"/>
        <v>-</v>
      </c>
      <c r="J538" s="138">
        <v>0</v>
      </c>
      <c r="K538" s="138">
        <f t="shared" si="232"/>
        <v>0</v>
      </c>
      <c r="L538" s="138">
        <v>0</v>
      </c>
      <c r="M538" s="80">
        <v>0</v>
      </c>
      <c r="N538" s="81" t="str">
        <f t="shared" si="231"/>
        <v>-</v>
      </c>
      <c r="O538" s="423"/>
    </row>
    <row r="539" spans="1:15" s="15" customFormat="1" ht="11.1" customHeight="1" outlineLevel="1" x14ac:dyDescent="0.2">
      <c r="A539" s="205"/>
      <c r="B539" s="76"/>
      <c r="C539" s="82"/>
      <c r="D539" s="108"/>
      <c r="E539" s="108"/>
      <c r="F539" s="79" t="s">
        <v>359</v>
      </c>
      <c r="G539" s="165">
        <v>0</v>
      </c>
      <c r="H539" s="138">
        <f>ROUNDUP(0+M539,0)</f>
        <v>0</v>
      </c>
      <c r="I539" s="166" t="str">
        <f t="shared" si="230"/>
        <v>-</v>
      </c>
      <c r="J539" s="138">
        <v>0</v>
      </c>
      <c r="K539" s="138">
        <f t="shared" si="232"/>
        <v>0</v>
      </c>
      <c r="L539" s="138">
        <v>0</v>
      </c>
      <c r="M539" s="80">
        <v>0</v>
      </c>
      <c r="N539" s="81" t="str">
        <f t="shared" si="231"/>
        <v>-</v>
      </c>
      <c r="O539" s="423"/>
    </row>
    <row r="540" spans="1:15" s="15" customFormat="1" ht="3.95" customHeight="1" outlineLevel="1" x14ac:dyDescent="0.2">
      <c r="A540" s="232"/>
      <c r="B540" s="85"/>
      <c r="C540" s="86"/>
      <c r="D540" s="180"/>
      <c r="E540" s="180"/>
      <c r="F540" s="204"/>
      <c r="G540" s="167"/>
      <c r="H540" s="167"/>
      <c r="I540" s="88"/>
      <c r="J540" s="167"/>
      <c r="K540" s="167"/>
      <c r="L540" s="140"/>
      <c r="M540" s="163"/>
      <c r="N540" s="88"/>
      <c r="O540" s="325"/>
    </row>
    <row r="541" spans="1:15" s="15" customFormat="1" ht="3.95" customHeight="1" outlineLevel="1" x14ac:dyDescent="0.2">
      <c r="A541" s="72"/>
      <c r="B541" s="72"/>
      <c r="C541" s="73"/>
      <c r="D541" s="231"/>
      <c r="E541" s="231"/>
      <c r="F541" s="224"/>
      <c r="G541" s="222"/>
      <c r="H541" s="222"/>
      <c r="I541" s="75"/>
      <c r="J541" s="222"/>
      <c r="K541" s="222"/>
      <c r="L541" s="135"/>
      <c r="M541" s="218"/>
      <c r="N541" s="75"/>
      <c r="O541" s="326"/>
    </row>
    <row r="542" spans="1:15" s="15" customFormat="1" ht="11.1" customHeight="1" outlineLevel="1" x14ac:dyDescent="0.2">
      <c r="A542" s="424" t="s">
        <v>496</v>
      </c>
      <c r="B542" s="76" t="s">
        <v>9</v>
      </c>
      <c r="C542" s="148" t="s">
        <v>81</v>
      </c>
      <c r="D542" s="410" t="s">
        <v>291</v>
      </c>
      <c r="E542" s="410" t="s">
        <v>555</v>
      </c>
      <c r="F542" s="78" t="s">
        <v>157</v>
      </c>
      <c r="G542" s="164">
        <f>SUM(G543:G548)</f>
        <v>170318</v>
      </c>
      <c r="H542" s="164">
        <f>SUM(H543:H548)</f>
        <v>170317</v>
      </c>
      <c r="I542" s="39">
        <f t="shared" ref="I542:I548" si="233">IF(G542&gt;0,H542/G542*100,"-")</f>
        <v>99.999412862997445</v>
      </c>
      <c r="J542" s="164">
        <f>SUM(J543:J548)</f>
        <v>0</v>
      </c>
      <c r="K542" s="164">
        <f>SUM(K543:K548)</f>
        <v>170318</v>
      </c>
      <c r="L542" s="164">
        <f>SUM(L543:L548)</f>
        <v>170318</v>
      </c>
      <c r="M542" s="38">
        <f>SUM(M543:M548)</f>
        <v>170316.28</v>
      </c>
      <c r="N542" s="39">
        <f t="shared" ref="N542:N548" si="234">IF(L542&gt;0,M542/L542*100,"-")</f>
        <v>99.998990124355615</v>
      </c>
      <c r="O542" s="422" t="s">
        <v>635</v>
      </c>
    </row>
    <row r="543" spans="1:15" s="15" customFormat="1" ht="11.1" customHeight="1" outlineLevel="1" x14ac:dyDescent="0.2">
      <c r="A543" s="424"/>
      <c r="B543" s="76" t="s">
        <v>10</v>
      </c>
      <c r="C543" s="148" t="s">
        <v>84</v>
      </c>
      <c r="D543" s="410"/>
      <c r="E543" s="410"/>
      <c r="F543" s="79" t="s">
        <v>15</v>
      </c>
      <c r="G543" s="165">
        <v>0</v>
      </c>
      <c r="H543" s="138">
        <f t="shared" ref="H543:H548" si="235">ROUNDUP(0+M543,0)</f>
        <v>0</v>
      </c>
      <c r="I543" s="81" t="str">
        <f t="shared" si="233"/>
        <v>-</v>
      </c>
      <c r="J543" s="138">
        <v>0</v>
      </c>
      <c r="K543" s="138">
        <f t="shared" ref="K543:K548" si="236">L543-J543</f>
        <v>0</v>
      </c>
      <c r="L543" s="138">
        <v>0</v>
      </c>
      <c r="M543" s="80">
        <v>0</v>
      </c>
      <c r="N543" s="81" t="str">
        <f t="shared" si="234"/>
        <v>-</v>
      </c>
      <c r="O543" s="423"/>
    </row>
    <row r="544" spans="1:15" s="15" customFormat="1" ht="11.1" customHeight="1" outlineLevel="1" x14ac:dyDescent="0.2">
      <c r="A544" s="424"/>
      <c r="B544" s="76" t="s">
        <v>11</v>
      </c>
      <c r="C544" s="82" t="s">
        <v>85</v>
      </c>
      <c r="D544" s="410"/>
      <c r="E544" s="410"/>
      <c r="F544" s="79" t="s">
        <v>7</v>
      </c>
      <c r="G544" s="165">
        <v>138461</v>
      </c>
      <c r="H544" s="138">
        <f t="shared" si="235"/>
        <v>138460</v>
      </c>
      <c r="I544" s="81">
        <f t="shared" si="233"/>
        <v>99.999277774969116</v>
      </c>
      <c r="J544" s="138">
        <v>0</v>
      </c>
      <c r="K544" s="138">
        <f t="shared" si="236"/>
        <v>138461</v>
      </c>
      <c r="L544" s="138">
        <v>138461</v>
      </c>
      <c r="M544" s="80">
        <v>138459.95000000001</v>
      </c>
      <c r="N544" s="81">
        <f t="shared" si="234"/>
        <v>99.999241663717584</v>
      </c>
      <c r="O544" s="423"/>
    </row>
    <row r="545" spans="1:15" s="15" customFormat="1" ht="11.1" customHeight="1" outlineLevel="1" x14ac:dyDescent="0.2">
      <c r="A545" s="117"/>
      <c r="B545" s="76" t="s">
        <v>12</v>
      </c>
      <c r="C545" s="82" t="s">
        <v>327</v>
      </c>
      <c r="D545" s="108"/>
      <c r="E545" s="108"/>
      <c r="F545" s="79" t="s">
        <v>8</v>
      </c>
      <c r="G545" s="165">
        <v>0</v>
      </c>
      <c r="H545" s="138">
        <f t="shared" si="235"/>
        <v>0</v>
      </c>
      <c r="I545" s="81" t="str">
        <f t="shared" si="233"/>
        <v>-</v>
      </c>
      <c r="J545" s="138">
        <v>0</v>
      </c>
      <c r="K545" s="138">
        <f t="shared" si="236"/>
        <v>0</v>
      </c>
      <c r="L545" s="138">
        <v>0</v>
      </c>
      <c r="M545" s="80">
        <v>0</v>
      </c>
      <c r="N545" s="81" t="str">
        <f t="shared" si="234"/>
        <v>-</v>
      </c>
      <c r="O545" s="423"/>
    </row>
    <row r="546" spans="1:15" s="15" customFormat="1" ht="11.1" customHeight="1" outlineLevel="1" x14ac:dyDescent="0.2">
      <c r="A546" s="117"/>
      <c r="B546" s="76" t="s">
        <v>23</v>
      </c>
      <c r="C546" s="82" t="s">
        <v>328</v>
      </c>
      <c r="D546" s="108"/>
      <c r="E546" s="108"/>
      <c r="F546" s="79" t="s">
        <v>22</v>
      </c>
      <c r="G546" s="165">
        <v>24435</v>
      </c>
      <c r="H546" s="138">
        <f t="shared" si="235"/>
        <v>24435</v>
      </c>
      <c r="I546" s="81">
        <f t="shared" si="233"/>
        <v>100</v>
      </c>
      <c r="J546" s="138">
        <v>0</v>
      </c>
      <c r="K546" s="138">
        <f t="shared" si="236"/>
        <v>24435</v>
      </c>
      <c r="L546" s="138">
        <v>24435</v>
      </c>
      <c r="M546" s="80">
        <v>24434.5</v>
      </c>
      <c r="N546" s="81">
        <f t="shared" si="234"/>
        <v>99.997953754859836</v>
      </c>
      <c r="O546" s="423"/>
    </row>
    <row r="547" spans="1:15" s="15" customFormat="1" ht="11.1" customHeight="1" outlineLevel="1" x14ac:dyDescent="0.2">
      <c r="A547" s="117"/>
      <c r="B547" s="76"/>
      <c r="C547" s="82" t="s">
        <v>329</v>
      </c>
      <c r="D547" s="108"/>
      <c r="E547" s="108"/>
      <c r="F547" s="79" t="s">
        <v>45</v>
      </c>
      <c r="G547" s="165">
        <v>7422</v>
      </c>
      <c r="H547" s="138">
        <f t="shared" si="235"/>
        <v>7422</v>
      </c>
      <c r="I547" s="166">
        <f t="shared" si="233"/>
        <v>100</v>
      </c>
      <c r="J547" s="138">
        <v>0</v>
      </c>
      <c r="K547" s="138">
        <f t="shared" si="236"/>
        <v>7422</v>
      </c>
      <c r="L547" s="138">
        <v>7422</v>
      </c>
      <c r="M547" s="80">
        <v>7421.83</v>
      </c>
      <c r="N547" s="81">
        <f t="shared" si="234"/>
        <v>99.99770951226084</v>
      </c>
      <c r="O547" s="423"/>
    </row>
    <row r="548" spans="1:15" s="15" customFormat="1" ht="11.1" customHeight="1" outlineLevel="1" x14ac:dyDescent="0.2">
      <c r="A548" s="117"/>
      <c r="B548" s="76"/>
      <c r="C548" s="82"/>
      <c r="D548" s="108"/>
      <c r="E548" s="108"/>
      <c r="F548" s="79" t="s">
        <v>359</v>
      </c>
      <c r="G548" s="165">
        <v>0</v>
      </c>
      <c r="H548" s="138">
        <f t="shared" si="235"/>
        <v>0</v>
      </c>
      <c r="I548" s="166" t="str">
        <f t="shared" si="233"/>
        <v>-</v>
      </c>
      <c r="J548" s="138">
        <v>0</v>
      </c>
      <c r="K548" s="138">
        <f t="shared" si="236"/>
        <v>0</v>
      </c>
      <c r="L548" s="138">
        <v>0</v>
      </c>
      <c r="M548" s="80">
        <v>0</v>
      </c>
      <c r="N548" s="81" t="str">
        <f t="shared" si="234"/>
        <v>-</v>
      </c>
      <c r="O548" s="423"/>
    </row>
    <row r="549" spans="1:15" s="15" customFormat="1" ht="3.95" customHeight="1" outlineLevel="1" x14ac:dyDescent="0.2">
      <c r="A549" s="85"/>
      <c r="B549" s="85"/>
      <c r="C549" s="86"/>
      <c r="D549" s="216"/>
      <c r="E549" s="84"/>
      <c r="F549" s="85"/>
      <c r="G549" s="140"/>
      <c r="H549" s="140"/>
      <c r="I549" s="88"/>
      <c r="J549" s="140"/>
      <c r="K549" s="140"/>
      <c r="L549" s="141"/>
      <c r="M549" s="87"/>
      <c r="N549" s="88"/>
      <c r="O549" s="183"/>
    </row>
    <row r="550" spans="1:15" s="15" customFormat="1" ht="3.95" customHeight="1" outlineLevel="1" x14ac:dyDescent="0.2">
      <c r="A550" s="72"/>
      <c r="B550" s="72"/>
      <c r="C550" s="73"/>
      <c r="D550" s="231"/>
      <c r="E550" s="71"/>
      <c r="F550" s="72"/>
      <c r="G550" s="135"/>
      <c r="H550" s="135"/>
      <c r="I550" s="75"/>
      <c r="J550" s="135"/>
      <c r="K550" s="135"/>
      <c r="L550" s="136"/>
      <c r="M550" s="74"/>
      <c r="N550" s="75"/>
      <c r="O550" s="389"/>
    </row>
    <row r="551" spans="1:15" s="15" customFormat="1" ht="11.1" customHeight="1" outlineLevel="1" x14ac:dyDescent="0.2">
      <c r="A551" s="424" t="s">
        <v>564</v>
      </c>
      <c r="B551" s="76" t="s">
        <v>9</v>
      </c>
      <c r="C551" s="148" t="s">
        <v>81</v>
      </c>
      <c r="D551" s="410" t="s">
        <v>383</v>
      </c>
      <c r="E551" s="410"/>
      <c r="F551" s="78" t="s">
        <v>28</v>
      </c>
      <c r="G551" s="241">
        <f>SUM(G552:G557)</f>
        <v>612254</v>
      </c>
      <c r="H551" s="137">
        <f>SUM(H552:H557)</f>
        <v>15565</v>
      </c>
      <c r="I551" s="39">
        <f t="shared" ref="I551:I557" si="237">IF(G551&gt;0,H551/G551*100,"-")</f>
        <v>2.5422455386163256</v>
      </c>
      <c r="J551" s="137">
        <f>SUM(J552:J557)</f>
        <v>0</v>
      </c>
      <c r="K551" s="137">
        <f>SUM(K552:K557)</f>
        <v>489803</v>
      </c>
      <c r="L551" s="137">
        <f>SUM(L552:L557)</f>
        <v>489803</v>
      </c>
      <c r="M551" s="38">
        <f>SUM(M552:M557)</f>
        <v>15564.16</v>
      </c>
      <c r="N551" s="39">
        <f t="shared" ref="N551:N557" si="238">IF(L551&gt;0,M551/L551*100,"-")</f>
        <v>3.1776367233357083</v>
      </c>
      <c r="O551" s="449" t="s">
        <v>636</v>
      </c>
    </row>
    <row r="552" spans="1:15" s="15" customFormat="1" ht="11.1" customHeight="1" outlineLevel="1" x14ac:dyDescent="0.2">
      <c r="A552" s="424"/>
      <c r="B552" s="76" t="s">
        <v>10</v>
      </c>
      <c r="C552" s="148" t="s">
        <v>84</v>
      </c>
      <c r="D552" s="410"/>
      <c r="E552" s="410"/>
      <c r="F552" s="79" t="s">
        <v>15</v>
      </c>
      <c r="G552" s="138">
        <f t="shared" ref="G552:H557" si="239">G559+G566</f>
        <v>0</v>
      </c>
      <c r="H552" s="138">
        <f t="shared" si="239"/>
        <v>0</v>
      </c>
      <c r="I552" s="81" t="str">
        <f t="shared" si="237"/>
        <v>-</v>
      </c>
      <c r="J552" s="138">
        <f t="shared" ref="J552:M557" si="240">J559+J566</f>
        <v>0</v>
      </c>
      <c r="K552" s="138">
        <f t="shared" si="240"/>
        <v>0</v>
      </c>
      <c r="L552" s="138">
        <f t="shared" si="240"/>
        <v>0</v>
      </c>
      <c r="M552" s="80">
        <f t="shared" si="240"/>
        <v>0</v>
      </c>
      <c r="N552" s="81" t="str">
        <f t="shared" si="238"/>
        <v>-</v>
      </c>
      <c r="O552" s="449"/>
    </row>
    <row r="553" spans="1:15" s="15" customFormat="1" ht="11.1" customHeight="1" outlineLevel="1" x14ac:dyDescent="0.2">
      <c r="A553" s="424"/>
      <c r="B553" s="76" t="s">
        <v>11</v>
      </c>
      <c r="C553" s="82" t="s">
        <v>85</v>
      </c>
      <c r="D553" s="410"/>
      <c r="E553" s="410"/>
      <c r="F553" s="79" t="s">
        <v>7</v>
      </c>
      <c r="G553" s="138">
        <f t="shared" si="239"/>
        <v>538784</v>
      </c>
      <c r="H553" s="138">
        <f t="shared" si="239"/>
        <v>13230</v>
      </c>
      <c r="I553" s="81">
        <f t="shared" si="237"/>
        <v>2.4555294886262398</v>
      </c>
      <c r="J553" s="138">
        <f t="shared" si="240"/>
        <v>0</v>
      </c>
      <c r="K553" s="138">
        <f t="shared" si="240"/>
        <v>416333</v>
      </c>
      <c r="L553" s="138">
        <f t="shared" si="240"/>
        <v>416333</v>
      </c>
      <c r="M553" s="80">
        <f t="shared" si="240"/>
        <v>13229.51</v>
      </c>
      <c r="N553" s="81">
        <f t="shared" si="238"/>
        <v>3.1776270437366243</v>
      </c>
      <c r="O553" s="449"/>
    </row>
    <row r="554" spans="1:15" s="15" customFormat="1" ht="11.1" customHeight="1" outlineLevel="1" x14ac:dyDescent="0.2">
      <c r="A554" s="117"/>
      <c r="B554" s="76" t="s">
        <v>12</v>
      </c>
      <c r="C554" s="82" t="s">
        <v>556</v>
      </c>
      <c r="D554" s="108"/>
      <c r="E554" s="410"/>
      <c r="F554" s="79" t="s">
        <v>8</v>
      </c>
      <c r="G554" s="138">
        <f t="shared" si="239"/>
        <v>0</v>
      </c>
      <c r="H554" s="138">
        <f t="shared" si="239"/>
        <v>0</v>
      </c>
      <c r="I554" s="81" t="str">
        <f t="shared" si="237"/>
        <v>-</v>
      </c>
      <c r="J554" s="138">
        <f t="shared" si="240"/>
        <v>0</v>
      </c>
      <c r="K554" s="138">
        <f t="shared" si="240"/>
        <v>0</v>
      </c>
      <c r="L554" s="138">
        <f t="shared" si="240"/>
        <v>0</v>
      </c>
      <c r="M554" s="80">
        <f t="shared" si="240"/>
        <v>0</v>
      </c>
      <c r="N554" s="81" t="str">
        <f t="shared" si="238"/>
        <v>-</v>
      </c>
      <c r="O554" s="449"/>
    </row>
    <row r="555" spans="1:15" s="15" customFormat="1" ht="11.1" customHeight="1" outlineLevel="1" x14ac:dyDescent="0.2">
      <c r="A555" s="117"/>
      <c r="B555" s="76" t="s">
        <v>23</v>
      </c>
      <c r="C555" s="82" t="s">
        <v>557</v>
      </c>
      <c r="D555" s="108"/>
      <c r="E555" s="410"/>
      <c r="F555" s="79" t="s">
        <v>22</v>
      </c>
      <c r="G555" s="138">
        <f t="shared" si="239"/>
        <v>73470</v>
      </c>
      <c r="H555" s="138">
        <f t="shared" si="239"/>
        <v>2335</v>
      </c>
      <c r="I555" s="81">
        <f t="shared" si="237"/>
        <v>3.1781679597114469</v>
      </c>
      <c r="J555" s="138">
        <f t="shared" si="240"/>
        <v>0</v>
      </c>
      <c r="K555" s="138">
        <f t="shared" si="240"/>
        <v>73470</v>
      </c>
      <c r="L555" s="138">
        <f t="shared" si="240"/>
        <v>73470</v>
      </c>
      <c r="M555" s="80">
        <f t="shared" si="240"/>
        <v>2334.65</v>
      </c>
      <c r="N555" s="81">
        <f t="shared" si="238"/>
        <v>3.1776915747924321</v>
      </c>
      <c r="O555" s="449"/>
    </row>
    <row r="556" spans="1:15" s="15" customFormat="1" ht="11.1" customHeight="1" outlineLevel="1" x14ac:dyDescent="0.2">
      <c r="A556" s="117"/>
      <c r="B556" s="76"/>
      <c r="C556" s="82" t="s">
        <v>558</v>
      </c>
      <c r="D556" s="108"/>
      <c r="E556" s="388"/>
      <c r="F556" s="106" t="s">
        <v>45</v>
      </c>
      <c r="G556" s="138">
        <f t="shared" si="239"/>
        <v>0</v>
      </c>
      <c r="H556" s="138">
        <f t="shared" si="239"/>
        <v>0</v>
      </c>
      <c r="I556" s="81" t="str">
        <f t="shared" si="237"/>
        <v>-</v>
      </c>
      <c r="J556" s="138">
        <f t="shared" si="240"/>
        <v>0</v>
      </c>
      <c r="K556" s="138">
        <f t="shared" si="240"/>
        <v>0</v>
      </c>
      <c r="L556" s="138">
        <f t="shared" si="240"/>
        <v>0</v>
      </c>
      <c r="M556" s="80">
        <f t="shared" si="240"/>
        <v>0</v>
      </c>
      <c r="N556" s="81" t="str">
        <f t="shared" si="238"/>
        <v>-</v>
      </c>
      <c r="O556" s="449"/>
    </row>
    <row r="557" spans="1:15" s="15" customFormat="1" ht="11.1" customHeight="1" outlineLevel="1" x14ac:dyDescent="0.2">
      <c r="A557" s="117"/>
      <c r="B557" s="76"/>
      <c r="C557" s="82" t="s">
        <v>559</v>
      </c>
      <c r="D557" s="108"/>
      <c r="E557" s="388"/>
      <c r="F557" s="106" t="s">
        <v>359</v>
      </c>
      <c r="G557" s="138">
        <f t="shared" si="239"/>
        <v>0</v>
      </c>
      <c r="H557" s="138">
        <f t="shared" si="239"/>
        <v>0</v>
      </c>
      <c r="I557" s="81" t="str">
        <f t="shared" si="237"/>
        <v>-</v>
      </c>
      <c r="J557" s="138">
        <f t="shared" si="240"/>
        <v>0</v>
      </c>
      <c r="K557" s="138">
        <f t="shared" si="240"/>
        <v>0</v>
      </c>
      <c r="L557" s="138">
        <f t="shared" si="240"/>
        <v>0</v>
      </c>
      <c r="M557" s="80">
        <f t="shared" si="240"/>
        <v>0</v>
      </c>
      <c r="N557" s="81" t="str">
        <f t="shared" si="238"/>
        <v>-</v>
      </c>
      <c r="O557" s="449"/>
    </row>
    <row r="558" spans="1:15" s="15" customFormat="1" ht="11.1" customHeight="1" outlineLevel="1" x14ac:dyDescent="0.2">
      <c r="A558" s="76"/>
      <c r="B558" s="76"/>
      <c r="C558" s="82" t="s">
        <v>560</v>
      </c>
      <c r="D558" s="108"/>
      <c r="E558" s="388"/>
      <c r="F558" s="106"/>
      <c r="G558" s="139"/>
      <c r="H558" s="139"/>
      <c r="I558" s="81"/>
      <c r="J558" s="139"/>
      <c r="K558" s="139"/>
      <c r="L558" s="138"/>
      <c r="M558" s="89"/>
      <c r="N558" s="81"/>
      <c r="O558" s="449"/>
    </row>
    <row r="559" spans="1:15" s="15" customFormat="1" ht="11.1" customHeight="1" outlineLevel="1" x14ac:dyDescent="0.2">
      <c r="A559" s="76"/>
      <c r="B559" s="76"/>
      <c r="C559" s="82" t="s">
        <v>561</v>
      </c>
      <c r="D559" s="108"/>
      <c r="E559" s="425" t="s">
        <v>554</v>
      </c>
      <c r="F559" s="112" t="s">
        <v>15</v>
      </c>
      <c r="G559" s="142">
        <v>0</v>
      </c>
      <c r="H559" s="142">
        <f>ROUNDUP(0+M559,0)</f>
        <v>0</v>
      </c>
      <c r="I559" s="81" t="str">
        <f t="shared" ref="I559:I564" si="241">IF(G559&gt;0,H559/G559*100,"-")</f>
        <v>-</v>
      </c>
      <c r="J559" s="142">
        <v>0</v>
      </c>
      <c r="K559" s="142">
        <f t="shared" ref="K559:K564" si="242">L559-J559</f>
        <v>0</v>
      </c>
      <c r="L559" s="142">
        <v>0</v>
      </c>
      <c r="M559" s="113">
        <v>0</v>
      </c>
      <c r="N559" s="81" t="str">
        <f t="shared" ref="N559:N564" si="243">IF(L559&gt;0,M559/L559*100,"-")</f>
        <v>-</v>
      </c>
      <c r="O559" s="449"/>
    </row>
    <row r="560" spans="1:15" s="15" customFormat="1" ht="11.1" customHeight="1" outlineLevel="1" x14ac:dyDescent="0.2">
      <c r="A560" s="76"/>
      <c r="B560" s="76"/>
      <c r="C560" s="82"/>
      <c r="D560" s="108"/>
      <c r="E560" s="425"/>
      <c r="F560" s="112" t="s">
        <v>7</v>
      </c>
      <c r="G560" s="142">
        <v>122451</v>
      </c>
      <c r="H560" s="142">
        <f>ROUNDUP(0+M560,0)</f>
        <v>0</v>
      </c>
      <c r="I560" s="81">
        <f t="shared" si="241"/>
        <v>0</v>
      </c>
      <c r="J560" s="142">
        <v>0</v>
      </c>
      <c r="K560" s="142">
        <f t="shared" si="242"/>
        <v>0</v>
      </c>
      <c r="L560" s="142">
        <v>0</v>
      </c>
      <c r="M560" s="113">
        <v>0</v>
      </c>
      <c r="N560" s="81" t="str">
        <f t="shared" si="243"/>
        <v>-</v>
      </c>
      <c r="O560" s="449"/>
    </row>
    <row r="561" spans="1:15" s="15" customFormat="1" ht="11.1" customHeight="1" outlineLevel="1" x14ac:dyDescent="0.2">
      <c r="A561" s="76"/>
      <c r="B561" s="76"/>
      <c r="C561" s="82"/>
      <c r="D561" s="108"/>
      <c r="E561" s="425"/>
      <c r="F561" s="112" t="s">
        <v>8</v>
      </c>
      <c r="G561" s="142">
        <v>0</v>
      </c>
      <c r="H561" s="142">
        <f t="shared" ref="H561:H564" si="244">ROUNDUP(0+M561,0)</f>
        <v>0</v>
      </c>
      <c r="I561" s="81" t="str">
        <f t="shared" si="241"/>
        <v>-</v>
      </c>
      <c r="J561" s="142">
        <v>0</v>
      </c>
      <c r="K561" s="142">
        <f t="shared" si="242"/>
        <v>0</v>
      </c>
      <c r="L561" s="142">
        <v>0</v>
      </c>
      <c r="M561" s="113">
        <v>0</v>
      </c>
      <c r="N561" s="81" t="str">
        <f t="shared" si="243"/>
        <v>-</v>
      </c>
      <c r="O561" s="449"/>
    </row>
    <row r="562" spans="1:15" s="15" customFormat="1" ht="11.1" customHeight="1" outlineLevel="1" x14ac:dyDescent="0.2">
      <c r="A562" s="76"/>
      <c r="B562" s="76"/>
      <c r="C562" s="82"/>
      <c r="D562" s="108"/>
      <c r="E562" s="189"/>
      <c r="F562" s="112" t="s">
        <v>22</v>
      </c>
      <c r="G562" s="142">
        <v>0</v>
      </c>
      <c r="H562" s="142">
        <f t="shared" si="244"/>
        <v>0</v>
      </c>
      <c r="I562" s="81" t="str">
        <f t="shared" si="241"/>
        <v>-</v>
      </c>
      <c r="J562" s="142">
        <v>0</v>
      </c>
      <c r="K562" s="142">
        <f t="shared" si="242"/>
        <v>0</v>
      </c>
      <c r="L562" s="142">
        <v>0</v>
      </c>
      <c r="M562" s="113">
        <v>0</v>
      </c>
      <c r="N562" s="81" t="str">
        <f t="shared" si="243"/>
        <v>-</v>
      </c>
      <c r="O562" s="449"/>
    </row>
    <row r="563" spans="1:15" s="15" customFormat="1" ht="11.1" customHeight="1" outlineLevel="1" x14ac:dyDescent="0.2">
      <c r="A563" s="76"/>
      <c r="B563" s="76"/>
      <c r="C563" s="82"/>
      <c r="D563" s="108"/>
      <c r="E563" s="189"/>
      <c r="F563" s="112" t="s">
        <v>45</v>
      </c>
      <c r="G563" s="142">
        <v>0</v>
      </c>
      <c r="H563" s="142">
        <f t="shared" si="244"/>
        <v>0</v>
      </c>
      <c r="I563" s="81" t="str">
        <f t="shared" si="241"/>
        <v>-</v>
      </c>
      <c r="J563" s="142">
        <v>0</v>
      </c>
      <c r="K563" s="142">
        <f t="shared" si="242"/>
        <v>0</v>
      </c>
      <c r="L563" s="142">
        <v>0</v>
      </c>
      <c r="M563" s="113">
        <v>0</v>
      </c>
      <c r="N563" s="81" t="str">
        <f t="shared" si="243"/>
        <v>-</v>
      </c>
      <c r="O563" s="449"/>
    </row>
    <row r="564" spans="1:15" s="15" customFormat="1" ht="11.1" customHeight="1" outlineLevel="1" x14ac:dyDescent="0.2">
      <c r="A564" s="76"/>
      <c r="B564" s="76"/>
      <c r="C564" s="82"/>
      <c r="D564" s="108"/>
      <c r="E564" s="189"/>
      <c r="F564" s="112" t="s">
        <v>359</v>
      </c>
      <c r="G564" s="142">
        <v>0</v>
      </c>
      <c r="H564" s="142">
        <f t="shared" si="244"/>
        <v>0</v>
      </c>
      <c r="I564" s="81" t="str">
        <f t="shared" si="241"/>
        <v>-</v>
      </c>
      <c r="J564" s="142">
        <v>0</v>
      </c>
      <c r="K564" s="142">
        <f t="shared" si="242"/>
        <v>0</v>
      </c>
      <c r="L564" s="142">
        <v>0</v>
      </c>
      <c r="M564" s="113">
        <v>0</v>
      </c>
      <c r="N564" s="81" t="str">
        <f t="shared" si="243"/>
        <v>-</v>
      </c>
      <c r="O564" s="449"/>
    </row>
    <row r="565" spans="1:15" s="15" customFormat="1" ht="3.95" customHeight="1" outlineLevel="1" x14ac:dyDescent="0.2">
      <c r="A565" s="76"/>
      <c r="B565" s="76"/>
      <c r="C565" s="82"/>
      <c r="D565" s="108"/>
      <c r="E565" s="392"/>
      <c r="F565" s="116"/>
      <c r="G565" s="142"/>
      <c r="H565" s="142"/>
      <c r="I565" s="81"/>
      <c r="J565" s="142"/>
      <c r="K565" s="142"/>
      <c r="L565" s="143"/>
      <c r="M565" s="114"/>
      <c r="N565" s="81"/>
      <c r="O565" s="182"/>
    </row>
    <row r="566" spans="1:15" s="15" customFormat="1" ht="11.1" customHeight="1" outlineLevel="1" x14ac:dyDescent="0.2">
      <c r="A566" s="76"/>
      <c r="B566" s="76"/>
      <c r="C566" s="82"/>
      <c r="D566" s="108"/>
      <c r="E566" s="425" t="s">
        <v>54</v>
      </c>
      <c r="F566" s="112" t="s">
        <v>15</v>
      </c>
      <c r="G566" s="142">
        <v>0</v>
      </c>
      <c r="H566" s="142">
        <f t="shared" ref="H566:H571" si="245">ROUNDUP(0+M566,0)</f>
        <v>0</v>
      </c>
      <c r="I566" s="81" t="str">
        <f t="shared" ref="I566:I571" si="246">IF(G566&gt;0,H566/G566*100,"-")</f>
        <v>-</v>
      </c>
      <c r="J566" s="142">
        <v>0</v>
      </c>
      <c r="K566" s="142">
        <f t="shared" ref="K566:K571" si="247">L566-J566</f>
        <v>0</v>
      </c>
      <c r="L566" s="142">
        <v>0</v>
      </c>
      <c r="M566" s="113">
        <v>0</v>
      </c>
      <c r="N566" s="81" t="str">
        <f t="shared" ref="N566:N571" si="248">IF(L566&gt;0,M566/L566*100,"-")</f>
        <v>-</v>
      </c>
      <c r="O566" s="182"/>
    </row>
    <row r="567" spans="1:15" s="15" customFormat="1" ht="11.1" customHeight="1" outlineLevel="1" x14ac:dyDescent="0.2">
      <c r="A567" s="76"/>
      <c r="B567" s="76"/>
      <c r="C567" s="82"/>
      <c r="D567" s="108"/>
      <c r="E567" s="425"/>
      <c r="F567" s="112" t="s">
        <v>7</v>
      </c>
      <c r="G567" s="142">
        <v>416333</v>
      </c>
      <c r="H567" s="142">
        <f t="shared" si="245"/>
        <v>13230</v>
      </c>
      <c r="I567" s="81">
        <f t="shared" si="246"/>
        <v>3.1777447379861794</v>
      </c>
      <c r="J567" s="142">
        <v>0</v>
      </c>
      <c r="K567" s="142">
        <f t="shared" si="247"/>
        <v>416333</v>
      </c>
      <c r="L567" s="142">
        <v>416333</v>
      </c>
      <c r="M567" s="113">
        <v>13229.51</v>
      </c>
      <c r="N567" s="81">
        <f t="shared" si="248"/>
        <v>3.1776270437366243</v>
      </c>
      <c r="O567" s="182"/>
    </row>
    <row r="568" spans="1:15" s="15" customFormat="1" ht="11.1" customHeight="1" outlineLevel="1" x14ac:dyDescent="0.2">
      <c r="A568" s="76"/>
      <c r="B568" s="76"/>
      <c r="C568" s="82"/>
      <c r="D568" s="108"/>
      <c r="E568" s="425"/>
      <c r="F568" s="112" t="s">
        <v>8</v>
      </c>
      <c r="G568" s="142">
        <v>0</v>
      </c>
      <c r="H568" s="142">
        <f t="shared" si="245"/>
        <v>0</v>
      </c>
      <c r="I568" s="81" t="str">
        <f t="shared" si="246"/>
        <v>-</v>
      </c>
      <c r="J568" s="142">
        <v>0</v>
      </c>
      <c r="K568" s="142">
        <f t="shared" si="247"/>
        <v>0</v>
      </c>
      <c r="L568" s="142">
        <v>0</v>
      </c>
      <c r="M568" s="113">
        <v>0</v>
      </c>
      <c r="N568" s="81" t="str">
        <f t="shared" si="248"/>
        <v>-</v>
      </c>
      <c r="O568" s="182"/>
    </row>
    <row r="569" spans="1:15" s="15" customFormat="1" ht="11.1" customHeight="1" outlineLevel="1" x14ac:dyDescent="0.2">
      <c r="A569" s="76"/>
      <c r="B569" s="76"/>
      <c r="C569" s="82"/>
      <c r="D569" s="108"/>
      <c r="E569" s="189"/>
      <c r="F569" s="112" t="s">
        <v>22</v>
      </c>
      <c r="G569" s="242">
        <v>73470</v>
      </c>
      <c r="H569" s="142">
        <f t="shared" si="245"/>
        <v>2335</v>
      </c>
      <c r="I569" s="357">
        <f t="shared" si="246"/>
        <v>3.1781679597114469</v>
      </c>
      <c r="J569" s="242">
        <v>0</v>
      </c>
      <c r="K569" s="242">
        <f t="shared" si="247"/>
        <v>73470</v>
      </c>
      <c r="L569" s="242">
        <v>73470</v>
      </c>
      <c r="M569" s="114">
        <v>2334.65</v>
      </c>
      <c r="N569" s="81">
        <f t="shared" si="248"/>
        <v>3.1776915747924321</v>
      </c>
      <c r="O569" s="182"/>
    </row>
    <row r="570" spans="1:15" s="15" customFormat="1" ht="11.1" customHeight="1" outlineLevel="1" x14ac:dyDescent="0.2">
      <c r="A570" s="76"/>
      <c r="B570" s="76"/>
      <c r="C570" s="82"/>
      <c r="D570" s="108"/>
      <c r="E570" s="189"/>
      <c r="F570" s="112" t="s">
        <v>45</v>
      </c>
      <c r="G570" s="142">
        <v>0</v>
      </c>
      <c r="H570" s="142">
        <f t="shared" si="245"/>
        <v>0</v>
      </c>
      <c r="I570" s="81" t="str">
        <f t="shared" si="246"/>
        <v>-</v>
      </c>
      <c r="J570" s="142">
        <v>0</v>
      </c>
      <c r="K570" s="142">
        <f t="shared" si="247"/>
        <v>0</v>
      </c>
      <c r="L570" s="142">
        <v>0</v>
      </c>
      <c r="M570" s="113">
        <v>0</v>
      </c>
      <c r="N570" s="81" t="str">
        <f t="shared" si="248"/>
        <v>-</v>
      </c>
      <c r="O570" s="182"/>
    </row>
    <row r="571" spans="1:15" s="15" customFormat="1" ht="11.1" customHeight="1" outlineLevel="1" x14ac:dyDescent="0.2">
      <c r="A571" s="76"/>
      <c r="B571" s="76"/>
      <c r="C571" s="82"/>
      <c r="D571" s="108"/>
      <c r="E571" s="189"/>
      <c r="F571" s="112" t="s">
        <v>359</v>
      </c>
      <c r="G571" s="142">
        <v>0</v>
      </c>
      <c r="H571" s="142">
        <f t="shared" si="245"/>
        <v>0</v>
      </c>
      <c r="I571" s="81" t="str">
        <f t="shared" si="246"/>
        <v>-</v>
      </c>
      <c r="J571" s="142">
        <v>0</v>
      </c>
      <c r="K571" s="142">
        <f t="shared" si="247"/>
        <v>0</v>
      </c>
      <c r="L571" s="142">
        <v>0</v>
      </c>
      <c r="M571" s="113">
        <v>0</v>
      </c>
      <c r="N571" s="81" t="str">
        <f t="shared" si="248"/>
        <v>-</v>
      </c>
      <c r="O571" s="182"/>
    </row>
    <row r="572" spans="1:15" s="15" customFormat="1" ht="3.95" customHeight="1" outlineLevel="1" x14ac:dyDescent="0.2">
      <c r="A572" s="85"/>
      <c r="B572" s="85"/>
      <c r="C572" s="86"/>
      <c r="D572" s="216"/>
      <c r="E572" s="84"/>
      <c r="F572" s="85"/>
      <c r="G572" s="140"/>
      <c r="H572" s="140"/>
      <c r="I572" s="88"/>
      <c r="J572" s="140"/>
      <c r="K572" s="140"/>
      <c r="L572" s="141"/>
      <c r="M572" s="87"/>
      <c r="N572" s="88"/>
      <c r="O572" s="183"/>
    </row>
    <row r="573" spans="1:15" s="15" customFormat="1" ht="3.95" customHeight="1" outlineLevel="1" x14ac:dyDescent="0.2">
      <c r="A573" s="72"/>
      <c r="B573" s="72"/>
      <c r="C573" s="73"/>
      <c r="D573" s="231"/>
      <c r="E573" s="231"/>
      <c r="F573" s="224"/>
      <c r="G573" s="222"/>
      <c r="H573" s="222"/>
      <c r="I573" s="75"/>
      <c r="J573" s="222"/>
      <c r="K573" s="222"/>
      <c r="L573" s="135"/>
      <c r="M573" s="218"/>
      <c r="N573" s="75"/>
      <c r="O573" s="326"/>
    </row>
    <row r="574" spans="1:15" s="15" customFormat="1" ht="11.1" customHeight="1" outlineLevel="1" x14ac:dyDescent="0.2">
      <c r="A574" s="424" t="s">
        <v>565</v>
      </c>
      <c r="B574" s="76" t="s">
        <v>9</v>
      </c>
      <c r="C574" s="148" t="s">
        <v>81</v>
      </c>
      <c r="D574" s="410" t="s">
        <v>291</v>
      </c>
      <c r="E574" s="410" t="s">
        <v>555</v>
      </c>
      <c r="F574" s="78" t="s">
        <v>157</v>
      </c>
      <c r="G574" s="164">
        <f>SUM(G575:G580)</f>
        <v>335173</v>
      </c>
      <c r="H574" s="164">
        <f>SUM(H575:H580)</f>
        <v>319369</v>
      </c>
      <c r="I574" s="39">
        <f t="shared" ref="I574:I580" si="249">IF(G574&gt;0,H574/G574*100,"-")</f>
        <v>95.284823061523454</v>
      </c>
      <c r="J574" s="164">
        <f>SUM(J575:J580)</f>
        <v>0</v>
      </c>
      <c r="K574" s="164">
        <f>SUM(K575:K580)</f>
        <v>335173</v>
      </c>
      <c r="L574" s="164">
        <f>SUM(L575:L580)</f>
        <v>335173</v>
      </c>
      <c r="M574" s="38">
        <f>SUM(M575:M580)</f>
        <v>319368.09999999998</v>
      </c>
      <c r="N574" s="39">
        <f t="shared" ref="N574:N580" si="250">IF(L574&gt;0,M574/L574*100,"-")</f>
        <v>95.284554543474556</v>
      </c>
      <c r="O574" s="422" t="s">
        <v>636</v>
      </c>
    </row>
    <row r="575" spans="1:15" s="15" customFormat="1" ht="11.1" customHeight="1" outlineLevel="1" x14ac:dyDescent="0.2">
      <c r="A575" s="424"/>
      <c r="B575" s="76" t="s">
        <v>10</v>
      </c>
      <c r="C575" s="148" t="s">
        <v>84</v>
      </c>
      <c r="D575" s="410"/>
      <c r="E575" s="410"/>
      <c r="F575" s="79" t="s">
        <v>15</v>
      </c>
      <c r="G575" s="165">
        <v>0</v>
      </c>
      <c r="H575" s="138">
        <f t="shared" ref="H575:H580" si="251">ROUNDUP(0+M575,0)</f>
        <v>0</v>
      </c>
      <c r="I575" s="81" t="str">
        <f t="shared" si="249"/>
        <v>-</v>
      </c>
      <c r="J575" s="138">
        <v>0</v>
      </c>
      <c r="K575" s="138">
        <f t="shared" ref="K575:K580" si="252">L575-J575</f>
        <v>0</v>
      </c>
      <c r="L575" s="138">
        <v>0</v>
      </c>
      <c r="M575" s="80">
        <v>0</v>
      </c>
      <c r="N575" s="81" t="str">
        <f t="shared" si="250"/>
        <v>-</v>
      </c>
      <c r="O575" s="423"/>
    </row>
    <row r="576" spans="1:15" s="15" customFormat="1" ht="11.1" customHeight="1" outlineLevel="1" x14ac:dyDescent="0.2">
      <c r="A576" s="424"/>
      <c r="B576" s="76" t="s">
        <v>11</v>
      </c>
      <c r="C576" s="82" t="s">
        <v>85</v>
      </c>
      <c r="D576" s="410"/>
      <c r="E576" s="410"/>
      <c r="F576" s="79" t="s">
        <v>7</v>
      </c>
      <c r="G576" s="165">
        <v>284897</v>
      </c>
      <c r="H576" s="165">
        <f t="shared" si="251"/>
        <v>271463</v>
      </c>
      <c r="I576" s="81">
        <f t="shared" si="249"/>
        <v>95.284611631572119</v>
      </c>
      <c r="J576" s="138">
        <v>0</v>
      </c>
      <c r="K576" s="138">
        <f t="shared" si="252"/>
        <v>284897</v>
      </c>
      <c r="L576" s="138">
        <v>284897</v>
      </c>
      <c r="M576" s="80">
        <v>271462.87</v>
      </c>
      <c r="N576" s="81">
        <f t="shared" si="250"/>
        <v>95.284566001045988</v>
      </c>
      <c r="O576" s="423"/>
    </row>
    <row r="577" spans="1:15" s="15" customFormat="1" ht="11.1" customHeight="1" outlineLevel="1" x14ac:dyDescent="0.2">
      <c r="A577" s="117"/>
      <c r="B577" s="76" t="s">
        <v>12</v>
      </c>
      <c r="C577" s="82" t="s">
        <v>330</v>
      </c>
      <c r="D577" s="108"/>
      <c r="E577" s="108"/>
      <c r="F577" s="79" t="s">
        <v>8</v>
      </c>
      <c r="G577" s="165">
        <v>0</v>
      </c>
      <c r="H577" s="138">
        <f t="shared" si="251"/>
        <v>0</v>
      </c>
      <c r="I577" s="81" t="str">
        <f t="shared" si="249"/>
        <v>-</v>
      </c>
      <c r="J577" s="138">
        <v>0</v>
      </c>
      <c r="K577" s="138">
        <f t="shared" si="252"/>
        <v>0</v>
      </c>
      <c r="L577" s="138">
        <v>0</v>
      </c>
      <c r="M577" s="80">
        <v>0</v>
      </c>
      <c r="N577" s="81" t="str">
        <f t="shared" si="250"/>
        <v>-</v>
      </c>
      <c r="O577" s="423"/>
    </row>
    <row r="578" spans="1:15" s="15" customFormat="1" ht="11.1" customHeight="1" outlineLevel="1" x14ac:dyDescent="0.2">
      <c r="A578" s="117"/>
      <c r="B578" s="76" t="s">
        <v>23</v>
      </c>
      <c r="C578" s="82" t="s">
        <v>562</v>
      </c>
      <c r="D578" s="108"/>
      <c r="E578" s="108"/>
      <c r="F578" s="79" t="s">
        <v>22</v>
      </c>
      <c r="G578" s="165">
        <v>50276</v>
      </c>
      <c r="H578" s="138">
        <f t="shared" si="251"/>
        <v>47906</v>
      </c>
      <c r="I578" s="81">
        <f t="shared" si="249"/>
        <v>95.286021163179242</v>
      </c>
      <c r="J578" s="138">
        <v>0</v>
      </c>
      <c r="K578" s="138">
        <f t="shared" si="252"/>
        <v>50276</v>
      </c>
      <c r="L578" s="138">
        <v>50276</v>
      </c>
      <c r="M578" s="80">
        <v>47905.23</v>
      </c>
      <c r="N578" s="81">
        <f t="shared" si="250"/>
        <v>95.284489617312445</v>
      </c>
      <c r="O578" s="423"/>
    </row>
    <row r="579" spans="1:15" s="15" customFormat="1" ht="11.1" customHeight="1" outlineLevel="1" x14ac:dyDescent="0.2">
      <c r="A579" s="117"/>
      <c r="B579" s="76"/>
      <c r="C579" s="82" t="s">
        <v>563</v>
      </c>
      <c r="D579" s="108"/>
      <c r="E579" s="108"/>
      <c r="F579" s="79" t="s">
        <v>45</v>
      </c>
      <c r="G579" s="165">
        <v>0</v>
      </c>
      <c r="H579" s="138">
        <f t="shared" si="251"/>
        <v>0</v>
      </c>
      <c r="I579" s="166" t="str">
        <f t="shared" si="249"/>
        <v>-</v>
      </c>
      <c r="J579" s="138">
        <v>0</v>
      </c>
      <c r="K579" s="138">
        <f t="shared" si="252"/>
        <v>0</v>
      </c>
      <c r="L579" s="138">
        <v>0</v>
      </c>
      <c r="M579" s="80">
        <v>0</v>
      </c>
      <c r="N579" s="81" t="str">
        <f t="shared" si="250"/>
        <v>-</v>
      </c>
      <c r="O579" s="423"/>
    </row>
    <row r="580" spans="1:15" s="15" customFormat="1" ht="11.1" customHeight="1" outlineLevel="1" x14ac:dyDescent="0.2">
      <c r="A580" s="117"/>
      <c r="B580" s="76"/>
      <c r="C580" s="82"/>
      <c r="D580" s="108"/>
      <c r="E580" s="108"/>
      <c r="F580" s="79" t="s">
        <v>359</v>
      </c>
      <c r="G580" s="165">
        <v>0</v>
      </c>
      <c r="H580" s="138">
        <f t="shared" si="251"/>
        <v>0</v>
      </c>
      <c r="I580" s="166" t="str">
        <f t="shared" si="249"/>
        <v>-</v>
      </c>
      <c r="J580" s="138">
        <v>0</v>
      </c>
      <c r="K580" s="138">
        <f t="shared" si="252"/>
        <v>0</v>
      </c>
      <c r="L580" s="138">
        <v>0</v>
      </c>
      <c r="M580" s="80">
        <v>0</v>
      </c>
      <c r="N580" s="81" t="str">
        <f t="shared" si="250"/>
        <v>-</v>
      </c>
      <c r="O580" s="423"/>
    </row>
    <row r="581" spans="1:15" s="15" customFormat="1" ht="3.95" customHeight="1" outlineLevel="1" x14ac:dyDescent="0.2">
      <c r="A581" s="85"/>
      <c r="B581" s="85"/>
      <c r="C581" s="86"/>
      <c r="D581" s="216"/>
      <c r="E581" s="216"/>
      <c r="F581" s="204"/>
      <c r="G581" s="167"/>
      <c r="H581" s="167"/>
      <c r="I581" s="88"/>
      <c r="J581" s="167"/>
      <c r="K581" s="167"/>
      <c r="L581" s="140"/>
      <c r="M581" s="163"/>
      <c r="N581" s="88"/>
      <c r="O581" s="325"/>
    </row>
    <row r="582" spans="1:15" s="15" customFormat="1" ht="3.95" customHeight="1" outlineLevel="1" x14ac:dyDescent="0.2">
      <c r="A582" s="72"/>
      <c r="B582" s="72"/>
      <c r="C582" s="73"/>
      <c r="D582" s="231"/>
      <c r="E582" s="71"/>
      <c r="F582" s="72"/>
      <c r="G582" s="135"/>
      <c r="H582" s="135"/>
      <c r="I582" s="75"/>
      <c r="J582" s="135"/>
      <c r="K582" s="135"/>
      <c r="L582" s="136"/>
      <c r="M582" s="74"/>
      <c r="N582" s="75"/>
      <c r="O582" s="389"/>
    </row>
    <row r="583" spans="1:15" s="15" customFormat="1" ht="11.1" customHeight="1" outlineLevel="1" x14ac:dyDescent="0.2">
      <c r="A583" s="424" t="s">
        <v>566</v>
      </c>
      <c r="B583" s="76" t="s">
        <v>9</v>
      </c>
      <c r="C583" s="148" t="s">
        <v>81</v>
      </c>
      <c r="D583" s="410" t="s">
        <v>291</v>
      </c>
      <c r="E583" s="410"/>
      <c r="F583" s="78" t="s">
        <v>28</v>
      </c>
      <c r="G583" s="241">
        <f>SUM(G584:G589)</f>
        <v>587765</v>
      </c>
      <c r="H583" s="137">
        <f>SUM(H584:H589)</f>
        <v>567599</v>
      </c>
      <c r="I583" s="39">
        <f t="shared" ref="I583:I589" si="253">IF(G583&gt;0,H583/G583*100,"-")</f>
        <v>96.569036945037553</v>
      </c>
      <c r="J583" s="137">
        <f>SUM(J584:J589)</f>
        <v>0</v>
      </c>
      <c r="K583" s="137">
        <f>SUM(K584:K589)</f>
        <v>580723</v>
      </c>
      <c r="L583" s="137">
        <f>SUM(L584:L589)</f>
        <v>580723</v>
      </c>
      <c r="M583" s="38">
        <f>SUM(M584:M589)</f>
        <v>560556.02</v>
      </c>
      <c r="N583" s="39">
        <f t="shared" ref="N583:N589" si="254">IF(L583&gt;0,M583/L583*100,"-")</f>
        <v>96.527263428519277</v>
      </c>
      <c r="O583" s="449" t="s">
        <v>637</v>
      </c>
    </row>
    <row r="584" spans="1:15" s="15" customFormat="1" ht="11.1" customHeight="1" outlineLevel="1" x14ac:dyDescent="0.2">
      <c r="A584" s="424"/>
      <c r="B584" s="76" t="s">
        <v>10</v>
      </c>
      <c r="C584" s="148" t="s">
        <v>84</v>
      </c>
      <c r="D584" s="410"/>
      <c r="E584" s="410"/>
      <c r="F584" s="79" t="s">
        <v>15</v>
      </c>
      <c r="G584" s="138">
        <f t="shared" ref="G584:H589" si="255">G591+G598</f>
        <v>0</v>
      </c>
      <c r="H584" s="138">
        <f t="shared" si="255"/>
        <v>0</v>
      </c>
      <c r="I584" s="81" t="str">
        <f t="shared" si="253"/>
        <v>-</v>
      </c>
      <c r="J584" s="138">
        <f t="shared" ref="J584:M589" si="256">J591+J598</f>
        <v>0</v>
      </c>
      <c r="K584" s="138">
        <f t="shared" si="256"/>
        <v>0</v>
      </c>
      <c r="L584" s="138">
        <f t="shared" si="256"/>
        <v>0</v>
      </c>
      <c r="M584" s="80">
        <f t="shared" si="256"/>
        <v>0</v>
      </c>
      <c r="N584" s="81" t="str">
        <f t="shared" si="254"/>
        <v>-</v>
      </c>
      <c r="O584" s="449"/>
    </row>
    <row r="585" spans="1:15" s="15" customFormat="1" ht="11.1" customHeight="1" outlineLevel="1" x14ac:dyDescent="0.2">
      <c r="A585" s="424"/>
      <c r="B585" s="76" t="s">
        <v>11</v>
      </c>
      <c r="C585" s="82" t="s">
        <v>85</v>
      </c>
      <c r="D585" s="410"/>
      <c r="E585" s="410"/>
      <c r="F585" s="79" t="s">
        <v>7</v>
      </c>
      <c r="G585" s="138">
        <f t="shared" si="255"/>
        <v>500572</v>
      </c>
      <c r="H585" s="138">
        <f t="shared" si="255"/>
        <v>483430</v>
      </c>
      <c r="I585" s="81">
        <f t="shared" si="253"/>
        <v>96.575517607856611</v>
      </c>
      <c r="J585" s="138">
        <f t="shared" si="256"/>
        <v>0</v>
      </c>
      <c r="K585" s="138">
        <f t="shared" si="256"/>
        <v>493530</v>
      </c>
      <c r="L585" s="138">
        <f t="shared" si="256"/>
        <v>493530</v>
      </c>
      <c r="M585" s="80">
        <f t="shared" si="256"/>
        <v>476387.95</v>
      </c>
      <c r="N585" s="81">
        <f t="shared" si="254"/>
        <v>96.526644783498469</v>
      </c>
      <c r="O585" s="449"/>
    </row>
    <row r="586" spans="1:15" s="15" customFormat="1" ht="11.1" customHeight="1" outlineLevel="1" x14ac:dyDescent="0.2">
      <c r="A586" s="117"/>
      <c r="B586" s="76" t="s">
        <v>12</v>
      </c>
      <c r="C586" s="82" t="s">
        <v>331</v>
      </c>
      <c r="D586" s="108"/>
      <c r="E586" s="410"/>
      <c r="F586" s="79" t="s">
        <v>8</v>
      </c>
      <c r="G586" s="138">
        <f t="shared" si="255"/>
        <v>0</v>
      </c>
      <c r="H586" s="138">
        <f t="shared" si="255"/>
        <v>0</v>
      </c>
      <c r="I586" s="81" t="str">
        <f t="shared" si="253"/>
        <v>-</v>
      </c>
      <c r="J586" s="138">
        <f t="shared" si="256"/>
        <v>0</v>
      </c>
      <c r="K586" s="138">
        <f t="shared" si="256"/>
        <v>0</v>
      </c>
      <c r="L586" s="138">
        <f t="shared" si="256"/>
        <v>0</v>
      </c>
      <c r="M586" s="80">
        <f t="shared" si="256"/>
        <v>0</v>
      </c>
      <c r="N586" s="81" t="str">
        <f t="shared" si="254"/>
        <v>-</v>
      </c>
      <c r="O586" s="449"/>
    </row>
    <row r="587" spans="1:15" s="15" customFormat="1" ht="11.1" customHeight="1" outlineLevel="1" x14ac:dyDescent="0.2">
      <c r="A587" s="117"/>
      <c r="B587" s="76" t="s">
        <v>23</v>
      </c>
      <c r="C587" s="82" t="s">
        <v>332</v>
      </c>
      <c r="D587" s="108"/>
      <c r="E587" s="410"/>
      <c r="F587" s="79" t="s">
        <v>22</v>
      </c>
      <c r="G587" s="138">
        <f t="shared" si="255"/>
        <v>87093</v>
      </c>
      <c r="H587" s="138">
        <f t="shared" si="255"/>
        <v>84069</v>
      </c>
      <c r="I587" s="81">
        <f t="shared" si="253"/>
        <v>96.527849540146732</v>
      </c>
      <c r="J587" s="138">
        <f t="shared" si="256"/>
        <v>0</v>
      </c>
      <c r="K587" s="138">
        <f t="shared" si="256"/>
        <v>87093</v>
      </c>
      <c r="L587" s="138">
        <f t="shared" si="256"/>
        <v>87093</v>
      </c>
      <c r="M587" s="80">
        <f t="shared" si="256"/>
        <v>84068.47</v>
      </c>
      <c r="N587" s="81">
        <f t="shared" si="254"/>
        <v>96.527240995257941</v>
      </c>
      <c r="O587" s="449"/>
    </row>
    <row r="588" spans="1:15" s="15" customFormat="1" ht="11.1" customHeight="1" outlineLevel="1" x14ac:dyDescent="0.2">
      <c r="A588" s="117"/>
      <c r="B588" s="76"/>
      <c r="C588" s="82" t="s">
        <v>333</v>
      </c>
      <c r="D588" s="108"/>
      <c r="E588" s="388"/>
      <c r="F588" s="106" t="s">
        <v>45</v>
      </c>
      <c r="G588" s="138">
        <f t="shared" si="255"/>
        <v>100</v>
      </c>
      <c r="H588" s="138">
        <f t="shared" si="255"/>
        <v>100</v>
      </c>
      <c r="I588" s="81">
        <f t="shared" si="253"/>
        <v>100</v>
      </c>
      <c r="J588" s="138">
        <f t="shared" si="256"/>
        <v>0</v>
      </c>
      <c r="K588" s="138">
        <f t="shared" si="256"/>
        <v>100</v>
      </c>
      <c r="L588" s="138">
        <f t="shared" si="256"/>
        <v>100</v>
      </c>
      <c r="M588" s="80">
        <f t="shared" si="256"/>
        <v>99.6</v>
      </c>
      <c r="N588" s="81">
        <f t="shared" si="254"/>
        <v>99.6</v>
      </c>
      <c r="O588" s="449"/>
    </row>
    <row r="589" spans="1:15" s="15" customFormat="1" ht="11.1" customHeight="1" outlineLevel="1" x14ac:dyDescent="0.2">
      <c r="A589" s="117"/>
      <c r="B589" s="76"/>
      <c r="C589" s="82"/>
      <c r="D589" s="108"/>
      <c r="E589" s="388"/>
      <c r="F589" s="106" t="s">
        <v>359</v>
      </c>
      <c r="G589" s="138">
        <f t="shared" si="255"/>
        <v>0</v>
      </c>
      <c r="H589" s="138">
        <f t="shared" si="255"/>
        <v>0</v>
      </c>
      <c r="I589" s="81" t="str">
        <f t="shared" si="253"/>
        <v>-</v>
      </c>
      <c r="J589" s="138">
        <f t="shared" si="256"/>
        <v>0</v>
      </c>
      <c r="K589" s="138">
        <f t="shared" si="256"/>
        <v>0</v>
      </c>
      <c r="L589" s="138">
        <f t="shared" si="256"/>
        <v>0</v>
      </c>
      <c r="M589" s="80">
        <f t="shared" si="256"/>
        <v>0</v>
      </c>
      <c r="N589" s="81" t="str">
        <f t="shared" si="254"/>
        <v>-</v>
      </c>
      <c r="O589" s="449"/>
    </row>
    <row r="590" spans="1:15" s="15" customFormat="1" ht="3.95" customHeight="1" outlineLevel="1" x14ac:dyDescent="0.2">
      <c r="A590" s="76"/>
      <c r="B590" s="76"/>
      <c r="C590" s="82"/>
      <c r="D590" s="108"/>
      <c r="E590" s="388"/>
      <c r="F590" s="106"/>
      <c r="G590" s="139"/>
      <c r="H590" s="139"/>
      <c r="I590" s="81"/>
      <c r="J590" s="139"/>
      <c r="K590" s="139"/>
      <c r="L590" s="138"/>
      <c r="M590" s="89"/>
      <c r="N590" s="81"/>
      <c r="O590" s="449"/>
    </row>
    <row r="591" spans="1:15" s="15" customFormat="1" ht="11.1" customHeight="1" outlineLevel="1" x14ac:dyDescent="0.2">
      <c r="A591" s="76"/>
      <c r="B591" s="76"/>
      <c r="C591" s="82"/>
      <c r="D591" s="108"/>
      <c r="E591" s="425" t="s">
        <v>554</v>
      </c>
      <c r="F591" s="112" t="s">
        <v>15</v>
      </c>
      <c r="G591" s="142">
        <v>0</v>
      </c>
      <c r="H591" s="142">
        <f>ROUNDUP(0+M591,0)</f>
        <v>0</v>
      </c>
      <c r="I591" s="81" t="str">
        <f t="shared" ref="I591:I596" si="257">IF(G591&gt;0,H591/G591*100,"-")</f>
        <v>-</v>
      </c>
      <c r="J591" s="142">
        <v>0</v>
      </c>
      <c r="K591" s="142">
        <f t="shared" ref="K591:K596" si="258">L591-J591</f>
        <v>0</v>
      </c>
      <c r="L591" s="142">
        <v>0</v>
      </c>
      <c r="M591" s="113">
        <v>0</v>
      </c>
      <c r="N591" s="81" t="str">
        <f t="shared" ref="N591:N596" si="259">IF(L591&gt;0,M591/L591*100,"-")</f>
        <v>-</v>
      </c>
      <c r="O591" s="449"/>
    </row>
    <row r="592" spans="1:15" s="15" customFormat="1" ht="11.1" customHeight="1" outlineLevel="1" x14ac:dyDescent="0.2">
      <c r="A592" s="76"/>
      <c r="B592" s="76"/>
      <c r="C592" s="82"/>
      <c r="D592" s="108"/>
      <c r="E592" s="425"/>
      <c r="F592" s="112" t="s">
        <v>7</v>
      </c>
      <c r="G592" s="142">
        <v>7042</v>
      </c>
      <c r="H592" s="142">
        <f>ROUNDUP(7042+M592,0)</f>
        <v>7042</v>
      </c>
      <c r="I592" s="81">
        <f t="shared" si="257"/>
        <v>100</v>
      </c>
      <c r="J592" s="142">
        <v>0</v>
      </c>
      <c r="K592" s="142">
        <f t="shared" si="258"/>
        <v>0</v>
      </c>
      <c r="L592" s="142">
        <v>0</v>
      </c>
      <c r="M592" s="113">
        <v>0</v>
      </c>
      <c r="N592" s="81" t="str">
        <f t="shared" si="259"/>
        <v>-</v>
      </c>
      <c r="O592" s="449"/>
    </row>
    <row r="593" spans="1:15" s="15" customFormat="1" ht="11.1" customHeight="1" outlineLevel="1" x14ac:dyDescent="0.2">
      <c r="A593" s="76"/>
      <c r="B593" s="76"/>
      <c r="C593" s="82"/>
      <c r="D593" s="108"/>
      <c r="E593" s="425"/>
      <c r="F593" s="112" t="s">
        <v>8</v>
      </c>
      <c r="G593" s="142">
        <v>0</v>
      </c>
      <c r="H593" s="142">
        <f t="shared" ref="H593:H596" si="260">ROUNDUP(0+M593,0)</f>
        <v>0</v>
      </c>
      <c r="I593" s="81" t="str">
        <f t="shared" si="257"/>
        <v>-</v>
      </c>
      <c r="J593" s="142">
        <v>0</v>
      </c>
      <c r="K593" s="142">
        <f t="shared" si="258"/>
        <v>0</v>
      </c>
      <c r="L593" s="142">
        <v>0</v>
      </c>
      <c r="M593" s="113">
        <v>0</v>
      </c>
      <c r="N593" s="81" t="str">
        <f t="shared" si="259"/>
        <v>-</v>
      </c>
      <c r="O593" s="449"/>
    </row>
    <row r="594" spans="1:15" s="15" customFormat="1" ht="11.1" customHeight="1" outlineLevel="1" x14ac:dyDescent="0.2">
      <c r="A594" s="76"/>
      <c r="B594" s="76"/>
      <c r="C594" s="82"/>
      <c r="D594" s="108"/>
      <c r="E594" s="189"/>
      <c r="F594" s="112" t="s">
        <v>22</v>
      </c>
      <c r="G594" s="142">
        <v>0</v>
      </c>
      <c r="H594" s="142">
        <f t="shared" si="260"/>
        <v>0</v>
      </c>
      <c r="I594" s="81" t="str">
        <f t="shared" si="257"/>
        <v>-</v>
      </c>
      <c r="J594" s="142">
        <v>0</v>
      </c>
      <c r="K594" s="142">
        <f t="shared" si="258"/>
        <v>0</v>
      </c>
      <c r="L594" s="142">
        <v>0</v>
      </c>
      <c r="M594" s="113">
        <v>0</v>
      </c>
      <c r="N594" s="81" t="str">
        <f t="shared" si="259"/>
        <v>-</v>
      </c>
      <c r="O594" s="449"/>
    </row>
    <row r="595" spans="1:15" s="15" customFormat="1" ht="11.1" customHeight="1" outlineLevel="1" x14ac:dyDescent="0.2">
      <c r="A595" s="76"/>
      <c r="B595" s="76"/>
      <c r="C595" s="82"/>
      <c r="D595" s="108"/>
      <c r="E595" s="189"/>
      <c r="F595" s="112" t="s">
        <v>45</v>
      </c>
      <c r="G595" s="142">
        <v>0</v>
      </c>
      <c r="H595" s="142">
        <f t="shared" si="260"/>
        <v>0</v>
      </c>
      <c r="I595" s="81" t="str">
        <f t="shared" si="257"/>
        <v>-</v>
      </c>
      <c r="J595" s="142">
        <v>0</v>
      </c>
      <c r="K595" s="142">
        <f t="shared" si="258"/>
        <v>0</v>
      </c>
      <c r="L595" s="142">
        <v>0</v>
      </c>
      <c r="M595" s="113">
        <v>0</v>
      </c>
      <c r="N595" s="81" t="str">
        <f t="shared" si="259"/>
        <v>-</v>
      </c>
      <c r="O595" s="449"/>
    </row>
    <row r="596" spans="1:15" s="15" customFormat="1" ht="11.1" customHeight="1" outlineLevel="1" x14ac:dyDescent="0.2">
      <c r="A596" s="76"/>
      <c r="B596" s="76"/>
      <c r="C596" s="82"/>
      <c r="D596" s="108"/>
      <c r="E596" s="189"/>
      <c r="F596" s="112" t="s">
        <v>359</v>
      </c>
      <c r="G596" s="142">
        <v>0</v>
      </c>
      <c r="H596" s="142">
        <f t="shared" si="260"/>
        <v>0</v>
      </c>
      <c r="I596" s="81" t="str">
        <f t="shared" si="257"/>
        <v>-</v>
      </c>
      <c r="J596" s="142">
        <v>0</v>
      </c>
      <c r="K596" s="142">
        <f t="shared" si="258"/>
        <v>0</v>
      </c>
      <c r="L596" s="142">
        <v>0</v>
      </c>
      <c r="M596" s="113">
        <v>0</v>
      </c>
      <c r="N596" s="81" t="str">
        <f t="shared" si="259"/>
        <v>-</v>
      </c>
      <c r="O596" s="449"/>
    </row>
    <row r="597" spans="1:15" s="15" customFormat="1" ht="3.95" customHeight="1" outlineLevel="1" x14ac:dyDescent="0.2">
      <c r="A597" s="76"/>
      <c r="B597" s="76"/>
      <c r="C597" s="82"/>
      <c r="D597" s="108"/>
      <c r="E597" s="392"/>
      <c r="F597" s="116"/>
      <c r="G597" s="142"/>
      <c r="H597" s="142"/>
      <c r="I597" s="81"/>
      <c r="J597" s="142"/>
      <c r="K597" s="142"/>
      <c r="L597" s="143"/>
      <c r="M597" s="114"/>
      <c r="N597" s="81"/>
      <c r="O597" s="182"/>
    </row>
    <row r="598" spans="1:15" s="15" customFormat="1" ht="11.1" customHeight="1" outlineLevel="1" x14ac:dyDescent="0.2">
      <c r="A598" s="76"/>
      <c r="B598" s="76"/>
      <c r="C598" s="82"/>
      <c r="D598" s="108"/>
      <c r="E598" s="425" t="s">
        <v>54</v>
      </c>
      <c r="F598" s="112" t="s">
        <v>15</v>
      </c>
      <c r="G598" s="142">
        <v>0</v>
      </c>
      <c r="H598" s="142">
        <f t="shared" ref="H598:H603" si="261">ROUNDUP(0+M598,0)</f>
        <v>0</v>
      </c>
      <c r="I598" s="81" t="str">
        <f t="shared" ref="I598:I603" si="262">IF(G598&gt;0,H598/G598*100,"-")</f>
        <v>-</v>
      </c>
      <c r="J598" s="142">
        <v>0</v>
      </c>
      <c r="K598" s="142">
        <f t="shared" ref="K598:K603" si="263">L598-J598</f>
        <v>0</v>
      </c>
      <c r="L598" s="142">
        <v>0</v>
      </c>
      <c r="M598" s="113">
        <v>0</v>
      </c>
      <c r="N598" s="81" t="str">
        <f t="shared" ref="N598:N603" si="264">IF(L598&gt;0,M598/L598*100,"-")</f>
        <v>-</v>
      </c>
      <c r="O598" s="182"/>
    </row>
    <row r="599" spans="1:15" s="15" customFormat="1" ht="11.1" customHeight="1" outlineLevel="1" x14ac:dyDescent="0.2">
      <c r="A599" s="76"/>
      <c r="B599" s="76"/>
      <c r="C599" s="82"/>
      <c r="D599" s="108"/>
      <c r="E599" s="425"/>
      <c r="F599" s="112" t="s">
        <v>7</v>
      </c>
      <c r="G599" s="142">
        <v>493530</v>
      </c>
      <c r="H599" s="142">
        <f t="shared" si="261"/>
        <v>476388</v>
      </c>
      <c r="I599" s="81">
        <f t="shared" si="262"/>
        <v>96.526654914594857</v>
      </c>
      <c r="J599" s="142">
        <v>0</v>
      </c>
      <c r="K599" s="242">
        <f t="shared" si="263"/>
        <v>493530</v>
      </c>
      <c r="L599" s="242">
        <v>493530</v>
      </c>
      <c r="M599" s="113">
        <v>476387.95</v>
      </c>
      <c r="N599" s="81">
        <f t="shared" si="264"/>
        <v>96.526644783498469</v>
      </c>
      <c r="O599" s="182"/>
    </row>
    <row r="600" spans="1:15" s="15" customFormat="1" ht="11.1" customHeight="1" outlineLevel="1" x14ac:dyDescent="0.2">
      <c r="A600" s="76"/>
      <c r="B600" s="76"/>
      <c r="C600" s="82"/>
      <c r="D600" s="108"/>
      <c r="E600" s="425"/>
      <c r="F600" s="112" t="s">
        <v>8</v>
      </c>
      <c r="G600" s="142">
        <v>0</v>
      </c>
      <c r="H600" s="142">
        <f t="shared" si="261"/>
        <v>0</v>
      </c>
      <c r="I600" s="81" t="str">
        <f t="shared" si="262"/>
        <v>-</v>
      </c>
      <c r="J600" s="142">
        <v>0</v>
      </c>
      <c r="K600" s="242">
        <f t="shared" si="263"/>
        <v>0</v>
      </c>
      <c r="L600" s="242">
        <v>0</v>
      </c>
      <c r="M600" s="113">
        <v>0</v>
      </c>
      <c r="N600" s="81" t="str">
        <f t="shared" si="264"/>
        <v>-</v>
      </c>
      <c r="O600" s="182"/>
    </row>
    <row r="601" spans="1:15" s="15" customFormat="1" ht="11.1" customHeight="1" outlineLevel="1" x14ac:dyDescent="0.2">
      <c r="A601" s="76"/>
      <c r="B601" s="76"/>
      <c r="C601" s="82"/>
      <c r="D601" s="108"/>
      <c r="E601" s="189"/>
      <c r="F601" s="112" t="s">
        <v>22</v>
      </c>
      <c r="G601" s="242">
        <v>87093</v>
      </c>
      <c r="H601" s="142">
        <f t="shared" si="261"/>
        <v>84069</v>
      </c>
      <c r="I601" s="357">
        <f t="shared" si="262"/>
        <v>96.527849540146732</v>
      </c>
      <c r="J601" s="242">
        <v>0</v>
      </c>
      <c r="K601" s="242">
        <f t="shared" si="263"/>
        <v>87093</v>
      </c>
      <c r="L601" s="242">
        <v>87093</v>
      </c>
      <c r="M601" s="114">
        <v>84068.47</v>
      </c>
      <c r="N601" s="81">
        <f t="shared" si="264"/>
        <v>96.527240995257941</v>
      </c>
      <c r="O601" s="182"/>
    </row>
    <row r="602" spans="1:15" s="15" customFormat="1" ht="11.1" customHeight="1" outlineLevel="1" x14ac:dyDescent="0.2">
      <c r="A602" s="76"/>
      <c r="B602" s="76"/>
      <c r="C602" s="82"/>
      <c r="D602" s="108"/>
      <c r="E602" s="189"/>
      <c r="F602" s="112" t="s">
        <v>45</v>
      </c>
      <c r="G602" s="142">
        <v>100</v>
      </c>
      <c r="H602" s="142">
        <f t="shared" si="261"/>
        <v>100</v>
      </c>
      <c r="I602" s="81">
        <f t="shared" si="262"/>
        <v>100</v>
      </c>
      <c r="J602" s="142">
        <v>0</v>
      </c>
      <c r="K602" s="242">
        <f t="shared" si="263"/>
        <v>100</v>
      </c>
      <c r="L602" s="242">
        <v>100</v>
      </c>
      <c r="M602" s="113">
        <v>99.6</v>
      </c>
      <c r="N602" s="81">
        <f t="shared" si="264"/>
        <v>99.6</v>
      </c>
      <c r="O602" s="182"/>
    </row>
    <row r="603" spans="1:15" s="15" customFormat="1" ht="11.1" customHeight="1" outlineLevel="1" x14ac:dyDescent="0.2">
      <c r="A603" s="76"/>
      <c r="B603" s="76"/>
      <c r="C603" s="82"/>
      <c r="D603" s="108"/>
      <c r="E603" s="189"/>
      <c r="F603" s="112" t="s">
        <v>359</v>
      </c>
      <c r="G603" s="142">
        <v>0</v>
      </c>
      <c r="H603" s="142">
        <f t="shared" si="261"/>
        <v>0</v>
      </c>
      <c r="I603" s="81" t="str">
        <f t="shared" si="262"/>
        <v>-</v>
      </c>
      <c r="J603" s="142">
        <v>0</v>
      </c>
      <c r="K603" s="142">
        <f t="shared" si="263"/>
        <v>0</v>
      </c>
      <c r="L603" s="142">
        <v>0</v>
      </c>
      <c r="M603" s="113">
        <v>0</v>
      </c>
      <c r="N603" s="81" t="str">
        <f t="shared" si="264"/>
        <v>-</v>
      </c>
      <c r="O603" s="182"/>
    </row>
    <row r="604" spans="1:15" s="15" customFormat="1" ht="3.95" customHeight="1" outlineLevel="1" x14ac:dyDescent="0.2">
      <c r="A604" s="85"/>
      <c r="B604" s="85"/>
      <c r="C604" s="86"/>
      <c r="D604" s="216"/>
      <c r="E604" s="84"/>
      <c r="F604" s="85"/>
      <c r="G604" s="140"/>
      <c r="H604" s="140"/>
      <c r="I604" s="88"/>
      <c r="J604" s="140"/>
      <c r="K604" s="140"/>
      <c r="L604" s="141"/>
      <c r="M604" s="87"/>
      <c r="N604" s="88"/>
      <c r="O604" s="183"/>
    </row>
    <row r="605" spans="1:15" ht="3.95" customHeight="1" outlineLevel="1" x14ac:dyDescent="0.2">
      <c r="A605" s="234"/>
      <c r="B605" s="235"/>
      <c r="C605" s="236"/>
      <c r="D605" s="237"/>
      <c r="E605" s="237"/>
      <c r="F605" s="234"/>
      <c r="G605" s="238"/>
      <c r="H605" s="238"/>
      <c r="I605" s="234"/>
      <c r="J605" s="238"/>
      <c r="K605" s="238"/>
      <c r="L605" s="238"/>
      <c r="M605" s="239"/>
      <c r="N605" s="240"/>
      <c r="O605" s="320"/>
    </row>
    <row r="606" spans="1:15" ht="11.45" customHeight="1" outlineLevel="1" x14ac:dyDescent="0.2">
      <c r="A606" s="28" t="s">
        <v>76</v>
      </c>
      <c r="B606" s="413" t="s">
        <v>89</v>
      </c>
      <c r="C606" s="414"/>
      <c r="D606" s="29"/>
      <c r="E606" s="29"/>
      <c r="F606" s="30"/>
      <c r="G606" s="132">
        <f>SUM(G607:G612)</f>
        <v>1749287</v>
      </c>
      <c r="H606" s="132">
        <f>SUM(H607:H612)</f>
        <v>833421</v>
      </c>
      <c r="I606" s="32">
        <f>IF(G606&gt;0,H606/G606*100,"-")</f>
        <v>47.643468453146909</v>
      </c>
      <c r="J606" s="132">
        <f>SUM(J607:J612)</f>
        <v>863655</v>
      </c>
      <c r="K606" s="132">
        <f>SUM(K607:K612)</f>
        <v>88307</v>
      </c>
      <c r="L606" s="132">
        <f>SUM(L607:L612)</f>
        <v>951962</v>
      </c>
      <c r="M606" s="31">
        <f>SUM(M607:M612)</f>
        <v>462536.57</v>
      </c>
      <c r="N606" s="32">
        <f t="shared" ref="N606:N612" si="265">IF(L606&gt;0,M606/L606*100,"-")</f>
        <v>48.587713585206131</v>
      </c>
      <c r="O606" s="321"/>
    </row>
    <row r="607" spans="1:15" ht="11.45" customHeight="1" outlineLevel="1" x14ac:dyDescent="0.2">
      <c r="A607" s="30"/>
      <c r="B607" s="33"/>
      <c r="C607" s="34"/>
      <c r="D607" s="29"/>
      <c r="E607" s="29"/>
      <c r="F607" s="35" t="s">
        <v>15</v>
      </c>
      <c r="G607" s="133">
        <f t="shared" ref="G607:H612" si="266">G616+G627+G638+G652+G687+G665+G678</f>
        <v>270470</v>
      </c>
      <c r="H607" s="133">
        <f t="shared" si="266"/>
        <v>93665</v>
      </c>
      <c r="I607" s="37">
        <f t="shared" ref="I607:I612" si="267">IF(G607&gt;0,H607/G607*100,"-")</f>
        <v>34.630458091470402</v>
      </c>
      <c r="J607" s="133">
        <f t="shared" ref="J607:M612" si="268">J616+J627+J638+J652+J687+J665+J678</f>
        <v>123605</v>
      </c>
      <c r="K607" s="133">
        <f t="shared" si="268"/>
        <v>14612</v>
      </c>
      <c r="L607" s="133">
        <f t="shared" si="268"/>
        <v>138217</v>
      </c>
      <c r="M607" s="36">
        <f t="shared" si="268"/>
        <v>60634.32</v>
      </c>
      <c r="N607" s="37">
        <f t="shared" si="265"/>
        <v>43.868930739344655</v>
      </c>
      <c r="O607" s="321"/>
    </row>
    <row r="608" spans="1:15" ht="11.45" customHeight="1" outlineLevel="1" x14ac:dyDescent="0.2">
      <c r="A608" s="30"/>
      <c r="B608" s="33"/>
      <c r="C608" s="34"/>
      <c r="D608" s="29"/>
      <c r="E608" s="29"/>
      <c r="F608" s="35" t="s">
        <v>7</v>
      </c>
      <c r="G608" s="133">
        <f t="shared" si="266"/>
        <v>1404799</v>
      </c>
      <c r="H608" s="133">
        <f t="shared" si="266"/>
        <v>694677</v>
      </c>
      <c r="I608" s="37">
        <f t="shared" si="267"/>
        <v>49.450277228272519</v>
      </c>
      <c r="J608" s="133">
        <f t="shared" si="268"/>
        <v>701485</v>
      </c>
      <c r="K608" s="133">
        <f t="shared" si="268"/>
        <v>74060</v>
      </c>
      <c r="L608" s="133">
        <f t="shared" si="268"/>
        <v>775545</v>
      </c>
      <c r="M608" s="36">
        <f t="shared" si="268"/>
        <v>373098.52</v>
      </c>
      <c r="N608" s="37">
        <f t="shared" si="265"/>
        <v>48.107913789657594</v>
      </c>
      <c r="O608" s="321"/>
    </row>
    <row r="609" spans="1:15" ht="11.45" customHeight="1" outlineLevel="1" x14ac:dyDescent="0.2">
      <c r="A609" s="30"/>
      <c r="B609" s="33"/>
      <c r="C609" s="34"/>
      <c r="D609" s="29"/>
      <c r="E609" s="29"/>
      <c r="F609" s="35" t="s">
        <v>8</v>
      </c>
      <c r="G609" s="133">
        <f t="shared" si="266"/>
        <v>0</v>
      </c>
      <c r="H609" s="133">
        <f t="shared" si="266"/>
        <v>0</v>
      </c>
      <c r="I609" s="37" t="str">
        <f t="shared" si="267"/>
        <v>-</v>
      </c>
      <c r="J609" s="133">
        <f t="shared" si="268"/>
        <v>0</v>
      </c>
      <c r="K609" s="133">
        <f t="shared" si="268"/>
        <v>0</v>
      </c>
      <c r="L609" s="133">
        <f t="shared" si="268"/>
        <v>0</v>
      </c>
      <c r="M609" s="36">
        <f t="shared" si="268"/>
        <v>0</v>
      </c>
      <c r="N609" s="37" t="str">
        <f t="shared" si="265"/>
        <v>-</v>
      </c>
      <c r="O609" s="321"/>
    </row>
    <row r="610" spans="1:15" ht="11.45" customHeight="1" outlineLevel="1" x14ac:dyDescent="0.2">
      <c r="A610" s="30"/>
      <c r="B610" s="33"/>
      <c r="C610" s="34"/>
      <c r="D610" s="29"/>
      <c r="E610" s="29"/>
      <c r="F610" s="35" t="s">
        <v>22</v>
      </c>
      <c r="G610" s="133">
        <f t="shared" si="266"/>
        <v>74018</v>
      </c>
      <c r="H610" s="133">
        <f t="shared" si="266"/>
        <v>45079</v>
      </c>
      <c r="I610" s="37">
        <f t="shared" si="267"/>
        <v>60.902753384311922</v>
      </c>
      <c r="J610" s="133">
        <f t="shared" si="268"/>
        <v>38565</v>
      </c>
      <c r="K610" s="133">
        <f t="shared" si="268"/>
        <v>-365</v>
      </c>
      <c r="L610" s="133">
        <f t="shared" si="268"/>
        <v>38200</v>
      </c>
      <c r="M610" s="36">
        <f t="shared" si="268"/>
        <v>28803.73</v>
      </c>
      <c r="N610" s="37">
        <f t="shared" si="265"/>
        <v>75.402434554973823</v>
      </c>
      <c r="O610" s="321"/>
    </row>
    <row r="611" spans="1:15" ht="11.45" customHeight="1" outlineLevel="1" x14ac:dyDescent="0.2">
      <c r="A611" s="30"/>
      <c r="B611" s="33"/>
      <c r="C611" s="34"/>
      <c r="D611" s="29"/>
      <c r="E611" s="29"/>
      <c r="F611" s="35" t="s">
        <v>45</v>
      </c>
      <c r="G611" s="133">
        <f t="shared" si="266"/>
        <v>0</v>
      </c>
      <c r="H611" s="133">
        <f t="shared" si="266"/>
        <v>0</v>
      </c>
      <c r="I611" s="37" t="str">
        <f t="shared" si="267"/>
        <v>-</v>
      </c>
      <c r="J611" s="133">
        <f t="shared" si="268"/>
        <v>0</v>
      </c>
      <c r="K611" s="133">
        <f t="shared" si="268"/>
        <v>0</v>
      </c>
      <c r="L611" s="133">
        <f t="shared" si="268"/>
        <v>0</v>
      </c>
      <c r="M611" s="36">
        <f t="shared" si="268"/>
        <v>0</v>
      </c>
      <c r="N611" s="37" t="str">
        <f t="shared" si="265"/>
        <v>-</v>
      </c>
      <c r="O611" s="321"/>
    </row>
    <row r="612" spans="1:15" ht="11.45" customHeight="1" outlineLevel="1" x14ac:dyDescent="0.2">
      <c r="A612" s="30"/>
      <c r="B612" s="33"/>
      <c r="C612" s="34"/>
      <c r="D612" s="29"/>
      <c r="E612" s="29"/>
      <c r="F612" s="35" t="s">
        <v>359</v>
      </c>
      <c r="G612" s="133">
        <f t="shared" si="266"/>
        <v>0</v>
      </c>
      <c r="H612" s="133">
        <f t="shared" si="266"/>
        <v>0</v>
      </c>
      <c r="I612" s="37" t="str">
        <f t="shared" si="267"/>
        <v>-</v>
      </c>
      <c r="J612" s="133">
        <f t="shared" si="268"/>
        <v>0</v>
      </c>
      <c r="K612" s="133">
        <f t="shared" si="268"/>
        <v>0</v>
      </c>
      <c r="L612" s="133">
        <f t="shared" si="268"/>
        <v>0</v>
      </c>
      <c r="M612" s="36">
        <f t="shared" si="268"/>
        <v>0</v>
      </c>
      <c r="N612" s="37" t="str">
        <f t="shared" si="265"/>
        <v>-</v>
      </c>
      <c r="O612" s="321"/>
    </row>
    <row r="613" spans="1:15" ht="3.95" customHeight="1" outlineLevel="1" x14ac:dyDescent="0.2">
      <c r="A613" s="65"/>
      <c r="B613" s="66"/>
      <c r="C613" s="67"/>
      <c r="D613" s="68"/>
      <c r="E613" s="68"/>
      <c r="F613" s="65"/>
      <c r="G613" s="134"/>
      <c r="H613" s="134"/>
      <c r="I613" s="70"/>
      <c r="J613" s="134"/>
      <c r="K613" s="134"/>
      <c r="L613" s="134"/>
      <c r="M613" s="69"/>
      <c r="N613" s="70"/>
      <c r="O613" s="322"/>
    </row>
    <row r="614" spans="1:15" s="95" customFormat="1" ht="3.95" customHeight="1" outlineLevel="1" x14ac:dyDescent="0.2">
      <c r="A614" s="152"/>
      <c r="B614" s="72"/>
      <c r="C614" s="73"/>
      <c r="D614" s="71"/>
      <c r="E614" s="71"/>
      <c r="F614" s="72"/>
      <c r="G614" s="135"/>
      <c r="H614" s="135"/>
      <c r="I614" s="75"/>
      <c r="J614" s="135"/>
      <c r="K614" s="135"/>
      <c r="L614" s="136"/>
      <c r="M614" s="74"/>
      <c r="N614" s="75"/>
      <c r="O614" s="323"/>
    </row>
    <row r="615" spans="1:15" s="95" customFormat="1" ht="11.1" customHeight="1" outlineLevel="1" x14ac:dyDescent="0.2">
      <c r="A615" s="409" t="s">
        <v>567</v>
      </c>
      <c r="B615" s="76" t="s">
        <v>9</v>
      </c>
      <c r="C615" s="77" t="s">
        <v>90</v>
      </c>
      <c r="D615" s="410" t="s">
        <v>297</v>
      </c>
      <c r="E615" s="410" t="s">
        <v>93</v>
      </c>
      <c r="F615" s="78" t="s">
        <v>28</v>
      </c>
      <c r="G615" s="137">
        <f>SUM(G616:G621)</f>
        <v>150005</v>
      </c>
      <c r="H615" s="137">
        <f>SUM(H616:H621)</f>
        <v>75245</v>
      </c>
      <c r="I615" s="39">
        <f t="shared" ref="I615:I621" si="269">IF(G615&gt;0,H615/G615*100,"-")</f>
        <v>50.161661277957407</v>
      </c>
      <c r="J615" s="137">
        <f>SUM(J616:J621)</f>
        <v>74760</v>
      </c>
      <c r="K615" s="137">
        <f>SUM(K616:K621)</f>
        <v>0</v>
      </c>
      <c r="L615" s="137">
        <f>SUM(L616:L621)</f>
        <v>74760</v>
      </c>
      <c r="M615" s="38">
        <f>SUM(M616:M621)</f>
        <v>0</v>
      </c>
      <c r="N615" s="39">
        <f t="shared" ref="N615:N621" si="270">IF(L615&gt;0,M615/L615*100,"-")</f>
        <v>0</v>
      </c>
      <c r="O615" s="405" t="s">
        <v>638</v>
      </c>
    </row>
    <row r="616" spans="1:15" s="95" customFormat="1" ht="11.1" customHeight="1" outlineLevel="1" x14ac:dyDescent="0.2">
      <c r="A616" s="409"/>
      <c r="B616" s="76" t="s">
        <v>10</v>
      </c>
      <c r="C616" s="77" t="s">
        <v>91</v>
      </c>
      <c r="D616" s="410"/>
      <c r="E616" s="410"/>
      <c r="F616" s="79" t="s">
        <v>15</v>
      </c>
      <c r="G616" s="138">
        <v>12214</v>
      </c>
      <c r="H616" s="138">
        <f>ROUNDUP(0+M616,0)</f>
        <v>0</v>
      </c>
      <c r="I616" s="81">
        <f t="shared" si="269"/>
        <v>0</v>
      </c>
      <c r="J616" s="138">
        <v>12214</v>
      </c>
      <c r="K616" s="138">
        <f t="shared" ref="K616:K621" si="271">L616-J616</f>
        <v>0</v>
      </c>
      <c r="L616" s="138">
        <v>12214</v>
      </c>
      <c r="M616" s="80">
        <v>0</v>
      </c>
      <c r="N616" s="81">
        <f t="shared" si="270"/>
        <v>0</v>
      </c>
      <c r="O616" s="405"/>
    </row>
    <row r="617" spans="1:15" s="95" customFormat="1" ht="11.1" customHeight="1" outlineLevel="1" x14ac:dyDescent="0.2">
      <c r="A617" s="409"/>
      <c r="B617" s="76" t="s">
        <v>11</v>
      </c>
      <c r="C617" s="82" t="s">
        <v>92</v>
      </c>
      <c r="D617" s="410"/>
      <c r="E617" s="410"/>
      <c r="F617" s="79" t="s">
        <v>7</v>
      </c>
      <c r="G617" s="138">
        <v>137791</v>
      </c>
      <c r="H617" s="138">
        <f>ROUNDUP(75245+M617,0)</f>
        <v>75245</v>
      </c>
      <c r="I617" s="81">
        <f t="shared" si="269"/>
        <v>54.60806583884289</v>
      </c>
      <c r="J617" s="138">
        <v>62546</v>
      </c>
      <c r="K617" s="138">
        <f t="shared" si="271"/>
        <v>0</v>
      </c>
      <c r="L617" s="138">
        <v>62546</v>
      </c>
      <c r="M617" s="80">
        <v>0</v>
      </c>
      <c r="N617" s="81">
        <f t="shared" si="270"/>
        <v>0</v>
      </c>
      <c r="O617" s="405"/>
    </row>
    <row r="618" spans="1:15" s="95" customFormat="1" ht="11.1" customHeight="1" outlineLevel="1" x14ac:dyDescent="0.2">
      <c r="A618" s="117"/>
      <c r="B618" s="76" t="s">
        <v>12</v>
      </c>
      <c r="C618" s="82" t="s">
        <v>205</v>
      </c>
      <c r="D618" s="108"/>
      <c r="E618" s="108"/>
      <c r="F618" s="79" t="s">
        <v>8</v>
      </c>
      <c r="G618" s="138">
        <v>0</v>
      </c>
      <c r="H618" s="138">
        <f t="shared" ref="H618:H621" si="272">ROUNDUP(0+M618,0)</f>
        <v>0</v>
      </c>
      <c r="I618" s="81" t="str">
        <f t="shared" si="269"/>
        <v>-</v>
      </c>
      <c r="J618" s="138">
        <v>0</v>
      </c>
      <c r="K618" s="138">
        <f t="shared" si="271"/>
        <v>0</v>
      </c>
      <c r="L618" s="138">
        <v>0</v>
      </c>
      <c r="M618" s="80">
        <v>0</v>
      </c>
      <c r="N618" s="81" t="str">
        <f t="shared" si="270"/>
        <v>-</v>
      </c>
      <c r="O618" s="405"/>
    </row>
    <row r="619" spans="1:15" s="95" customFormat="1" ht="11.1" customHeight="1" outlineLevel="1" x14ac:dyDescent="0.2">
      <c r="A619" s="117"/>
      <c r="B619" s="76"/>
      <c r="C619" s="82" t="s">
        <v>206</v>
      </c>
      <c r="D619" s="108"/>
      <c r="E619" s="108"/>
      <c r="F619" s="79" t="s">
        <v>22</v>
      </c>
      <c r="G619" s="138">
        <v>0</v>
      </c>
      <c r="H619" s="138">
        <f t="shared" si="272"/>
        <v>0</v>
      </c>
      <c r="I619" s="81" t="str">
        <f t="shared" si="269"/>
        <v>-</v>
      </c>
      <c r="J619" s="138">
        <v>0</v>
      </c>
      <c r="K619" s="138">
        <f t="shared" si="271"/>
        <v>0</v>
      </c>
      <c r="L619" s="138">
        <v>0</v>
      </c>
      <c r="M619" s="80">
        <v>0</v>
      </c>
      <c r="N619" s="81" t="str">
        <f t="shared" si="270"/>
        <v>-</v>
      </c>
      <c r="O619" s="405"/>
    </row>
    <row r="620" spans="1:15" s="95" customFormat="1" ht="11.1" customHeight="1" outlineLevel="1" x14ac:dyDescent="0.2">
      <c r="A620" s="117"/>
      <c r="B620" s="76" t="s">
        <v>23</v>
      </c>
      <c r="C620" s="82" t="s">
        <v>110</v>
      </c>
      <c r="D620" s="108"/>
      <c r="E620" s="108"/>
      <c r="F620" s="79" t="s">
        <v>45</v>
      </c>
      <c r="G620" s="139">
        <v>0</v>
      </c>
      <c r="H620" s="138">
        <f t="shared" si="272"/>
        <v>0</v>
      </c>
      <c r="I620" s="81" t="str">
        <f t="shared" si="269"/>
        <v>-</v>
      </c>
      <c r="J620" s="138">
        <v>0</v>
      </c>
      <c r="K620" s="138">
        <f t="shared" si="271"/>
        <v>0</v>
      </c>
      <c r="L620" s="138">
        <v>0</v>
      </c>
      <c r="M620" s="80">
        <v>0</v>
      </c>
      <c r="N620" s="81" t="str">
        <f t="shared" si="270"/>
        <v>-</v>
      </c>
      <c r="O620" s="405"/>
    </row>
    <row r="621" spans="1:15" s="95" customFormat="1" ht="11.1" customHeight="1" outlineLevel="1" x14ac:dyDescent="0.2">
      <c r="A621" s="117"/>
      <c r="B621" s="76"/>
      <c r="C621" s="82" t="s">
        <v>111</v>
      </c>
      <c r="D621" s="108"/>
      <c r="E621" s="108"/>
      <c r="F621" s="79" t="s">
        <v>359</v>
      </c>
      <c r="G621" s="139">
        <v>0</v>
      </c>
      <c r="H621" s="138">
        <f t="shared" si="272"/>
        <v>0</v>
      </c>
      <c r="I621" s="81" t="str">
        <f t="shared" si="269"/>
        <v>-</v>
      </c>
      <c r="J621" s="138">
        <v>0</v>
      </c>
      <c r="K621" s="138">
        <f t="shared" si="271"/>
        <v>0</v>
      </c>
      <c r="L621" s="138">
        <v>0</v>
      </c>
      <c r="M621" s="80">
        <v>0</v>
      </c>
      <c r="N621" s="81" t="str">
        <f t="shared" si="270"/>
        <v>-</v>
      </c>
      <c r="O621" s="405"/>
    </row>
    <row r="622" spans="1:15" s="95" customFormat="1" ht="11.1" customHeight="1" outlineLevel="1" x14ac:dyDescent="0.2">
      <c r="A622" s="117"/>
      <c r="B622" s="76"/>
      <c r="C622" s="82" t="s">
        <v>112</v>
      </c>
      <c r="D622" s="108"/>
      <c r="E622" s="108"/>
      <c r="F622" s="106"/>
      <c r="G622" s="139"/>
      <c r="H622" s="139"/>
      <c r="I622" s="81"/>
      <c r="J622" s="139"/>
      <c r="K622" s="139"/>
      <c r="L622" s="138"/>
      <c r="M622" s="89"/>
      <c r="N622" s="81"/>
      <c r="O622" s="328"/>
    </row>
    <row r="623" spans="1:15" s="95" customFormat="1" ht="11.1" customHeight="1" outlineLevel="1" x14ac:dyDescent="0.2">
      <c r="A623" s="117"/>
      <c r="B623" s="76"/>
      <c r="C623" s="82" t="s">
        <v>113</v>
      </c>
      <c r="D623" s="108"/>
      <c r="E623" s="108"/>
      <c r="F623" s="106"/>
      <c r="G623" s="139"/>
      <c r="H623" s="139"/>
      <c r="I623" s="81"/>
      <c r="J623" s="139"/>
      <c r="K623" s="139"/>
      <c r="L623" s="138"/>
      <c r="M623" s="89"/>
      <c r="N623" s="81"/>
      <c r="O623" s="328"/>
    </row>
    <row r="624" spans="1:15" s="95" customFormat="1" ht="3.95" customHeight="1" outlineLevel="1" x14ac:dyDescent="0.2">
      <c r="A624" s="118"/>
      <c r="B624" s="85"/>
      <c r="C624" s="86"/>
      <c r="D624" s="84"/>
      <c r="E624" s="84"/>
      <c r="F624" s="85"/>
      <c r="G624" s="140"/>
      <c r="H624" s="140"/>
      <c r="I624" s="88"/>
      <c r="J624" s="140"/>
      <c r="K624" s="140"/>
      <c r="L624" s="141"/>
      <c r="M624" s="87"/>
      <c r="N624" s="88"/>
      <c r="O624" s="324"/>
    </row>
    <row r="625" spans="1:15" s="95" customFormat="1" ht="3.95" customHeight="1" outlineLevel="1" x14ac:dyDescent="0.2">
      <c r="A625" s="152"/>
      <c r="B625" s="72"/>
      <c r="C625" s="73"/>
      <c r="D625" s="71"/>
      <c r="E625" s="71"/>
      <c r="F625" s="72"/>
      <c r="G625" s="135"/>
      <c r="H625" s="135"/>
      <c r="I625" s="75"/>
      <c r="J625" s="135"/>
      <c r="K625" s="135"/>
      <c r="L625" s="136"/>
      <c r="M625" s="74"/>
      <c r="N625" s="75"/>
      <c r="O625" s="323"/>
    </row>
    <row r="626" spans="1:15" s="95" customFormat="1" ht="11.1" customHeight="1" outlineLevel="1" x14ac:dyDescent="0.2">
      <c r="A626" s="409" t="s">
        <v>568</v>
      </c>
      <c r="B626" s="76" t="s">
        <v>9</v>
      </c>
      <c r="C626" s="77" t="s">
        <v>90</v>
      </c>
      <c r="D626" s="410" t="s">
        <v>298</v>
      </c>
      <c r="E626" s="410" t="s">
        <v>101</v>
      </c>
      <c r="F626" s="78" t="s">
        <v>28</v>
      </c>
      <c r="G626" s="137">
        <f>SUM(G627:G632)</f>
        <v>1103093</v>
      </c>
      <c r="H626" s="241">
        <f>SUM(H627:H632)</f>
        <v>646903</v>
      </c>
      <c r="I626" s="39">
        <f t="shared" ref="I626:I632" si="273">IF(G626&gt;0,H626/G626*100,"-")</f>
        <v>58.644466060431895</v>
      </c>
      <c r="J626" s="241">
        <f>SUM(J627:J632)</f>
        <v>554345</v>
      </c>
      <c r="K626" s="137">
        <f>SUM(K627:K632)</f>
        <v>0</v>
      </c>
      <c r="L626" s="137">
        <f>SUM(L627:L632)</f>
        <v>554345</v>
      </c>
      <c r="M626" s="38">
        <f>SUM(M627:M632)</f>
        <v>420549.58</v>
      </c>
      <c r="N626" s="39">
        <f t="shared" ref="N626:N632" si="274">IF(L626&gt;0,M626/L626*100,"-")</f>
        <v>75.864232562754239</v>
      </c>
      <c r="O626" s="405" t="s">
        <v>639</v>
      </c>
    </row>
    <row r="627" spans="1:15" s="95" customFormat="1" ht="11.1" customHeight="1" outlineLevel="1" x14ac:dyDescent="0.2">
      <c r="A627" s="409"/>
      <c r="B627" s="76" t="s">
        <v>10</v>
      </c>
      <c r="C627" s="77" t="s">
        <v>94</v>
      </c>
      <c r="D627" s="410"/>
      <c r="E627" s="410"/>
      <c r="F627" s="79" t="s">
        <v>15</v>
      </c>
      <c r="G627" s="138">
        <v>172408</v>
      </c>
      <c r="H627" s="139">
        <f>ROUNDUP(22635+M627,0)</f>
        <v>76947</v>
      </c>
      <c r="I627" s="81">
        <f t="shared" si="273"/>
        <v>44.630759593522342</v>
      </c>
      <c r="J627" s="138">
        <v>71633</v>
      </c>
      <c r="K627" s="138">
        <f t="shared" ref="K627:K632" si="275">L627-J627</f>
        <v>365</v>
      </c>
      <c r="L627" s="138">
        <v>71998</v>
      </c>
      <c r="M627" s="80">
        <v>54311.57</v>
      </c>
      <c r="N627" s="81">
        <f t="shared" si="274"/>
        <v>75.43483152309787</v>
      </c>
      <c r="O627" s="405"/>
    </row>
    <row r="628" spans="1:15" s="95" customFormat="1" ht="11.1" customHeight="1" outlineLevel="1" x14ac:dyDescent="0.2">
      <c r="A628" s="409"/>
      <c r="B628" s="76" t="s">
        <v>11</v>
      </c>
      <c r="C628" s="82" t="s">
        <v>95</v>
      </c>
      <c r="D628" s="410"/>
      <c r="E628" s="410"/>
      <c r="F628" s="79" t="s">
        <v>7</v>
      </c>
      <c r="G628" s="138">
        <v>856667</v>
      </c>
      <c r="H628" s="359">
        <f>ROUNDUP(187442+M628,0)</f>
        <v>524877</v>
      </c>
      <c r="I628" s="81">
        <f t="shared" si="273"/>
        <v>61.269664875616783</v>
      </c>
      <c r="J628" s="138">
        <v>444147</v>
      </c>
      <c r="K628" s="138">
        <f t="shared" si="275"/>
        <v>0</v>
      </c>
      <c r="L628" s="138">
        <v>444147</v>
      </c>
      <c r="M628" s="80">
        <v>337434.28</v>
      </c>
      <c r="N628" s="81">
        <f t="shared" si="274"/>
        <v>75.97355830389489</v>
      </c>
      <c r="O628" s="405"/>
    </row>
    <row r="629" spans="1:15" s="95" customFormat="1" ht="11.1" customHeight="1" outlineLevel="1" x14ac:dyDescent="0.2">
      <c r="A629" s="117"/>
      <c r="B629" s="76" t="s">
        <v>12</v>
      </c>
      <c r="C629" s="82" t="s">
        <v>207</v>
      </c>
      <c r="D629" s="108"/>
      <c r="E629" s="108"/>
      <c r="F629" s="79" t="s">
        <v>8</v>
      </c>
      <c r="G629" s="139">
        <v>0</v>
      </c>
      <c r="H629" s="138">
        <f t="shared" ref="H629" si="276">ROUNDUP(0+M629,0)</f>
        <v>0</v>
      </c>
      <c r="I629" s="81" t="str">
        <f t="shared" si="273"/>
        <v>-</v>
      </c>
      <c r="J629" s="138">
        <v>0</v>
      </c>
      <c r="K629" s="138">
        <f t="shared" si="275"/>
        <v>0</v>
      </c>
      <c r="L629" s="138">
        <v>0</v>
      </c>
      <c r="M629" s="80">
        <v>0</v>
      </c>
      <c r="N629" s="81" t="str">
        <f t="shared" si="274"/>
        <v>-</v>
      </c>
      <c r="O629" s="405"/>
    </row>
    <row r="630" spans="1:15" s="95" customFormat="1" ht="11.1" customHeight="1" outlineLevel="1" x14ac:dyDescent="0.2">
      <c r="A630" s="117"/>
      <c r="B630" s="76" t="s">
        <v>23</v>
      </c>
      <c r="C630" s="82" t="s">
        <v>96</v>
      </c>
      <c r="D630" s="108"/>
      <c r="E630" s="108"/>
      <c r="F630" s="79" t="s">
        <v>22</v>
      </c>
      <c r="G630" s="138">
        <v>74018</v>
      </c>
      <c r="H630" s="139">
        <f>ROUNDUP(16275+M630,0)</f>
        <v>45079</v>
      </c>
      <c r="I630" s="81">
        <f t="shared" si="273"/>
        <v>60.902753384311922</v>
      </c>
      <c r="J630" s="138">
        <v>38565</v>
      </c>
      <c r="K630" s="138">
        <f t="shared" si="275"/>
        <v>-365</v>
      </c>
      <c r="L630" s="138">
        <v>38200</v>
      </c>
      <c r="M630" s="80">
        <v>28803.73</v>
      </c>
      <c r="N630" s="81">
        <f t="shared" si="274"/>
        <v>75.402434554973823</v>
      </c>
      <c r="O630" s="405"/>
    </row>
    <row r="631" spans="1:15" s="95" customFormat="1" ht="11.1" customHeight="1" outlineLevel="1" x14ac:dyDescent="0.2">
      <c r="A631" s="117"/>
      <c r="B631" s="76"/>
      <c r="C631" s="82" t="s">
        <v>97</v>
      </c>
      <c r="D631" s="108"/>
      <c r="E631" s="108"/>
      <c r="F631" s="79" t="s">
        <v>45</v>
      </c>
      <c r="G631" s="139">
        <v>0</v>
      </c>
      <c r="H631" s="138">
        <f t="shared" ref="H631:H632" si="277">ROUNDUP(0+M631,0)</f>
        <v>0</v>
      </c>
      <c r="I631" s="81" t="str">
        <f t="shared" si="273"/>
        <v>-</v>
      </c>
      <c r="J631" s="138">
        <v>0</v>
      </c>
      <c r="K631" s="138">
        <f t="shared" si="275"/>
        <v>0</v>
      </c>
      <c r="L631" s="138">
        <v>0</v>
      </c>
      <c r="M631" s="80">
        <v>0</v>
      </c>
      <c r="N631" s="81" t="str">
        <f t="shared" si="274"/>
        <v>-</v>
      </c>
      <c r="O631" s="405"/>
    </row>
    <row r="632" spans="1:15" s="95" customFormat="1" ht="11.1" customHeight="1" outlineLevel="1" x14ac:dyDescent="0.2">
      <c r="A632" s="117"/>
      <c r="B632" s="76"/>
      <c r="C632" s="82" t="s">
        <v>98</v>
      </c>
      <c r="D632" s="108"/>
      <c r="E632" s="108"/>
      <c r="F632" s="79" t="s">
        <v>359</v>
      </c>
      <c r="G632" s="139">
        <v>0</v>
      </c>
      <c r="H632" s="138">
        <f t="shared" si="277"/>
        <v>0</v>
      </c>
      <c r="I632" s="81" t="str">
        <f t="shared" si="273"/>
        <v>-</v>
      </c>
      <c r="J632" s="138">
        <v>0</v>
      </c>
      <c r="K632" s="138">
        <f t="shared" si="275"/>
        <v>0</v>
      </c>
      <c r="L632" s="138">
        <v>0</v>
      </c>
      <c r="M632" s="80">
        <v>0</v>
      </c>
      <c r="N632" s="81" t="str">
        <f t="shared" si="274"/>
        <v>-</v>
      </c>
      <c r="O632" s="405"/>
    </row>
    <row r="633" spans="1:15" s="95" customFormat="1" ht="11.1" customHeight="1" outlineLevel="1" x14ac:dyDescent="0.2">
      <c r="A633" s="117"/>
      <c r="B633" s="76"/>
      <c r="C633" s="82" t="s">
        <v>99</v>
      </c>
      <c r="D633" s="108"/>
      <c r="E633" s="108"/>
      <c r="F633" s="106"/>
      <c r="G633" s="139"/>
      <c r="H633" s="139"/>
      <c r="I633" s="81"/>
      <c r="J633" s="139"/>
      <c r="K633" s="139"/>
      <c r="L633" s="138"/>
      <c r="M633" s="89"/>
      <c r="N633" s="81"/>
      <c r="O633" s="405"/>
    </row>
    <row r="634" spans="1:15" s="95" customFormat="1" ht="13.5" customHeight="1" outlineLevel="1" x14ac:dyDescent="0.2">
      <c r="A634" s="117"/>
      <c r="B634" s="76"/>
      <c r="C634" s="82" t="s">
        <v>100</v>
      </c>
      <c r="D634" s="108"/>
      <c r="E634" s="108"/>
      <c r="F634" s="106"/>
      <c r="G634" s="139"/>
      <c r="H634" s="139"/>
      <c r="I634" s="81"/>
      <c r="J634" s="139"/>
      <c r="K634" s="139"/>
      <c r="L634" s="138"/>
      <c r="M634" s="89"/>
      <c r="N634" s="81"/>
      <c r="O634" s="405"/>
    </row>
    <row r="635" spans="1:15" s="95" customFormat="1" ht="3.95" customHeight="1" outlineLevel="1" x14ac:dyDescent="0.2">
      <c r="A635" s="118"/>
      <c r="B635" s="85"/>
      <c r="C635" s="86"/>
      <c r="D635" s="84"/>
      <c r="E635" s="84"/>
      <c r="F635" s="85"/>
      <c r="G635" s="140"/>
      <c r="H635" s="140"/>
      <c r="I635" s="88"/>
      <c r="J635" s="140"/>
      <c r="K635" s="140"/>
      <c r="L635" s="141"/>
      <c r="M635" s="87"/>
      <c r="N635" s="88"/>
      <c r="O635" s="324"/>
    </row>
    <row r="636" spans="1:15" s="95" customFormat="1" ht="3.95" customHeight="1" outlineLevel="1" x14ac:dyDescent="0.2">
      <c r="A636" s="152"/>
      <c r="B636" s="72"/>
      <c r="C636" s="73"/>
      <c r="D636" s="71"/>
      <c r="E636" s="71"/>
      <c r="F636" s="72"/>
      <c r="G636" s="135"/>
      <c r="H636" s="135"/>
      <c r="I636" s="75"/>
      <c r="J636" s="135"/>
      <c r="K636" s="135"/>
      <c r="L636" s="136"/>
      <c r="M636" s="74"/>
      <c r="N636" s="75"/>
      <c r="O636" s="323"/>
    </row>
    <row r="637" spans="1:15" s="95" customFormat="1" ht="11.1" customHeight="1" outlineLevel="1" x14ac:dyDescent="0.2">
      <c r="A637" s="409" t="s">
        <v>569</v>
      </c>
      <c r="B637" s="76" t="s">
        <v>9</v>
      </c>
      <c r="C637" s="148" t="s">
        <v>86</v>
      </c>
      <c r="D637" s="410" t="s">
        <v>383</v>
      </c>
      <c r="E637" s="410" t="s">
        <v>93</v>
      </c>
      <c r="F637" s="78" t="s">
        <v>28</v>
      </c>
      <c r="G637" s="137">
        <f>SUM(G638:G643)</f>
        <v>36600</v>
      </c>
      <c r="H637" s="137">
        <f>SUM(H638:H643)</f>
        <v>0</v>
      </c>
      <c r="I637" s="39">
        <f t="shared" ref="I637:I643" si="278">IF(G637&gt;0,H637/G637*100,"-")</f>
        <v>0</v>
      </c>
      <c r="J637" s="137">
        <f>SUM(J638:J643)</f>
        <v>18300</v>
      </c>
      <c r="K637" s="137">
        <f>SUM(K638:K643)</f>
        <v>0</v>
      </c>
      <c r="L637" s="137">
        <f>SUM(L638:L643)</f>
        <v>18300</v>
      </c>
      <c r="M637" s="38">
        <f>SUM(M638:M643)</f>
        <v>0</v>
      </c>
      <c r="N637" s="39">
        <f t="shared" ref="N637:N643" si="279">IF(L637&gt;0,M637/L637*100,"-")</f>
        <v>0</v>
      </c>
      <c r="O637" s="405" t="s">
        <v>638</v>
      </c>
    </row>
    <row r="638" spans="1:15" s="95" customFormat="1" ht="11.1" customHeight="1" outlineLevel="1" x14ac:dyDescent="0.2">
      <c r="A638" s="409"/>
      <c r="B638" s="76" t="s">
        <v>10</v>
      </c>
      <c r="C638" s="148" t="s">
        <v>102</v>
      </c>
      <c r="D638" s="410"/>
      <c r="E638" s="410"/>
      <c r="F638" s="79" t="s">
        <v>15</v>
      </c>
      <c r="G638" s="138">
        <v>14640</v>
      </c>
      <c r="H638" s="139">
        <f>ROUNDUP(0+M638,0)</f>
        <v>0</v>
      </c>
      <c r="I638" s="81">
        <f t="shared" si="278"/>
        <v>0</v>
      </c>
      <c r="J638" s="138">
        <v>7320</v>
      </c>
      <c r="K638" s="138">
        <f t="shared" ref="K638:K643" si="280">L638-J638</f>
        <v>0</v>
      </c>
      <c r="L638" s="138">
        <v>7320</v>
      </c>
      <c r="M638" s="80">
        <v>0</v>
      </c>
      <c r="N638" s="81">
        <f t="shared" si="279"/>
        <v>0</v>
      </c>
      <c r="O638" s="405"/>
    </row>
    <row r="639" spans="1:15" s="95" customFormat="1" ht="11.1" customHeight="1" outlineLevel="1" x14ac:dyDescent="0.2">
      <c r="A639" s="409"/>
      <c r="B639" s="76"/>
      <c r="C639" s="82" t="s">
        <v>103</v>
      </c>
      <c r="D639" s="410"/>
      <c r="E639" s="410"/>
      <c r="F639" s="79" t="s">
        <v>7</v>
      </c>
      <c r="G639" s="138">
        <v>21960</v>
      </c>
      <c r="H639" s="139">
        <f>ROUNDUP(0+M639,0)</f>
        <v>0</v>
      </c>
      <c r="I639" s="81">
        <f t="shared" si="278"/>
        <v>0</v>
      </c>
      <c r="J639" s="138">
        <v>10980</v>
      </c>
      <c r="K639" s="138">
        <f t="shared" si="280"/>
        <v>0</v>
      </c>
      <c r="L639" s="138">
        <v>10980</v>
      </c>
      <c r="M639" s="80">
        <v>0</v>
      </c>
      <c r="N639" s="81">
        <f t="shared" si="279"/>
        <v>0</v>
      </c>
      <c r="O639" s="405"/>
    </row>
    <row r="640" spans="1:15" s="95" customFormat="1" ht="11.1" customHeight="1" outlineLevel="1" x14ac:dyDescent="0.2">
      <c r="A640" s="117"/>
      <c r="B640" s="76" t="s">
        <v>11</v>
      </c>
      <c r="C640" s="82" t="s">
        <v>151</v>
      </c>
      <c r="D640" s="108"/>
      <c r="E640" s="108"/>
      <c r="F640" s="79" t="s">
        <v>8</v>
      </c>
      <c r="G640" s="139">
        <v>0</v>
      </c>
      <c r="H640" s="138">
        <f t="shared" ref="H640:H643" si="281">ROUNDUP(0+M640,0)</f>
        <v>0</v>
      </c>
      <c r="I640" s="81" t="str">
        <f t="shared" si="278"/>
        <v>-</v>
      </c>
      <c r="J640" s="138">
        <v>0</v>
      </c>
      <c r="K640" s="138">
        <f t="shared" si="280"/>
        <v>0</v>
      </c>
      <c r="L640" s="138">
        <v>0</v>
      </c>
      <c r="M640" s="80">
        <v>0</v>
      </c>
      <c r="N640" s="81" t="str">
        <f t="shared" si="279"/>
        <v>-</v>
      </c>
      <c r="O640" s="405"/>
    </row>
    <row r="641" spans="1:15" s="95" customFormat="1" ht="11.1" customHeight="1" outlineLevel="1" x14ac:dyDescent="0.2">
      <c r="A641" s="117"/>
      <c r="B641" s="76"/>
      <c r="C641" s="82" t="s">
        <v>104</v>
      </c>
      <c r="D641" s="108"/>
      <c r="E641" s="108"/>
      <c r="F641" s="79" t="s">
        <v>22</v>
      </c>
      <c r="G641" s="139">
        <v>0</v>
      </c>
      <c r="H641" s="138">
        <f t="shared" si="281"/>
        <v>0</v>
      </c>
      <c r="I641" s="81" t="str">
        <f t="shared" si="278"/>
        <v>-</v>
      </c>
      <c r="J641" s="138">
        <v>0</v>
      </c>
      <c r="K641" s="138">
        <f t="shared" si="280"/>
        <v>0</v>
      </c>
      <c r="L641" s="138">
        <v>0</v>
      </c>
      <c r="M641" s="80">
        <v>0</v>
      </c>
      <c r="N641" s="81" t="str">
        <f t="shared" si="279"/>
        <v>-</v>
      </c>
      <c r="O641" s="405"/>
    </row>
    <row r="642" spans="1:15" s="95" customFormat="1" ht="11.1" customHeight="1" outlineLevel="1" x14ac:dyDescent="0.2">
      <c r="A642" s="117"/>
      <c r="B642" s="76" t="s">
        <v>12</v>
      </c>
      <c r="C642" s="82" t="s">
        <v>299</v>
      </c>
      <c r="D642" s="108"/>
      <c r="E642" s="108"/>
      <c r="F642" s="79" t="s">
        <v>45</v>
      </c>
      <c r="G642" s="139">
        <v>0</v>
      </c>
      <c r="H642" s="138">
        <f t="shared" si="281"/>
        <v>0</v>
      </c>
      <c r="I642" s="81" t="str">
        <f t="shared" si="278"/>
        <v>-</v>
      </c>
      <c r="J642" s="138">
        <v>0</v>
      </c>
      <c r="K642" s="138">
        <f t="shared" si="280"/>
        <v>0</v>
      </c>
      <c r="L642" s="138">
        <v>0</v>
      </c>
      <c r="M642" s="80">
        <v>0</v>
      </c>
      <c r="N642" s="81" t="str">
        <f t="shared" si="279"/>
        <v>-</v>
      </c>
      <c r="O642" s="405"/>
    </row>
    <row r="643" spans="1:15" s="95" customFormat="1" ht="11.1" customHeight="1" outlineLevel="1" x14ac:dyDescent="0.2">
      <c r="A643" s="117"/>
      <c r="B643" s="76"/>
      <c r="C643" s="82" t="s">
        <v>300</v>
      </c>
      <c r="D643" s="108"/>
      <c r="E643" s="108"/>
      <c r="F643" s="79" t="s">
        <v>359</v>
      </c>
      <c r="G643" s="139">
        <v>0</v>
      </c>
      <c r="H643" s="138">
        <f t="shared" si="281"/>
        <v>0</v>
      </c>
      <c r="I643" s="81" t="str">
        <f t="shared" si="278"/>
        <v>-</v>
      </c>
      <c r="J643" s="138">
        <v>0</v>
      </c>
      <c r="K643" s="138">
        <f t="shared" si="280"/>
        <v>0</v>
      </c>
      <c r="L643" s="138">
        <v>0</v>
      </c>
      <c r="M643" s="80">
        <v>0</v>
      </c>
      <c r="N643" s="81" t="str">
        <f t="shared" si="279"/>
        <v>-</v>
      </c>
      <c r="O643" s="405"/>
    </row>
    <row r="644" spans="1:15" s="95" customFormat="1" ht="11.1" customHeight="1" outlineLevel="1" x14ac:dyDescent="0.2">
      <c r="A644" s="117"/>
      <c r="B644" s="76" t="s">
        <v>23</v>
      </c>
      <c r="C644" s="82" t="s">
        <v>105</v>
      </c>
      <c r="D644" s="108"/>
      <c r="E644" s="108"/>
      <c r="F644" s="106"/>
      <c r="G644" s="139"/>
      <c r="H644" s="139"/>
      <c r="I644" s="81"/>
      <c r="J644" s="139"/>
      <c r="K644" s="139"/>
      <c r="L644" s="138"/>
      <c r="M644" s="89"/>
      <c r="N644" s="81"/>
      <c r="O644" s="405"/>
    </row>
    <row r="645" spans="1:15" s="95" customFormat="1" ht="11.1" customHeight="1" outlineLevel="1" x14ac:dyDescent="0.2">
      <c r="A645" s="117"/>
      <c r="B645" s="76"/>
      <c r="C645" s="82" t="s">
        <v>106</v>
      </c>
      <c r="D645" s="108"/>
      <c r="E645" s="108"/>
      <c r="F645" s="106"/>
      <c r="G645" s="139"/>
      <c r="H645" s="139"/>
      <c r="I645" s="81"/>
      <c r="J645" s="139"/>
      <c r="K645" s="139"/>
      <c r="L645" s="138"/>
      <c r="M645" s="89"/>
      <c r="N645" s="81"/>
      <c r="O645" s="405"/>
    </row>
    <row r="646" spans="1:15" s="95" customFormat="1" ht="11.1" customHeight="1" outlineLevel="1" x14ac:dyDescent="0.2">
      <c r="A646" s="117"/>
      <c r="B646" s="76"/>
      <c r="C646" s="82" t="s">
        <v>107</v>
      </c>
      <c r="D646" s="108"/>
      <c r="E646" s="108"/>
      <c r="F646" s="106"/>
      <c r="G646" s="139"/>
      <c r="H646" s="139"/>
      <c r="I646" s="81"/>
      <c r="J646" s="139"/>
      <c r="K646" s="139"/>
      <c r="L646" s="138"/>
      <c r="M646" s="89"/>
      <c r="N646" s="81"/>
      <c r="O646" s="328"/>
    </row>
    <row r="647" spans="1:15" s="95" customFormat="1" ht="11.1" customHeight="1" outlineLevel="1" x14ac:dyDescent="0.2">
      <c r="A647" s="117"/>
      <c r="B647" s="76"/>
      <c r="C647" s="82" t="s">
        <v>108</v>
      </c>
      <c r="D647" s="108"/>
      <c r="E647" s="108"/>
      <c r="F647" s="106"/>
      <c r="G647" s="139"/>
      <c r="H647" s="139"/>
      <c r="I647" s="81"/>
      <c r="J647" s="139"/>
      <c r="K647" s="139"/>
      <c r="L647" s="138"/>
      <c r="M647" s="89"/>
      <c r="N647" s="81"/>
      <c r="O647" s="328"/>
    </row>
    <row r="648" spans="1:15" s="95" customFormat="1" ht="11.1" customHeight="1" outlineLevel="1" x14ac:dyDescent="0.2">
      <c r="A648" s="117"/>
      <c r="B648" s="76"/>
      <c r="C648" s="82" t="s">
        <v>109</v>
      </c>
      <c r="D648" s="108"/>
      <c r="E648" s="108"/>
      <c r="F648" s="106"/>
      <c r="G648" s="139"/>
      <c r="H648" s="139"/>
      <c r="I648" s="81"/>
      <c r="J648" s="139"/>
      <c r="K648" s="139"/>
      <c r="L648" s="138"/>
      <c r="M648" s="89"/>
      <c r="N648" s="81"/>
      <c r="O648" s="328"/>
    </row>
    <row r="649" spans="1:15" s="95" customFormat="1" ht="3.95" customHeight="1" outlineLevel="1" x14ac:dyDescent="0.2">
      <c r="A649" s="118"/>
      <c r="B649" s="85"/>
      <c r="C649" s="86"/>
      <c r="D649" s="84"/>
      <c r="E649" s="84"/>
      <c r="F649" s="85"/>
      <c r="G649" s="140"/>
      <c r="H649" s="140"/>
      <c r="I649" s="88"/>
      <c r="J649" s="140"/>
      <c r="K649" s="140"/>
      <c r="L649" s="141"/>
      <c r="M649" s="87"/>
      <c r="N649" s="88"/>
      <c r="O649" s="324"/>
    </row>
    <row r="650" spans="1:15" s="95" customFormat="1" ht="3.6" customHeight="1" outlineLevel="1" x14ac:dyDescent="0.2">
      <c r="A650" s="152"/>
      <c r="B650" s="72"/>
      <c r="C650" s="73"/>
      <c r="D650" s="71"/>
      <c r="E650" s="71"/>
      <c r="F650" s="72"/>
      <c r="G650" s="135"/>
      <c r="H650" s="135"/>
      <c r="I650" s="75"/>
      <c r="J650" s="135"/>
      <c r="K650" s="135"/>
      <c r="L650" s="136"/>
      <c r="M650" s="74"/>
      <c r="N650" s="75"/>
      <c r="O650" s="323"/>
    </row>
    <row r="651" spans="1:15" s="95" customFormat="1" ht="11.1" customHeight="1" outlineLevel="1" x14ac:dyDescent="0.2">
      <c r="A651" s="409" t="s">
        <v>570</v>
      </c>
      <c r="B651" s="76" t="s">
        <v>9</v>
      </c>
      <c r="C651" s="148" t="s">
        <v>86</v>
      </c>
      <c r="D651" s="410" t="s">
        <v>437</v>
      </c>
      <c r="E651" s="410" t="s">
        <v>93</v>
      </c>
      <c r="F651" s="78" t="s">
        <v>28</v>
      </c>
      <c r="G651" s="137">
        <f>SUM(G652:G657)</f>
        <v>146534</v>
      </c>
      <c r="H651" s="137">
        <f>SUM(H652:H657)</f>
        <v>69284</v>
      </c>
      <c r="I651" s="39">
        <f t="shared" ref="I651:I657" si="282">IF(G651&gt;0,H651/G651*100,"-")</f>
        <v>47.281859500184261</v>
      </c>
      <c r="J651" s="137">
        <f>SUM(J652:J657)</f>
        <v>77250</v>
      </c>
      <c r="K651" s="137">
        <f>SUM(K652:K657)</f>
        <v>0</v>
      </c>
      <c r="L651" s="137">
        <f>SUM(L652:L657)</f>
        <v>77250</v>
      </c>
      <c r="M651" s="38">
        <f>SUM(M652:M657)</f>
        <v>0</v>
      </c>
      <c r="N651" s="39">
        <f t="shared" ref="N651:N657" si="283">IF(L651&gt;0,M651/L651*100,"-")</f>
        <v>0</v>
      </c>
      <c r="O651" s="405" t="s">
        <v>638</v>
      </c>
    </row>
    <row r="652" spans="1:15" s="95" customFormat="1" ht="11.1" customHeight="1" outlineLevel="1" x14ac:dyDescent="0.2">
      <c r="A652" s="409"/>
      <c r="B652" s="76" t="s">
        <v>10</v>
      </c>
      <c r="C652" s="148" t="s">
        <v>102</v>
      </c>
      <c r="D652" s="410"/>
      <c r="E652" s="410"/>
      <c r="F652" s="79" t="s">
        <v>15</v>
      </c>
      <c r="G652" s="138">
        <v>21982</v>
      </c>
      <c r="H652" s="139">
        <f>ROUNDUP(10394+M652,0)</f>
        <v>10394</v>
      </c>
      <c r="I652" s="81">
        <f t="shared" si="282"/>
        <v>47.284141570375759</v>
      </c>
      <c r="J652" s="138">
        <v>11588</v>
      </c>
      <c r="K652" s="138">
        <f t="shared" ref="K652:K657" si="284">L652-J652</f>
        <v>0</v>
      </c>
      <c r="L652" s="138">
        <v>11588</v>
      </c>
      <c r="M652" s="80">
        <v>0</v>
      </c>
      <c r="N652" s="81">
        <f t="shared" si="283"/>
        <v>0</v>
      </c>
      <c r="O652" s="405"/>
    </row>
    <row r="653" spans="1:15" s="95" customFormat="1" ht="11.1" customHeight="1" outlineLevel="1" x14ac:dyDescent="0.2">
      <c r="A653" s="409"/>
      <c r="B653" s="76"/>
      <c r="C653" s="82" t="s">
        <v>103</v>
      </c>
      <c r="D653" s="410"/>
      <c r="E653" s="410"/>
      <c r="F653" s="79" t="s">
        <v>7</v>
      </c>
      <c r="G653" s="138">
        <v>124552</v>
      </c>
      <c r="H653" s="139">
        <f>ROUNDUP(58890+M653,0)</f>
        <v>58890</v>
      </c>
      <c r="I653" s="81">
        <f t="shared" si="282"/>
        <v>47.281456740959598</v>
      </c>
      <c r="J653" s="138">
        <v>65662</v>
      </c>
      <c r="K653" s="138">
        <f t="shared" si="284"/>
        <v>0</v>
      </c>
      <c r="L653" s="138">
        <v>65662</v>
      </c>
      <c r="M653" s="80">
        <v>0</v>
      </c>
      <c r="N653" s="81">
        <f t="shared" si="283"/>
        <v>0</v>
      </c>
      <c r="O653" s="405"/>
    </row>
    <row r="654" spans="1:15" s="95" customFormat="1" ht="11.1" customHeight="1" outlineLevel="1" x14ac:dyDescent="0.2">
      <c r="A654" s="117"/>
      <c r="B654" s="76" t="s">
        <v>11</v>
      </c>
      <c r="C654" s="82" t="s">
        <v>151</v>
      </c>
      <c r="D654" s="108"/>
      <c r="E654" s="108"/>
      <c r="F654" s="79" t="s">
        <v>8</v>
      </c>
      <c r="G654" s="139">
        <v>0</v>
      </c>
      <c r="H654" s="138">
        <f t="shared" ref="H654:H657" si="285">ROUNDUP(0+M654,0)</f>
        <v>0</v>
      </c>
      <c r="I654" s="81" t="str">
        <f t="shared" si="282"/>
        <v>-</v>
      </c>
      <c r="J654" s="138">
        <v>0</v>
      </c>
      <c r="K654" s="138">
        <f t="shared" si="284"/>
        <v>0</v>
      </c>
      <c r="L654" s="138">
        <v>0</v>
      </c>
      <c r="M654" s="80">
        <v>0</v>
      </c>
      <c r="N654" s="81" t="str">
        <f t="shared" si="283"/>
        <v>-</v>
      </c>
      <c r="O654" s="405"/>
    </row>
    <row r="655" spans="1:15" s="95" customFormat="1" ht="11.1" customHeight="1" outlineLevel="1" x14ac:dyDescent="0.2">
      <c r="A655" s="117"/>
      <c r="B655" s="76"/>
      <c r="C655" s="82" t="s">
        <v>104</v>
      </c>
      <c r="D655" s="108"/>
      <c r="E655" s="108"/>
      <c r="F655" s="79" t="s">
        <v>22</v>
      </c>
      <c r="G655" s="139">
        <v>0</v>
      </c>
      <c r="H655" s="138">
        <f t="shared" si="285"/>
        <v>0</v>
      </c>
      <c r="I655" s="81" t="str">
        <f t="shared" si="282"/>
        <v>-</v>
      </c>
      <c r="J655" s="138">
        <v>0</v>
      </c>
      <c r="K655" s="138">
        <f t="shared" si="284"/>
        <v>0</v>
      </c>
      <c r="L655" s="138">
        <v>0</v>
      </c>
      <c r="M655" s="80">
        <v>0</v>
      </c>
      <c r="N655" s="81" t="str">
        <f t="shared" si="283"/>
        <v>-</v>
      </c>
      <c r="O655" s="405"/>
    </row>
    <row r="656" spans="1:15" s="95" customFormat="1" ht="11.1" customHeight="1" outlineLevel="1" x14ac:dyDescent="0.2">
      <c r="A656" s="117"/>
      <c r="B656" s="76" t="s">
        <v>12</v>
      </c>
      <c r="C656" s="82" t="s">
        <v>208</v>
      </c>
      <c r="D656" s="108"/>
      <c r="E656" s="108"/>
      <c r="F656" s="79" t="s">
        <v>45</v>
      </c>
      <c r="G656" s="139">
        <v>0</v>
      </c>
      <c r="H656" s="138">
        <f t="shared" si="285"/>
        <v>0</v>
      </c>
      <c r="I656" s="81" t="str">
        <f t="shared" si="282"/>
        <v>-</v>
      </c>
      <c r="J656" s="138">
        <v>0</v>
      </c>
      <c r="K656" s="138">
        <f t="shared" si="284"/>
        <v>0</v>
      </c>
      <c r="L656" s="138">
        <v>0</v>
      </c>
      <c r="M656" s="80">
        <v>0</v>
      </c>
      <c r="N656" s="81" t="str">
        <f t="shared" si="283"/>
        <v>-</v>
      </c>
      <c r="O656" s="405"/>
    </row>
    <row r="657" spans="1:15" s="95" customFormat="1" ht="11.1" customHeight="1" outlineLevel="1" x14ac:dyDescent="0.2">
      <c r="A657" s="117"/>
      <c r="B657" s="76" t="s">
        <v>23</v>
      </c>
      <c r="C657" s="82" t="s">
        <v>105</v>
      </c>
      <c r="D657" s="108"/>
      <c r="E657" s="108"/>
      <c r="F657" s="79" t="s">
        <v>359</v>
      </c>
      <c r="G657" s="139">
        <v>0</v>
      </c>
      <c r="H657" s="138">
        <f t="shared" si="285"/>
        <v>0</v>
      </c>
      <c r="I657" s="81" t="str">
        <f t="shared" si="282"/>
        <v>-</v>
      </c>
      <c r="J657" s="138">
        <v>0</v>
      </c>
      <c r="K657" s="138">
        <f t="shared" si="284"/>
        <v>0</v>
      </c>
      <c r="L657" s="138">
        <v>0</v>
      </c>
      <c r="M657" s="80">
        <v>0</v>
      </c>
      <c r="N657" s="81" t="str">
        <f t="shared" si="283"/>
        <v>-</v>
      </c>
      <c r="O657" s="405"/>
    </row>
    <row r="658" spans="1:15" s="95" customFormat="1" ht="11.1" customHeight="1" outlineLevel="1" x14ac:dyDescent="0.2">
      <c r="A658" s="117"/>
      <c r="B658" s="76"/>
      <c r="C658" s="82" t="s">
        <v>106</v>
      </c>
      <c r="D658" s="108"/>
      <c r="E658" s="108"/>
      <c r="F658" s="106"/>
      <c r="G658" s="139"/>
      <c r="H658" s="139"/>
      <c r="I658" s="81"/>
      <c r="J658" s="139"/>
      <c r="K658" s="139"/>
      <c r="L658" s="138"/>
      <c r="M658" s="89"/>
      <c r="N658" s="81"/>
      <c r="O658" s="405"/>
    </row>
    <row r="659" spans="1:15" s="95" customFormat="1" ht="11.1" customHeight="1" outlineLevel="1" x14ac:dyDescent="0.2">
      <c r="A659" s="117"/>
      <c r="B659" s="76"/>
      <c r="C659" s="82" t="s">
        <v>107</v>
      </c>
      <c r="D659" s="108"/>
      <c r="E659" s="108"/>
      <c r="F659" s="106"/>
      <c r="G659" s="139"/>
      <c r="H659" s="139"/>
      <c r="I659" s="81"/>
      <c r="J659" s="139"/>
      <c r="K659" s="139"/>
      <c r="L659" s="138"/>
      <c r="M659" s="89"/>
      <c r="N659" s="81"/>
      <c r="O659" s="405"/>
    </row>
    <row r="660" spans="1:15" s="95" customFormat="1" ht="11.1" customHeight="1" outlineLevel="1" x14ac:dyDescent="0.2">
      <c r="A660" s="117"/>
      <c r="B660" s="76"/>
      <c r="C660" s="82" t="s">
        <v>108</v>
      </c>
      <c r="D660" s="108"/>
      <c r="E660" s="108"/>
      <c r="F660" s="106"/>
      <c r="G660" s="139"/>
      <c r="H660" s="139"/>
      <c r="I660" s="81"/>
      <c r="J660" s="139"/>
      <c r="K660" s="139"/>
      <c r="L660" s="138"/>
      <c r="M660" s="89"/>
      <c r="N660" s="81"/>
      <c r="O660" s="328"/>
    </row>
    <row r="661" spans="1:15" s="95" customFormat="1" ht="11.1" customHeight="1" outlineLevel="1" x14ac:dyDescent="0.2">
      <c r="A661" s="117"/>
      <c r="B661" s="76"/>
      <c r="C661" s="82" t="s">
        <v>109</v>
      </c>
      <c r="D661" s="108"/>
      <c r="E661" s="108"/>
      <c r="F661" s="106"/>
      <c r="G661" s="139"/>
      <c r="H661" s="139"/>
      <c r="I661" s="81"/>
      <c r="J661" s="139"/>
      <c r="K661" s="139"/>
      <c r="L661" s="138"/>
      <c r="M661" s="89"/>
      <c r="N661" s="81"/>
      <c r="O661" s="328"/>
    </row>
    <row r="662" spans="1:15" s="95" customFormat="1" ht="3.6" customHeight="1" outlineLevel="1" x14ac:dyDescent="0.2">
      <c r="A662" s="118"/>
      <c r="B662" s="85"/>
      <c r="C662" s="86"/>
      <c r="D662" s="84"/>
      <c r="E662" s="84"/>
      <c r="F662" s="85"/>
      <c r="G662" s="140"/>
      <c r="H662" s="140"/>
      <c r="I662" s="88"/>
      <c r="J662" s="140"/>
      <c r="K662" s="140"/>
      <c r="L662" s="141"/>
      <c r="M662" s="87"/>
      <c r="N662" s="88"/>
      <c r="O662" s="324"/>
    </row>
    <row r="663" spans="1:15" s="95" customFormat="1" ht="3.6" customHeight="1" outlineLevel="1" x14ac:dyDescent="0.2">
      <c r="A663" s="152"/>
      <c r="B663" s="72"/>
      <c r="C663" s="73"/>
      <c r="D663" s="71"/>
      <c r="E663" s="71"/>
      <c r="F663" s="72"/>
      <c r="G663" s="135"/>
      <c r="H663" s="135"/>
      <c r="I663" s="75"/>
      <c r="J663" s="135"/>
      <c r="K663" s="135"/>
      <c r="L663" s="136"/>
      <c r="M663" s="74"/>
      <c r="N663" s="75"/>
      <c r="O663" s="342"/>
    </row>
    <row r="664" spans="1:15" s="95" customFormat="1" ht="11.1" customHeight="1" outlineLevel="1" x14ac:dyDescent="0.2">
      <c r="A664" s="409" t="s">
        <v>571</v>
      </c>
      <c r="B664" s="76" t="s">
        <v>9</v>
      </c>
      <c r="C664" s="148" t="s">
        <v>86</v>
      </c>
      <c r="D664" s="410" t="s">
        <v>383</v>
      </c>
      <c r="E664" s="410" t="s">
        <v>93</v>
      </c>
      <c r="F664" s="78" t="s">
        <v>28</v>
      </c>
      <c r="G664" s="137">
        <f t="shared" ref="G664:H664" si="286">SUM(G665:G670)</f>
        <v>140000</v>
      </c>
      <c r="H664" s="137">
        <f t="shared" si="286"/>
        <v>6643</v>
      </c>
      <c r="I664" s="39">
        <f t="shared" ref="I664:I670" si="287">IF(G664&gt;0,H664/G664*100,"-")</f>
        <v>4.7450000000000001</v>
      </c>
      <c r="J664" s="137">
        <f t="shared" ref="J664:M664" si="288">SUM(J665:J670)</f>
        <v>139000</v>
      </c>
      <c r="K664" s="137">
        <f t="shared" si="288"/>
        <v>0</v>
      </c>
      <c r="L664" s="137">
        <f t="shared" si="288"/>
        <v>139000</v>
      </c>
      <c r="M664" s="38">
        <f t="shared" si="288"/>
        <v>6642</v>
      </c>
      <c r="N664" s="39">
        <f t="shared" ref="N664:N670" si="289">IF(L664&gt;0,M664/L664*100,"-")</f>
        <v>4.7784172661870503</v>
      </c>
      <c r="O664" s="405" t="s">
        <v>640</v>
      </c>
    </row>
    <row r="665" spans="1:15" s="95" customFormat="1" ht="11.1" customHeight="1" outlineLevel="1" x14ac:dyDescent="0.2">
      <c r="A665" s="409"/>
      <c r="B665" s="76" t="s">
        <v>10</v>
      </c>
      <c r="C665" s="148" t="s">
        <v>102</v>
      </c>
      <c r="D665" s="410"/>
      <c r="E665" s="410"/>
      <c r="F665" s="79" t="s">
        <v>15</v>
      </c>
      <c r="G665" s="138">
        <v>21850</v>
      </c>
      <c r="H665" s="139">
        <f>ROUNDUP(0+M665,0)</f>
        <v>997</v>
      </c>
      <c r="I665" s="81">
        <f t="shared" si="287"/>
        <v>4.5629290617848968</v>
      </c>
      <c r="J665" s="138">
        <v>20850</v>
      </c>
      <c r="K665" s="138">
        <f t="shared" ref="K665:K670" si="290">L665-J665</f>
        <v>0</v>
      </c>
      <c r="L665" s="138">
        <v>20850</v>
      </c>
      <c r="M665" s="80">
        <v>996.3</v>
      </c>
      <c r="N665" s="81">
        <f t="shared" si="289"/>
        <v>4.7784172661870503</v>
      </c>
      <c r="O665" s="405"/>
    </row>
    <row r="666" spans="1:15" s="95" customFormat="1" ht="11.1" customHeight="1" outlineLevel="1" x14ac:dyDescent="0.2">
      <c r="A666" s="409"/>
      <c r="B666" s="76"/>
      <c r="C666" s="82" t="s">
        <v>103</v>
      </c>
      <c r="D666" s="410"/>
      <c r="E666" s="410"/>
      <c r="F666" s="79" t="s">
        <v>7</v>
      </c>
      <c r="G666" s="138">
        <v>118150</v>
      </c>
      <c r="H666" s="139">
        <f>ROUNDUP(0+M666,0)</f>
        <v>5646</v>
      </c>
      <c r="I666" s="81">
        <f t="shared" si="287"/>
        <v>4.7786711807024966</v>
      </c>
      <c r="J666" s="138">
        <v>118150</v>
      </c>
      <c r="K666" s="138">
        <f t="shared" si="290"/>
        <v>0</v>
      </c>
      <c r="L666" s="138">
        <v>118150</v>
      </c>
      <c r="M666" s="80">
        <v>5645.7</v>
      </c>
      <c r="N666" s="81">
        <f t="shared" si="289"/>
        <v>4.7784172661870503</v>
      </c>
      <c r="O666" s="405"/>
    </row>
    <row r="667" spans="1:15" s="95" customFormat="1" ht="11.1" customHeight="1" outlineLevel="1" x14ac:dyDescent="0.2">
      <c r="A667" s="117"/>
      <c r="B667" s="76" t="s">
        <v>11</v>
      </c>
      <c r="C667" s="82" t="s">
        <v>151</v>
      </c>
      <c r="D667" s="108"/>
      <c r="E667" s="108"/>
      <c r="F667" s="79" t="s">
        <v>8</v>
      </c>
      <c r="G667" s="139">
        <v>0</v>
      </c>
      <c r="H667" s="138">
        <f t="shared" ref="H667:H670" si="291">ROUNDUP(0+M667,0)</f>
        <v>0</v>
      </c>
      <c r="I667" s="81" t="str">
        <f t="shared" si="287"/>
        <v>-</v>
      </c>
      <c r="J667" s="138">
        <v>0</v>
      </c>
      <c r="K667" s="138">
        <f t="shared" si="290"/>
        <v>0</v>
      </c>
      <c r="L667" s="138">
        <v>0</v>
      </c>
      <c r="M667" s="80">
        <v>0</v>
      </c>
      <c r="N667" s="81" t="str">
        <f t="shared" si="289"/>
        <v>-</v>
      </c>
      <c r="O667" s="405"/>
    </row>
    <row r="668" spans="1:15" s="95" customFormat="1" ht="11.1" customHeight="1" outlineLevel="1" x14ac:dyDescent="0.2">
      <c r="A668" s="117"/>
      <c r="B668" s="76"/>
      <c r="C668" s="82" t="s">
        <v>104</v>
      </c>
      <c r="D668" s="108"/>
      <c r="E668" s="108"/>
      <c r="F668" s="79" t="s">
        <v>22</v>
      </c>
      <c r="G668" s="139">
        <v>0</v>
      </c>
      <c r="H668" s="138">
        <f t="shared" si="291"/>
        <v>0</v>
      </c>
      <c r="I668" s="81" t="str">
        <f t="shared" si="287"/>
        <v>-</v>
      </c>
      <c r="J668" s="138">
        <v>0</v>
      </c>
      <c r="K668" s="138">
        <f t="shared" si="290"/>
        <v>0</v>
      </c>
      <c r="L668" s="138">
        <v>0</v>
      </c>
      <c r="M668" s="80">
        <v>0</v>
      </c>
      <c r="N668" s="81" t="str">
        <f t="shared" si="289"/>
        <v>-</v>
      </c>
      <c r="O668" s="405"/>
    </row>
    <row r="669" spans="1:15" s="95" customFormat="1" ht="11.1" customHeight="1" outlineLevel="1" x14ac:dyDescent="0.2">
      <c r="A669" s="117"/>
      <c r="B669" s="76" t="s">
        <v>12</v>
      </c>
      <c r="C669" s="82" t="s">
        <v>209</v>
      </c>
      <c r="D669" s="108"/>
      <c r="E669" s="108"/>
      <c r="F669" s="79" t="s">
        <v>45</v>
      </c>
      <c r="G669" s="139">
        <v>0</v>
      </c>
      <c r="H669" s="138">
        <f t="shared" si="291"/>
        <v>0</v>
      </c>
      <c r="I669" s="81" t="str">
        <f t="shared" si="287"/>
        <v>-</v>
      </c>
      <c r="J669" s="138">
        <v>0</v>
      </c>
      <c r="K669" s="138">
        <f t="shared" si="290"/>
        <v>0</v>
      </c>
      <c r="L669" s="138">
        <v>0</v>
      </c>
      <c r="M669" s="80">
        <v>0</v>
      </c>
      <c r="N669" s="81" t="str">
        <f t="shared" si="289"/>
        <v>-</v>
      </c>
      <c r="O669" s="405"/>
    </row>
    <row r="670" spans="1:15" s="95" customFormat="1" ht="11.1" customHeight="1" outlineLevel="1" x14ac:dyDescent="0.2">
      <c r="A670" s="117"/>
      <c r="B670" s="76" t="s">
        <v>23</v>
      </c>
      <c r="C670" s="82" t="s">
        <v>105</v>
      </c>
      <c r="D670" s="108"/>
      <c r="E670" s="108"/>
      <c r="F670" s="79" t="s">
        <v>359</v>
      </c>
      <c r="G670" s="139">
        <v>0</v>
      </c>
      <c r="H670" s="138">
        <f t="shared" si="291"/>
        <v>0</v>
      </c>
      <c r="I670" s="81" t="str">
        <f t="shared" si="287"/>
        <v>-</v>
      </c>
      <c r="J670" s="138">
        <v>0</v>
      </c>
      <c r="K670" s="138">
        <f t="shared" si="290"/>
        <v>0</v>
      </c>
      <c r="L670" s="138">
        <v>0</v>
      </c>
      <c r="M670" s="80">
        <v>0</v>
      </c>
      <c r="N670" s="81" t="str">
        <f t="shared" si="289"/>
        <v>-</v>
      </c>
      <c r="O670" s="405"/>
    </row>
    <row r="671" spans="1:15" s="95" customFormat="1" ht="11.1" customHeight="1" outlineLevel="1" x14ac:dyDescent="0.2">
      <c r="A671" s="117"/>
      <c r="B671" s="76"/>
      <c r="C671" s="82" t="s">
        <v>106</v>
      </c>
      <c r="D671" s="108"/>
      <c r="E671" s="108"/>
      <c r="F671" s="106"/>
      <c r="G671" s="139"/>
      <c r="H671" s="139"/>
      <c r="I671" s="81"/>
      <c r="J671" s="139"/>
      <c r="K671" s="139"/>
      <c r="L671" s="138"/>
      <c r="M671" s="89"/>
      <c r="N671" s="81"/>
      <c r="O671" s="405"/>
    </row>
    <row r="672" spans="1:15" s="95" customFormat="1" ht="11.1" customHeight="1" outlineLevel="1" x14ac:dyDescent="0.2">
      <c r="A672" s="117"/>
      <c r="B672" s="76"/>
      <c r="C672" s="82" t="s">
        <v>107</v>
      </c>
      <c r="D672" s="108"/>
      <c r="E672" s="108"/>
      <c r="F672" s="106"/>
      <c r="G672" s="139"/>
      <c r="H672" s="139"/>
      <c r="I672" s="81"/>
      <c r="J672" s="139"/>
      <c r="K672" s="139"/>
      <c r="L672" s="138"/>
      <c r="M672" s="89"/>
      <c r="N672" s="81"/>
      <c r="O672" s="405"/>
    </row>
    <row r="673" spans="1:15" s="95" customFormat="1" ht="11.1" customHeight="1" outlineLevel="1" x14ac:dyDescent="0.2">
      <c r="A673" s="117"/>
      <c r="B673" s="76"/>
      <c r="C673" s="82" t="s">
        <v>108</v>
      </c>
      <c r="D673" s="108"/>
      <c r="E673" s="108"/>
      <c r="F673" s="106"/>
      <c r="G673" s="139"/>
      <c r="H673" s="139"/>
      <c r="I673" s="81"/>
      <c r="J673" s="139"/>
      <c r="K673" s="139"/>
      <c r="L673" s="138"/>
      <c r="M673" s="89"/>
      <c r="N673" s="81"/>
      <c r="O673" s="343"/>
    </row>
    <row r="674" spans="1:15" s="95" customFormat="1" ht="11.1" customHeight="1" outlineLevel="1" x14ac:dyDescent="0.2">
      <c r="A674" s="117"/>
      <c r="B674" s="76"/>
      <c r="C674" s="82" t="s">
        <v>109</v>
      </c>
      <c r="D674" s="108"/>
      <c r="E674" s="108"/>
      <c r="F674" s="106"/>
      <c r="G674" s="139"/>
      <c r="H674" s="139"/>
      <c r="I674" s="81"/>
      <c r="J674" s="139"/>
      <c r="K674" s="139"/>
      <c r="L674" s="138"/>
      <c r="M674" s="89"/>
      <c r="N674" s="81"/>
      <c r="O674" s="343"/>
    </row>
    <row r="675" spans="1:15" s="95" customFormat="1" ht="3.6" customHeight="1" outlineLevel="1" x14ac:dyDescent="0.2">
      <c r="A675" s="118"/>
      <c r="B675" s="85"/>
      <c r="C675" s="86"/>
      <c r="D675" s="84"/>
      <c r="E675" s="84"/>
      <c r="F675" s="85"/>
      <c r="G675" s="140"/>
      <c r="H675" s="140"/>
      <c r="I675" s="88"/>
      <c r="J675" s="140"/>
      <c r="K675" s="140"/>
      <c r="L675" s="141"/>
      <c r="M675" s="87"/>
      <c r="N675" s="88"/>
      <c r="O675" s="344"/>
    </row>
    <row r="676" spans="1:15" s="95" customFormat="1" ht="3.6" customHeight="1" outlineLevel="1" x14ac:dyDescent="0.2">
      <c r="A676" s="152"/>
      <c r="B676" s="72"/>
      <c r="C676" s="73"/>
      <c r="D676" s="71"/>
      <c r="E676" s="71"/>
      <c r="F676" s="72"/>
      <c r="G676" s="135"/>
      <c r="H676" s="135"/>
      <c r="I676" s="75"/>
      <c r="J676" s="135"/>
      <c r="K676" s="135"/>
      <c r="L676" s="136"/>
      <c r="M676" s="74"/>
      <c r="N676" s="75"/>
      <c r="O676" s="342"/>
    </row>
    <row r="677" spans="1:15" s="95" customFormat="1" ht="11.1" customHeight="1" outlineLevel="1" x14ac:dyDescent="0.2">
      <c r="A677" s="409" t="s">
        <v>572</v>
      </c>
      <c r="B677" s="76" t="s">
        <v>9</v>
      </c>
      <c r="C677" s="148" t="s">
        <v>438</v>
      </c>
      <c r="D677" s="410" t="s">
        <v>383</v>
      </c>
      <c r="E677" s="410" t="s">
        <v>445</v>
      </c>
      <c r="F677" s="78" t="s">
        <v>28</v>
      </c>
      <c r="G677" s="137">
        <f t="shared" ref="G677:H677" si="292">SUM(G678:G683)</f>
        <v>36181</v>
      </c>
      <c r="H677" s="137">
        <f t="shared" si="292"/>
        <v>8713</v>
      </c>
      <c r="I677" s="39">
        <f t="shared" ref="I677:I683" si="293">IF(G677&gt;0,H677/G677*100,"-")</f>
        <v>24.081700339957436</v>
      </c>
      <c r="J677" s="137">
        <f t="shared" ref="J677:M677" si="294">SUM(J678:J683)</f>
        <v>0</v>
      </c>
      <c r="K677" s="137">
        <f t="shared" si="294"/>
        <v>17078</v>
      </c>
      <c r="L677" s="137">
        <f t="shared" si="294"/>
        <v>17078</v>
      </c>
      <c r="M677" s="38">
        <f t="shared" si="294"/>
        <v>8712.75</v>
      </c>
      <c r="N677" s="39">
        <f t="shared" ref="N677:N683" si="295">IF(L677&gt;0,M677/L677*100,"-")</f>
        <v>51.017390795175075</v>
      </c>
      <c r="O677" s="405" t="s">
        <v>641</v>
      </c>
    </row>
    <row r="678" spans="1:15" s="95" customFormat="1" ht="11.1" customHeight="1" outlineLevel="1" x14ac:dyDescent="0.2">
      <c r="A678" s="409"/>
      <c r="B678" s="76" t="s">
        <v>10</v>
      </c>
      <c r="C678" s="148" t="s">
        <v>439</v>
      </c>
      <c r="D678" s="410"/>
      <c r="E678" s="410"/>
      <c r="F678" s="79" t="s">
        <v>15</v>
      </c>
      <c r="G678" s="138">
        <v>0</v>
      </c>
      <c r="H678" s="139">
        <f>ROUNDUP(0+M678,0)</f>
        <v>0</v>
      </c>
      <c r="I678" s="81" t="str">
        <f t="shared" si="293"/>
        <v>-</v>
      </c>
      <c r="J678" s="138">
        <v>0</v>
      </c>
      <c r="K678" s="138">
        <f t="shared" ref="K678" si="296">L678-J678</f>
        <v>0</v>
      </c>
      <c r="L678" s="138">
        <v>0</v>
      </c>
      <c r="M678" s="80">
        <v>0</v>
      </c>
      <c r="N678" s="81" t="str">
        <f t="shared" si="295"/>
        <v>-</v>
      </c>
      <c r="O678" s="405"/>
    </row>
    <row r="679" spans="1:15" s="95" customFormat="1" ht="11.1" customHeight="1" outlineLevel="1" x14ac:dyDescent="0.2">
      <c r="A679" s="409"/>
      <c r="B679" s="76" t="s">
        <v>11</v>
      </c>
      <c r="C679" s="82" t="s">
        <v>440</v>
      </c>
      <c r="D679" s="410"/>
      <c r="E679" s="410"/>
      <c r="F679" s="79" t="s">
        <v>7</v>
      </c>
      <c r="G679" s="138">
        <v>36181</v>
      </c>
      <c r="H679" s="139">
        <f>ROUNDUP(0+M679,0)</f>
        <v>8713</v>
      </c>
      <c r="I679" s="81">
        <f t="shared" si="293"/>
        <v>24.081700339957436</v>
      </c>
      <c r="J679" s="138">
        <v>0</v>
      </c>
      <c r="K679" s="138">
        <f t="shared" ref="K679:K683" si="297">L679-J679</f>
        <v>17078</v>
      </c>
      <c r="L679" s="138">
        <v>17078</v>
      </c>
      <c r="M679" s="83">
        <v>8712.75</v>
      </c>
      <c r="N679" s="81">
        <f t="shared" si="295"/>
        <v>51.017390795175075</v>
      </c>
      <c r="O679" s="405"/>
    </row>
    <row r="680" spans="1:15" s="95" customFormat="1" ht="11.1" customHeight="1" outlineLevel="1" x14ac:dyDescent="0.2">
      <c r="A680" s="117"/>
      <c r="B680" s="76" t="s">
        <v>12</v>
      </c>
      <c r="C680" s="82" t="s">
        <v>441</v>
      </c>
      <c r="D680" s="108"/>
      <c r="E680" s="108"/>
      <c r="F680" s="79" t="s">
        <v>8</v>
      </c>
      <c r="G680" s="139">
        <v>0</v>
      </c>
      <c r="H680" s="138">
        <f t="shared" ref="H680:H683" si="298">ROUNDUP(0+M680,0)</f>
        <v>0</v>
      </c>
      <c r="I680" s="81" t="str">
        <f t="shared" si="293"/>
        <v>-</v>
      </c>
      <c r="J680" s="138">
        <v>0</v>
      </c>
      <c r="K680" s="138">
        <f t="shared" si="297"/>
        <v>0</v>
      </c>
      <c r="L680" s="138">
        <v>0</v>
      </c>
      <c r="M680" s="80">
        <v>0</v>
      </c>
      <c r="N680" s="81" t="str">
        <f t="shared" si="295"/>
        <v>-</v>
      </c>
      <c r="O680" s="405"/>
    </row>
    <row r="681" spans="1:15" s="95" customFormat="1" ht="11.1" customHeight="1" outlineLevel="1" x14ac:dyDescent="0.2">
      <c r="A681" s="117"/>
      <c r="B681" s="76" t="s">
        <v>23</v>
      </c>
      <c r="C681" s="82" t="s">
        <v>442</v>
      </c>
      <c r="D681" s="108"/>
      <c r="E681" s="108"/>
      <c r="F681" s="79" t="s">
        <v>22</v>
      </c>
      <c r="G681" s="139">
        <v>0</v>
      </c>
      <c r="H681" s="138">
        <f t="shared" si="298"/>
        <v>0</v>
      </c>
      <c r="I681" s="81" t="str">
        <f t="shared" si="293"/>
        <v>-</v>
      </c>
      <c r="J681" s="138">
        <v>0</v>
      </c>
      <c r="K681" s="138">
        <f t="shared" si="297"/>
        <v>0</v>
      </c>
      <c r="L681" s="138">
        <v>0</v>
      </c>
      <c r="M681" s="80">
        <v>0</v>
      </c>
      <c r="N681" s="81" t="str">
        <f t="shared" si="295"/>
        <v>-</v>
      </c>
      <c r="O681" s="405"/>
    </row>
    <row r="682" spans="1:15" s="95" customFormat="1" ht="11.1" customHeight="1" outlineLevel="1" x14ac:dyDescent="0.2">
      <c r="A682" s="117"/>
      <c r="B682" s="76"/>
      <c r="C682" s="82" t="s">
        <v>443</v>
      </c>
      <c r="D682" s="108"/>
      <c r="E682" s="108"/>
      <c r="F682" s="79" t="s">
        <v>45</v>
      </c>
      <c r="G682" s="139">
        <v>0</v>
      </c>
      <c r="H682" s="138">
        <f t="shared" si="298"/>
        <v>0</v>
      </c>
      <c r="I682" s="81" t="str">
        <f t="shared" si="293"/>
        <v>-</v>
      </c>
      <c r="J682" s="138">
        <v>0</v>
      </c>
      <c r="K682" s="138">
        <f t="shared" si="297"/>
        <v>0</v>
      </c>
      <c r="L682" s="138">
        <v>0</v>
      </c>
      <c r="M682" s="80">
        <v>0</v>
      </c>
      <c r="N682" s="81" t="str">
        <f t="shared" si="295"/>
        <v>-</v>
      </c>
      <c r="O682" s="405"/>
    </row>
    <row r="683" spans="1:15" s="95" customFormat="1" ht="11.1" customHeight="1" outlineLevel="1" x14ac:dyDescent="0.2">
      <c r="A683" s="117"/>
      <c r="B683" s="76"/>
      <c r="C683" s="82" t="s">
        <v>444</v>
      </c>
      <c r="D683" s="108"/>
      <c r="E683" s="108"/>
      <c r="F683" s="79" t="s">
        <v>359</v>
      </c>
      <c r="G683" s="139">
        <v>0</v>
      </c>
      <c r="H683" s="138">
        <f t="shared" si="298"/>
        <v>0</v>
      </c>
      <c r="I683" s="81" t="str">
        <f t="shared" si="293"/>
        <v>-</v>
      </c>
      <c r="J683" s="138">
        <v>0</v>
      </c>
      <c r="K683" s="138">
        <f t="shared" si="297"/>
        <v>0</v>
      </c>
      <c r="L683" s="138">
        <v>0</v>
      </c>
      <c r="M683" s="80">
        <v>0</v>
      </c>
      <c r="N683" s="81" t="str">
        <f t="shared" si="295"/>
        <v>-</v>
      </c>
      <c r="O683" s="405"/>
    </row>
    <row r="684" spans="1:15" s="95" customFormat="1" ht="3.6" customHeight="1" outlineLevel="1" x14ac:dyDescent="0.2">
      <c r="A684" s="118"/>
      <c r="B684" s="85"/>
      <c r="C684" s="86"/>
      <c r="D684" s="84"/>
      <c r="E684" s="84"/>
      <c r="F684" s="85"/>
      <c r="G684" s="140"/>
      <c r="H684" s="140"/>
      <c r="I684" s="88"/>
      <c r="J684" s="140"/>
      <c r="K684" s="140"/>
      <c r="L684" s="141"/>
      <c r="M684" s="87"/>
      <c r="N684" s="88"/>
      <c r="O684" s="344"/>
    </row>
    <row r="685" spans="1:15" s="95" customFormat="1" ht="3.6" customHeight="1" outlineLevel="1" x14ac:dyDescent="0.2">
      <c r="A685" s="152"/>
      <c r="B685" s="72"/>
      <c r="C685" s="73"/>
      <c r="D685" s="71"/>
      <c r="E685" s="71"/>
      <c r="F685" s="72"/>
      <c r="G685" s="135"/>
      <c r="H685" s="135"/>
      <c r="I685" s="75"/>
      <c r="J685" s="135"/>
      <c r="K685" s="135"/>
      <c r="L685" s="136"/>
      <c r="M685" s="74"/>
      <c r="N685" s="75"/>
      <c r="O685" s="323"/>
    </row>
    <row r="686" spans="1:15" s="95" customFormat="1" ht="11.1" customHeight="1" outlineLevel="1" x14ac:dyDescent="0.2">
      <c r="A686" s="409" t="s">
        <v>573</v>
      </c>
      <c r="B686" s="76" t="s">
        <v>9</v>
      </c>
      <c r="C686" s="148" t="s">
        <v>446</v>
      </c>
      <c r="D686" s="410" t="s">
        <v>389</v>
      </c>
      <c r="E686" s="410" t="s">
        <v>451</v>
      </c>
      <c r="F686" s="78" t="s">
        <v>28</v>
      </c>
      <c r="G686" s="137">
        <f>SUM(G687:G692)</f>
        <v>136874</v>
      </c>
      <c r="H686" s="137">
        <f>SUM(H687:H692)</f>
        <v>26633</v>
      </c>
      <c r="I686" s="39">
        <f t="shared" ref="I686:I692" si="299">IF(G686&gt;0,H686/G686*100,"-")</f>
        <v>19.458041702587781</v>
      </c>
      <c r="J686" s="241">
        <f>SUM(J687:J692)</f>
        <v>0</v>
      </c>
      <c r="K686" s="137">
        <f>SUM(K687:K692)</f>
        <v>71229</v>
      </c>
      <c r="L686" s="137">
        <f>SUM(L687:L692)</f>
        <v>71229</v>
      </c>
      <c r="M686" s="38">
        <f>SUM(M687:M692)</f>
        <v>26632.240000000002</v>
      </c>
      <c r="N686" s="39">
        <f t="shared" ref="N686:N692" si="300">IF(L686&gt;0,M686/L686*100,"-")</f>
        <v>37.389602549523374</v>
      </c>
      <c r="O686" s="405" t="s">
        <v>642</v>
      </c>
    </row>
    <row r="687" spans="1:15" s="95" customFormat="1" ht="11.1" customHeight="1" outlineLevel="1" x14ac:dyDescent="0.2">
      <c r="A687" s="409"/>
      <c r="B687" s="76" t="s">
        <v>10</v>
      </c>
      <c r="C687" s="148" t="s">
        <v>439</v>
      </c>
      <c r="D687" s="410"/>
      <c r="E687" s="410"/>
      <c r="F687" s="79" t="s">
        <v>15</v>
      </c>
      <c r="G687" s="138">
        <v>27376</v>
      </c>
      <c r="H687" s="138">
        <f>ROUNDUP(0+M687,0)</f>
        <v>5327</v>
      </c>
      <c r="I687" s="81">
        <f t="shared" si="299"/>
        <v>19.458649912331968</v>
      </c>
      <c r="J687" s="138">
        <v>0</v>
      </c>
      <c r="K687" s="138">
        <f t="shared" ref="K687:K692" si="301">L687-J687</f>
        <v>14247</v>
      </c>
      <c r="L687" s="138">
        <v>14247</v>
      </c>
      <c r="M687" s="83">
        <v>5326.45</v>
      </c>
      <c r="N687" s="81">
        <f t="shared" si="300"/>
        <v>37.386467326454692</v>
      </c>
      <c r="O687" s="405"/>
    </row>
    <row r="688" spans="1:15" s="95" customFormat="1" ht="11.1" customHeight="1" outlineLevel="1" x14ac:dyDescent="0.2">
      <c r="A688" s="409"/>
      <c r="B688" s="76" t="s">
        <v>11</v>
      </c>
      <c r="C688" s="82" t="s">
        <v>447</v>
      </c>
      <c r="D688" s="410"/>
      <c r="E688" s="410"/>
      <c r="F688" s="79" t="s">
        <v>7</v>
      </c>
      <c r="G688" s="138">
        <v>109498</v>
      </c>
      <c r="H688" s="138">
        <f>ROUNDUP(0+M688,0)</f>
        <v>21306</v>
      </c>
      <c r="I688" s="81">
        <f t="shared" si="299"/>
        <v>19.457889641819943</v>
      </c>
      <c r="J688" s="138">
        <v>0</v>
      </c>
      <c r="K688" s="138">
        <f t="shared" si="301"/>
        <v>56982</v>
      </c>
      <c r="L688" s="138">
        <v>56982</v>
      </c>
      <c r="M688" s="80">
        <v>21305.79</v>
      </c>
      <c r="N688" s="81">
        <f t="shared" si="300"/>
        <v>37.390386437822471</v>
      </c>
      <c r="O688" s="405"/>
    </row>
    <row r="689" spans="1:15" s="95" customFormat="1" ht="11.1" customHeight="1" outlineLevel="1" x14ac:dyDescent="0.2">
      <c r="A689" s="117"/>
      <c r="B689" s="76" t="s">
        <v>12</v>
      </c>
      <c r="C689" s="82" t="s">
        <v>448</v>
      </c>
      <c r="D689" s="108"/>
      <c r="E689" s="108"/>
      <c r="F689" s="79" t="s">
        <v>8</v>
      </c>
      <c r="G689" s="139">
        <v>0</v>
      </c>
      <c r="H689" s="138">
        <f t="shared" ref="H689:H692" si="302">ROUNDUP(0+M689,0)</f>
        <v>0</v>
      </c>
      <c r="I689" s="81" t="str">
        <f t="shared" si="299"/>
        <v>-</v>
      </c>
      <c r="J689" s="138">
        <v>0</v>
      </c>
      <c r="K689" s="138">
        <f t="shared" si="301"/>
        <v>0</v>
      </c>
      <c r="L689" s="138">
        <v>0</v>
      </c>
      <c r="M689" s="80">
        <v>0</v>
      </c>
      <c r="N689" s="81" t="str">
        <f t="shared" si="300"/>
        <v>-</v>
      </c>
      <c r="O689" s="405"/>
    </row>
    <row r="690" spans="1:15" s="95" customFormat="1" ht="11.1" customHeight="1" outlineLevel="1" x14ac:dyDescent="0.2">
      <c r="A690" s="117"/>
      <c r="B690" s="76"/>
      <c r="C690" s="82" t="s">
        <v>450</v>
      </c>
      <c r="D690" s="108"/>
      <c r="E690" s="108"/>
      <c r="F690" s="79" t="s">
        <v>22</v>
      </c>
      <c r="G690" s="139">
        <v>0</v>
      </c>
      <c r="H690" s="138">
        <f t="shared" si="302"/>
        <v>0</v>
      </c>
      <c r="I690" s="81" t="str">
        <f t="shared" si="299"/>
        <v>-</v>
      </c>
      <c r="J690" s="138">
        <v>0</v>
      </c>
      <c r="K690" s="138">
        <f t="shared" si="301"/>
        <v>0</v>
      </c>
      <c r="L690" s="138">
        <v>0</v>
      </c>
      <c r="M690" s="80">
        <v>0</v>
      </c>
      <c r="N690" s="81" t="str">
        <f t="shared" si="300"/>
        <v>-</v>
      </c>
      <c r="O690" s="405"/>
    </row>
    <row r="691" spans="1:15" s="95" customFormat="1" ht="11.1" customHeight="1" outlineLevel="1" x14ac:dyDescent="0.2">
      <c r="A691" s="117"/>
      <c r="B691" s="95" t="s">
        <v>428</v>
      </c>
      <c r="C691" s="95" t="s">
        <v>449</v>
      </c>
      <c r="D691" s="108"/>
      <c r="E691" s="108"/>
      <c r="F691" s="79" t="s">
        <v>45</v>
      </c>
      <c r="G691" s="139">
        <v>0</v>
      </c>
      <c r="H691" s="138">
        <f t="shared" si="302"/>
        <v>0</v>
      </c>
      <c r="I691" s="81" t="str">
        <f t="shared" si="299"/>
        <v>-</v>
      </c>
      <c r="J691" s="138">
        <v>0</v>
      </c>
      <c r="K691" s="138">
        <f t="shared" si="301"/>
        <v>0</v>
      </c>
      <c r="L691" s="138">
        <v>0</v>
      </c>
      <c r="M691" s="80">
        <v>0</v>
      </c>
      <c r="N691" s="81" t="str">
        <f t="shared" si="300"/>
        <v>-</v>
      </c>
      <c r="O691" s="405"/>
    </row>
    <row r="692" spans="1:15" s="95" customFormat="1" ht="11.1" customHeight="1" outlineLevel="1" x14ac:dyDescent="0.2">
      <c r="A692" s="117"/>
      <c r="B692" s="76"/>
      <c r="C692" s="82"/>
      <c r="D692" s="108"/>
      <c r="E692" s="108"/>
      <c r="F692" s="79" t="s">
        <v>359</v>
      </c>
      <c r="G692" s="139">
        <v>0</v>
      </c>
      <c r="H692" s="138">
        <f t="shared" si="302"/>
        <v>0</v>
      </c>
      <c r="I692" s="81" t="str">
        <f t="shared" si="299"/>
        <v>-</v>
      </c>
      <c r="J692" s="138">
        <v>0</v>
      </c>
      <c r="K692" s="138">
        <f t="shared" si="301"/>
        <v>0</v>
      </c>
      <c r="L692" s="138">
        <v>0</v>
      </c>
      <c r="M692" s="80">
        <v>0</v>
      </c>
      <c r="N692" s="81" t="str">
        <f t="shared" si="300"/>
        <v>-</v>
      </c>
      <c r="O692" s="405"/>
    </row>
    <row r="693" spans="1:15" s="95" customFormat="1" ht="3.6" customHeight="1" outlineLevel="1" x14ac:dyDescent="0.2">
      <c r="A693" s="118"/>
      <c r="B693" s="85"/>
      <c r="C693" s="86"/>
      <c r="D693" s="84"/>
      <c r="E693" s="84"/>
      <c r="F693" s="85"/>
      <c r="G693" s="140"/>
      <c r="H693" s="140"/>
      <c r="I693" s="88"/>
      <c r="J693" s="140"/>
      <c r="K693" s="140"/>
      <c r="L693" s="141"/>
      <c r="M693" s="87"/>
      <c r="N693" s="88"/>
      <c r="O693" s="324"/>
    </row>
    <row r="694" spans="1:15" s="95" customFormat="1" ht="3.6" customHeight="1" x14ac:dyDescent="0.2">
      <c r="A694" s="184"/>
      <c r="B694" s="91"/>
      <c r="C694" s="92"/>
      <c r="D694" s="419"/>
      <c r="E694" s="184"/>
      <c r="F694" s="91"/>
      <c r="G694" s="146"/>
      <c r="H694" s="146"/>
      <c r="I694" s="94"/>
      <c r="J694" s="146"/>
      <c r="K694" s="146"/>
      <c r="L694" s="147"/>
      <c r="M694" s="93"/>
      <c r="N694" s="94"/>
      <c r="O694" s="318"/>
    </row>
    <row r="695" spans="1:15" ht="11.45" customHeight="1" x14ac:dyDescent="0.2">
      <c r="A695" s="19" t="s">
        <v>13</v>
      </c>
      <c r="B695" s="415" t="s">
        <v>27</v>
      </c>
      <c r="C695" s="416"/>
      <c r="D695" s="419"/>
      <c r="E695" s="20"/>
      <c r="F695" s="21"/>
      <c r="G695" s="128">
        <f>SUM(G696:G701)</f>
        <v>754227517</v>
      </c>
      <c r="H695" s="128">
        <f>SUM(H696:H701)</f>
        <v>449416251</v>
      </c>
      <c r="I695" s="23">
        <f t="shared" ref="I695:I701" si="303">IF(G695&gt;0,H695/G695*100,"-")</f>
        <v>59.586297353295848</v>
      </c>
      <c r="J695" s="128">
        <f>SUM(J696:J701)</f>
        <v>188242079</v>
      </c>
      <c r="K695" s="128">
        <f>SUM(K696:K701)</f>
        <v>-54178389</v>
      </c>
      <c r="L695" s="128">
        <f>SUM(L696:L701)</f>
        <v>134063690</v>
      </c>
      <c r="M695" s="22">
        <f>SUM(M696:M701)</f>
        <v>123555951.87</v>
      </c>
      <c r="N695" s="23">
        <f t="shared" ref="N695:N701" si="304">IF(L695&gt;0,M695/L695*100,"-")</f>
        <v>92.162129708648195</v>
      </c>
      <c r="O695" s="318"/>
    </row>
    <row r="696" spans="1:15" ht="11.45" customHeight="1" x14ac:dyDescent="0.2">
      <c r="A696" s="21"/>
      <c r="B696" s="417" t="s">
        <v>15</v>
      </c>
      <c r="C696" s="418"/>
      <c r="D696" s="419"/>
      <c r="E696" s="20"/>
      <c r="F696" s="25"/>
      <c r="G696" s="129">
        <f t="shared" ref="G696:H701" si="305">G705+G740+G773+G802+G907+G927+G1004</f>
        <v>130099420</v>
      </c>
      <c r="H696" s="129">
        <f t="shared" si="305"/>
        <v>39424722</v>
      </c>
      <c r="I696" s="27">
        <f t="shared" si="303"/>
        <v>30.303534020366886</v>
      </c>
      <c r="J696" s="129">
        <f t="shared" ref="J696:M701" si="306">J705+J740+J773+J802+J907+J927+J1004</f>
        <v>16645277</v>
      </c>
      <c r="K696" s="129">
        <f t="shared" si="306"/>
        <v>-2074045</v>
      </c>
      <c r="L696" s="129">
        <f t="shared" si="306"/>
        <v>14571232</v>
      </c>
      <c r="M696" s="26">
        <f t="shared" si="306"/>
        <v>13391509.859999999</v>
      </c>
      <c r="N696" s="27">
        <f t="shared" si="304"/>
        <v>91.903758446780614</v>
      </c>
      <c r="O696" s="318"/>
    </row>
    <row r="697" spans="1:15" ht="11.45" customHeight="1" x14ac:dyDescent="0.2">
      <c r="A697" s="21"/>
      <c r="B697" s="417" t="s">
        <v>7</v>
      </c>
      <c r="C697" s="418"/>
      <c r="D697" s="419"/>
      <c r="E697" s="20"/>
      <c r="F697" s="25"/>
      <c r="G697" s="129">
        <f t="shared" si="305"/>
        <v>431024101</v>
      </c>
      <c r="H697" s="129">
        <f t="shared" si="305"/>
        <v>250027804</v>
      </c>
      <c r="I697" s="27">
        <f t="shared" si="303"/>
        <v>58.007847686456856</v>
      </c>
      <c r="J697" s="129">
        <f t="shared" si="306"/>
        <v>112678488</v>
      </c>
      <c r="K697" s="129">
        <f t="shared" si="306"/>
        <v>-38325852</v>
      </c>
      <c r="L697" s="129">
        <f t="shared" si="306"/>
        <v>74352636</v>
      </c>
      <c r="M697" s="26">
        <f t="shared" si="306"/>
        <v>70258069.160000011</v>
      </c>
      <c r="N697" s="27">
        <f t="shared" si="304"/>
        <v>94.493044147083111</v>
      </c>
      <c r="O697" s="318"/>
    </row>
    <row r="698" spans="1:15" ht="11.45" customHeight="1" x14ac:dyDescent="0.2">
      <c r="A698" s="21"/>
      <c r="B698" s="417" t="s">
        <v>8</v>
      </c>
      <c r="C698" s="418"/>
      <c r="D698" s="419"/>
      <c r="E698" s="20"/>
      <c r="F698" s="25"/>
      <c r="G698" s="129">
        <f t="shared" si="305"/>
        <v>173560058</v>
      </c>
      <c r="H698" s="129">
        <f t="shared" si="305"/>
        <v>146042480</v>
      </c>
      <c r="I698" s="27">
        <f t="shared" si="303"/>
        <v>84.145212719391921</v>
      </c>
      <c r="J698" s="129">
        <f t="shared" si="306"/>
        <v>48204297</v>
      </c>
      <c r="K698" s="129">
        <f t="shared" si="306"/>
        <v>-12060677</v>
      </c>
      <c r="L698" s="129">
        <f t="shared" si="306"/>
        <v>36143620</v>
      </c>
      <c r="M698" s="26">
        <f t="shared" si="306"/>
        <v>32871257.279999997</v>
      </c>
      <c r="N698" s="27">
        <f t="shared" si="304"/>
        <v>90.946223095528339</v>
      </c>
      <c r="O698" s="318"/>
    </row>
    <row r="699" spans="1:15" ht="11.45" customHeight="1" x14ac:dyDescent="0.2">
      <c r="A699" s="21"/>
      <c r="B699" s="417" t="s">
        <v>22</v>
      </c>
      <c r="C699" s="418"/>
      <c r="D699" s="419"/>
      <c r="E699" s="20"/>
      <c r="F699" s="25"/>
      <c r="G699" s="129">
        <f t="shared" si="305"/>
        <v>6331696</v>
      </c>
      <c r="H699" s="129">
        <f t="shared" si="305"/>
        <v>3144107</v>
      </c>
      <c r="I699" s="27">
        <f t="shared" si="303"/>
        <v>49.65663228304075</v>
      </c>
      <c r="J699" s="129">
        <f t="shared" si="306"/>
        <v>2921711</v>
      </c>
      <c r="K699" s="129">
        <f t="shared" si="306"/>
        <v>-2920973</v>
      </c>
      <c r="L699" s="129">
        <f t="shared" si="306"/>
        <v>738</v>
      </c>
      <c r="M699" s="26">
        <f t="shared" si="306"/>
        <v>738</v>
      </c>
      <c r="N699" s="27">
        <f t="shared" si="304"/>
        <v>100</v>
      </c>
      <c r="O699" s="318"/>
    </row>
    <row r="700" spans="1:15" ht="11.45" customHeight="1" x14ac:dyDescent="0.2">
      <c r="A700" s="21"/>
      <c r="B700" s="337" t="s">
        <v>45</v>
      </c>
      <c r="C700" s="105"/>
      <c r="D700" s="419"/>
      <c r="E700" s="20"/>
      <c r="F700" s="25"/>
      <c r="G700" s="129">
        <f t="shared" si="305"/>
        <v>12128975</v>
      </c>
      <c r="H700" s="129">
        <f t="shared" si="305"/>
        <v>9693871</v>
      </c>
      <c r="I700" s="27">
        <f t="shared" si="303"/>
        <v>79.923249903639842</v>
      </c>
      <c r="J700" s="129">
        <f t="shared" si="306"/>
        <v>7792306</v>
      </c>
      <c r="K700" s="129">
        <f t="shared" si="306"/>
        <v>1203158</v>
      </c>
      <c r="L700" s="129">
        <f t="shared" si="306"/>
        <v>8995464</v>
      </c>
      <c r="M700" s="26">
        <f t="shared" si="306"/>
        <v>7034377.5699999994</v>
      </c>
      <c r="N700" s="27">
        <f t="shared" si="304"/>
        <v>78.199163156008396</v>
      </c>
      <c r="O700" s="318"/>
    </row>
    <row r="701" spans="1:15" ht="11.45" customHeight="1" x14ac:dyDescent="0.2">
      <c r="A701" s="21"/>
      <c r="B701" s="337" t="s">
        <v>359</v>
      </c>
      <c r="C701" s="105"/>
      <c r="D701" s="419"/>
      <c r="E701" s="20"/>
      <c r="F701" s="25"/>
      <c r="G701" s="129">
        <f t="shared" si="305"/>
        <v>1083267</v>
      </c>
      <c r="H701" s="129">
        <f t="shared" si="305"/>
        <v>1083267</v>
      </c>
      <c r="I701" s="27">
        <f t="shared" si="303"/>
        <v>100</v>
      </c>
      <c r="J701" s="129">
        <f t="shared" si="306"/>
        <v>0</v>
      </c>
      <c r="K701" s="129">
        <f t="shared" si="306"/>
        <v>0</v>
      </c>
      <c r="L701" s="129">
        <f t="shared" si="306"/>
        <v>0</v>
      </c>
      <c r="M701" s="26">
        <f t="shared" si="306"/>
        <v>0</v>
      </c>
      <c r="N701" s="27" t="str">
        <f t="shared" si="304"/>
        <v>-</v>
      </c>
      <c r="O701" s="318"/>
    </row>
    <row r="702" spans="1:15" ht="3.6" customHeight="1" x14ac:dyDescent="0.2">
      <c r="A702" s="53"/>
      <c r="B702" s="54"/>
      <c r="C702" s="55"/>
      <c r="D702" s="420"/>
      <c r="E702" s="56"/>
      <c r="F702" s="53"/>
      <c r="G702" s="130"/>
      <c r="H702" s="129"/>
      <c r="I702" s="58"/>
      <c r="J702" s="130"/>
      <c r="K702" s="130"/>
      <c r="L702" s="130"/>
      <c r="M702" s="57"/>
      <c r="N702" s="58"/>
      <c r="O702" s="319"/>
    </row>
    <row r="703" spans="1:15" ht="3.6" customHeight="1" x14ac:dyDescent="0.2">
      <c r="A703" s="59"/>
      <c r="B703" s="60"/>
      <c r="C703" s="61"/>
      <c r="D703" s="62"/>
      <c r="E703" s="62"/>
      <c r="F703" s="59"/>
      <c r="G703" s="131"/>
      <c r="H703" s="131"/>
      <c r="I703" s="64"/>
      <c r="J703" s="131"/>
      <c r="K703" s="131"/>
      <c r="L703" s="131"/>
      <c r="M703" s="63"/>
      <c r="N703" s="64"/>
      <c r="O703" s="320"/>
    </row>
    <row r="704" spans="1:15" ht="11.45" customHeight="1" x14ac:dyDescent="0.2">
      <c r="A704" s="28" t="s">
        <v>1</v>
      </c>
      <c r="B704" s="450" t="s">
        <v>114</v>
      </c>
      <c r="C704" s="414"/>
      <c r="D704" s="29"/>
      <c r="E704" s="29"/>
      <c r="F704" s="30"/>
      <c r="G704" s="132">
        <f>SUM(G705:G710)</f>
        <v>30235774</v>
      </c>
      <c r="H704" s="132">
        <f>SUM(H705:H710)</f>
        <v>26872545</v>
      </c>
      <c r="I704" s="32">
        <f>IF(G704&gt;0,H704/G704*100,"-")</f>
        <v>88.876656506296143</v>
      </c>
      <c r="J704" s="132">
        <f>SUM(J705:J710)</f>
        <v>25082571</v>
      </c>
      <c r="K704" s="132">
        <f>SUM(K705:K710)</f>
        <v>-224870</v>
      </c>
      <c r="L704" s="132">
        <f>SUM(L705:L710)</f>
        <v>24857701</v>
      </c>
      <c r="M704" s="31">
        <f>SUM(M705:M710)</f>
        <v>21758713.709999997</v>
      </c>
      <c r="N704" s="32">
        <f t="shared" ref="N704:N710" si="307">IF(L704&gt;0,M704/L704*100,"-")</f>
        <v>87.533089685164356</v>
      </c>
      <c r="O704" s="321"/>
    </row>
    <row r="705" spans="1:15" ht="11.45" customHeight="1" x14ac:dyDescent="0.2">
      <c r="A705" s="30"/>
      <c r="B705" s="33"/>
      <c r="C705" s="34"/>
      <c r="D705" s="29"/>
      <c r="E705" s="29"/>
      <c r="F705" s="35" t="s">
        <v>15</v>
      </c>
      <c r="G705" s="133">
        <f t="shared" ref="G705:H710" si="308">G714+G727</f>
        <v>1842904</v>
      </c>
      <c r="H705" s="133">
        <f t="shared" si="308"/>
        <v>1284354</v>
      </c>
      <c r="I705" s="37">
        <f t="shared" ref="I705:I710" si="309">IF(G705&gt;0,H705/G705*100,"-")</f>
        <v>69.691855896997339</v>
      </c>
      <c r="J705" s="133">
        <f t="shared" ref="J705:M710" si="310">J714+J727</f>
        <v>1046154</v>
      </c>
      <c r="K705" s="133">
        <f t="shared" si="310"/>
        <v>-96909</v>
      </c>
      <c r="L705" s="133">
        <f t="shared" si="310"/>
        <v>949245</v>
      </c>
      <c r="M705" s="36">
        <f t="shared" si="310"/>
        <v>487603.08999999997</v>
      </c>
      <c r="N705" s="37">
        <f t="shared" si="307"/>
        <v>51.367464669289795</v>
      </c>
      <c r="O705" s="321"/>
    </row>
    <row r="706" spans="1:15" ht="11.45" customHeight="1" x14ac:dyDescent="0.2">
      <c r="A706" s="30"/>
      <c r="B706" s="33"/>
      <c r="C706" s="34"/>
      <c r="D706" s="29"/>
      <c r="E706" s="29"/>
      <c r="F706" s="35" t="s">
        <v>7</v>
      </c>
      <c r="G706" s="133">
        <f t="shared" si="308"/>
        <v>20128315</v>
      </c>
      <c r="H706" s="133">
        <f t="shared" si="308"/>
        <v>18665331</v>
      </c>
      <c r="I706" s="37">
        <f t="shared" si="309"/>
        <v>92.731711521803987</v>
      </c>
      <c r="J706" s="133">
        <f t="shared" si="310"/>
        <v>17208849</v>
      </c>
      <c r="K706" s="133">
        <f t="shared" si="310"/>
        <v>-77130</v>
      </c>
      <c r="L706" s="133">
        <f t="shared" si="310"/>
        <v>17131719</v>
      </c>
      <c r="M706" s="36">
        <f t="shared" si="310"/>
        <v>15836068.959999999</v>
      </c>
      <c r="N706" s="37">
        <f t="shared" si="307"/>
        <v>92.437127646093188</v>
      </c>
      <c r="O706" s="321"/>
    </row>
    <row r="707" spans="1:15" ht="11.45" customHeight="1" x14ac:dyDescent="0.2">
      <c r="A707" s="30"/>
      <c r="B707" s="33"/>
      <c r="C707" s="34"/>
      <c r="D707" s="29"/>
      <c r="E707" s="29"/>
      <c r="F707" s="35" t="s">
        <v>8</v>
      </c>
      <c r="G707" s="133">
        <f t="shared" si="308"/>
        <v>6430730</v>
      </c>
      <c r="H707" s="133">
        <f t="shared" si="308"/>
        <v>6430730</v>
      </c>
      <c r="I707" s="37">
        <f t="shared" si="309"/>
        <v>100</v>
      </c>
      <c r="J707" s="133">
        <f t="shared" si="310"/>
        <v>5053103</v>
      </c>
      <c r="K707" s="133">
        <f t="shared" si="310"/>
        <v>32140</v>
      </c>
      <c r="L707" s="133">
        <f t="shared" si="310"/>
        <v>5085243</v>
      </c>
      <c r="M707" s="36">
        <f t="shared" si="310"/>
        <v>5085243</v>
      </c>
      <c r="N707" s="37">
        <f t="shared" si="307"/>
        <v>100</v>
      </c>
      <c r="O707" s="321"/>
    </row>
    <row r="708" spans="1:15" ht="11.45" customHeight="1" x14ac:dyDescent="0.2">
      <c r="A708" s="30"/>
      <c r="B708" s="33"/>
      <c r="C708" s="34"/>
      <c r="D708" s="29"/>
      <c r="E708" s="29"/>
      <c r="F708" s="35" t="s">
        <v>22</v>
      </c>
      <c r="G708" s="133">
        <f t="shared" si="308"/>
        <v>0</v>
      </c>
      <c r="H708" s="133">
        <f t="shared" si="308"/>
        <v>0</v>
      </c>
      <c r="I708" s="37" t="str">
        <f t="shared" si="309"/>
        <v>-</v>
      </c>
      <c r="J708" s="133">
        <f t="shared" si="310"/>
        <v>0</v>
      </c>
      <c r="K708" s="133">
        <f t="shared" si="310"/>
        <v>0</v>
      </c>
      <c r="L708" s="133">
        <f t="shared" si="310"/>
        <v>0</v>
      </c>
      <c r="M708" s="36">
        <f t="shared" si="310"/>
        <v>0</v>
      </c>
      <c r="N708" s="37" t="str">
        <f t="shared" si="307"/>
        <v>-</v>
      </c>
      <c r="O708" s="321"/>
    </row>
    <row r="709" spans="1:15" ht="11.45" customHeight="1" x14ac:dyDescent="0.2">
      <c r="A709" s="30"/>
      <c r="B709" s="33"/>
      <c r="C709" s="34"/>
      <c r="D709" s="29"/>
      <c r="E709" s="29"/>
      <c r="F709" s="35" t="s">
        <v>45</v>
      </c>
      <c r="G709" s="133">
        <f t="shared" si="308"/>
        <v>1833825</v>
      </c>
      <c r="H709" s="133">
        <f t="shared" si="308"/>
        <v>492130</v>
      </c>
      <c r="I709" s="37">
        <f t="shared" si="309"/>
        <v>26.836257549111831</v>
      </c>
      <c r="J709" s="133">
        <f t="shared" si="310"/>
        <v>1774465</v>
      </c>
      <c r="K709" s="133">
        <f t="shared" si="310"/>
        <v>-82971</v>
      </c>
      <c r="L709" s="133">
        <f t="shared" si="310"/>
        <v>1691494</v>
      </c>
      <c r="M709" s="36">
        <f t="shared" si="310"/>
        <v>349798.66</v>
      </c>
      <c r="N709" s="37">
        <f t="shared" si="307"/>
        <v>20.679864072825559</v>
      </c>
      <c r="O709" s="321"/>
    </row>
    <row r="710" spans="1:15" ht="11.45" customHeight="1" x14ac:dyDescent="0.2">
      <c r="A710" s="30"/>
      <c r="B710" s="33"/>
      <c r="C710" s="34"/>
      <c r="D710" s="29"/>
      <c r="E710" s="29"/>
      <c r="F710" s="35" t="s">
        <v>359</v>
      </c>
      <c r="G710" s="133">
        <f t="shared" si="308"/>
        <v>0</v>
      </c>
      <c r="H710" s="133">
        <f t="shared" si="308"/>
        <v>0</v>
      </c>
      <c r="I710" s="37" t="str">
        <f t="shared" si="309"/>
        <v>-</v>
      </c>
      <c r="J710" s="133">
        <f t="shared" si="310"/>
        <v>0</v>
      </c>
      <c r="K710" s="133">
        <f t="shared" si="310"/>
        <v>0</v>
      </c>
      <c r="L710" s="133">
        <f t="shared" si="310"/>
        <v>0</v>
      </c>
      <c r="M710" s="36">
        <f t="shared" si="310"/>
        <v>0</v>
      </c>
      <c r="N710" s="37" t="str">
        <f t="shared" si="307"/>
        <v>-</v>
      </c>
      <c r="O710" s="321"/>
    </row>
    <row r="711" spans="1:15" ht="3.6" customHeight="1" x14ac:dyDescent="0.2">
      <c r="A711" s="65"/>
      <c r="B711" s="66"/>
      <c r="C711" s="67"/>
      <c r="D711" s="68"/>
      <c r="E711" s="68"/>
      <c r="F711" s="65"/>
      <c r="G711" s="134"/>
      <c r="H711" s="134"/>
      <c r="I711" s="70"/>
      <c r="J711" s="134"/>
      <c r="K711" s="134"/>
      <c r="L711" s="134"/>
      <c r="M711" s="69"/>
      <c r="N711" s="70"/>
      <c r="O711" s="322"/>
    </row>
    <row r="712" spans="1:15" ht="3.6" customHeight="1" outlineLevel="1" x14ac:dyDescent="0.2">
      <c r="A712" s="152"/>
      <c r="B712" s="72"/>
      <c r="C712" s="73"/>
      <c r="D712" s="71"/>
      <c r="E712" s="71"/>
      <c r="F712" s="72"/>
      <c r="G712" s="135"/>
      <c r="H712" s="135"/>
      <c r="I712" s="75"/>
      <c r="J712" s="135"/>
      <c r="K712" s="135"/>
      <c r="L712" s="136"/>
      <c r="M712" s="74"/>
      <c r="N712" s="75"/>
      <c r="O712" s="408" t="s">
        <v>649</v>
      </c>
    </row>
    <row r="713" spans="1:15" ht="11.1" customHeight="1" outlineLevel="1" x14ac:dyDescent="0.2">
      <c r="A713" s="409" t="s">
        <v>1</v>
      </c>
      <c r="B713" s="76" t="s">
        <v>9</v>
      </c>
      <c r="C713" s="148" t="s">
        <v>86</v>
      </c>
      <c r="D713" s="410" t="s">
        <v>334</v>
      </c>
      <c r="E713" s="410" t="s">
        <v>121</v>
      </c>
      <c r="F713" s="78" t="s">
        <v>28</v>
      </c>
      <c r="G713" s="137">
        <f>SUM(G714:G719)</f>
        <v>28979732</v>
      </c>
      <c r="H713" s="241">
        <f>SUM(H714:H719)</f>
        <v>25880747</v>
      </c>
      <c r="I713" s="39">
        <f t="shared" ref="I713:I719" si="311">IF(G713&gt;0,H713/G713*100,"-")</f>
        <v>89.306371087213648</v>
      </c>
      <c r="J713" s="137">
        <f>SUM(J714:J719)</f>
        <v>24363349</v>
      </c>
      <c r="K713" s="137">
        <f>SUM(K714:K719)</f>
        <v>39374</v>
      </c>
      <c r="L713" s="137">
        <f>SUM(L714:L719)</f>
        <v>24402723</v>
      </c>
      <c r="M713" s="38">
        <f>SUM(M714:M719)</f>
        <v>21303736.709999997</v>
      </c>
      <c r="N713" s="39">
        <f t="shared" ref="N713:N719" si="312">IF(L713&gt;0,M713/L713*100,"-")</f>
        <v>87.300653742617158</v>
      </c>
      <c r="O713" s="405"/>
    </row>
    <row r="714" spans="1:15" ht="11.1" customHeight="1" outlineLevel="1" x14ac:dyDescent="0.2">
      <c r="A714" s="409"/>
      <c r="B714" s="76" t="s">
        <v>10</v>
      </c>
      <c r="C714" s="148" t="s">
        <v>87</v>
      </c>
      <c r="D714" s="410"/>
      <c r="E714" s="410"/>
      <c r="F714" s="79" t="s">
        <v>15</v>
      </c>
      <c r="G714" s="138">
        <v>1597225</v>
      </c>
      <c r="H714" s="138">
        <f>ROUNDUP(716227+M714,0)</f>
        <v>1135584</v>
      </c>
      <c r="I714" s="81">
        <f t="shared" si="311"/>
        <v>71.097309395983658</v>
      </c>
      <c r="J714" s="138">
        <v>880998</v>
      </c>
      <c r="K714" s="138">
        <f t="shared" ref="K714:K719" si="313">L714-J714</f>
        <v>0</v>
      </c>
      <c r="L714" s="138">
        <v>880998</v>
      </c>
      <c r="M714" s="80">
        <v>419356.54</v>
      </c>
      <c r="N714" s="81">
        <f t="shared" si="312"/>
        <v>47.600169353392403</v>
      </c>
      <c r="O714" s="405"/>
    </row>
    <row r="715" spans="1:15" ht="11.1" customHeight="1" outlineLevel="1" x14ac:dyDescent="0.2">
      <c r="A715" s="409"/>
      <c r="B715" s="76"/>
      <c r="C715" s="82" t="s">
        <v>88</v>
      </c>
      <c r="D715" s="410"/>
      <c r="E715" s="410"/>
      <c r="F715" s="79" t="s">
        <v>7</v>
      </c>
      <c r="G715" s="138">
        <v>19117952</v>
      </c>
      <c r="H715" s="138">
        <f>ROUNDUP(2372964+M715,0)</f>
        <v>17822303</v>
      </c>
      <c r="I715" s="81">
        <f t="shared" si="311"/>
        <v>93.22286717740478</v>
      </c>
      <c r="J715" s="138">
        <v>16654783</v>
      </c>
      <c r="K715" s="138">
        <f t="shared" si="313"/>
        <v>90205</v>
      </c>
      <c r="L715" s="138">
        <v>16744988</v>
      </c>
      <c r="M715" s="80">
        <v>15449338.51</v>
      </c>
      <c r="N715" s="81">
        <f t="shared" si="312"/>
        <v>92.262463908603578</v>
      </c>
      <c r="O715" s="405"/>
    </row>
    <row r="716" spans="1:15" ht="11.1" customHeight="1" outlineLevel="1" x14ac:dyDescent="0.2">
      <c r="A716" s="117"/>
      <c r="B716" s="76" t="s">
        <v>11</v>
      </c>
      <c r="C716" s="82" t="s">
        <v>115</v>
      </c>
      <c r="D716" s="108"/>
      <c r="E716" s="108"/>
      <c r="F716" s="79" t="s">
        <v>8</v>
      </c>
      <c r="G716" s="138">
        <v>6430730</v>
      </c>
      <c r="H716" s="138">
        <f>ROUNDUP(1345487+M716,0)</f>
        <v>6430730</v>
      </c>
      <c r="I716" s="81">
        <f t="shared" si="311"/>
        <v>100</v>
      </c>
      <c r="J716" s="138">
        <v>5053103</v>
      </c>
      <c r="K716" s="138">
        <f t="shared" si="313"/>
        <v>32140</v>
      </c>
      <c r="L716" s="138">
        <v>5085243</v>
      </c>
      <c r="M716" s="80">
        <v>5085243</v>
      </c>
      <c r="N716" s="81">
        <f t="shared" si="312"/>
        <v>100</v>
      </c>
      <c r="O716" s="405"/>
    </row>
    <row r="717" spans="1:15" ht="11.1" customHeight="1" outlineLevel="1" x14ac:dyDescent="0.2">
      <c r="A717" s="117"/>
      <c r="B717" s="76" t="s">
        <v>12</v>
      </c>
      <c r="C717" s="82" t="s">
        <v>210</v>
      </c>
      <c r="D717" s="108"/>
      <c r="E717" s="108"/>
      <c r="F717" s="79" t="s">
        <v>22</v>
      </c>
      <c r="G717" s="138">
        <v>0</v>
      </c>
      <c r="H717" s="138">
        <f>ROUNDUP(0+M717,0)</f>
        <v>0</v>
      </c>
      <c r="I717" s="81" t="str">
        <f t="shared" si="311"/>
        <v>-</v>
      </c>
      <c r="J717" s="138">
        <v>0</v>
      </c>
      <c r="K717" s="138">
        <f t="shared" si="313"/>
        <v>0</v>
      </c>
      <c r="L717" s="138">
        <v>0</v>
      </c>
      <c r="M717" s="80">
        <v>0</v>
      </c>
      <c r="N717" s="81" t="str">
        <f t="shared" si="312"/>
        <v>-</v>
      </c>
      <c r="O717" s="405"/>
    </row>
    <row r="718" spans="1:15" ht="11.1" customHeight="1" outlineLevel="1" x14ac:dyDescent="0.2">
      <c r="A718" s="117"/>
      <c r="B718" s="76"/>
      <c r="C718" s="82" t="s">
        <v>211</v>
      </c>
      <c r="D718" s="108"/>
      <c r="E718" s="108"/>
      <c r="F718" s="79" t="s">
        <v>45</v>
      </c>
      <c r="G718" s="138">
        <v>1833825</v>
      </c>
      <c r="H718" s="139">
        <f>ROUNDUP(142331+M718,0)</f>
        <v>492130</v>
      </c>
      <c r="I718" s="81">
        <f>IF(G718&gt;0,H718/G718*100,"-")</f>
        <v>26.836257549111831</v>
      </c>
      <c r="J718" s="138">
        <v>1774465</v>
      </c>
      <c r="K718" s="138">
        <f t="shared" si="313"/>
        <v>-82971</v>
      </c>
      <c r="L718" s="138">
        <v>1691494</v>
      </c>
      <c r="M718" s="80">
        <v>349798.66</v>
      </c>
      <c r="N718" s="81">
        <f t="shared" si="312"/>
        <v>20.679864072825559</v>
      </c>
      <c r="O718" s="405"/>
    </row>
    <row r="719" spans="1:15" ht="11.1" customHeight="1" outlineLevel="1" x14ac:dyDescent="0.2">
      <c r="A719" s="117"/>
      <c r="B719" s="76" t="s">
        <v>23</v>
      </c>
      <c r="C719" s="82" t="s">
        <v>116</v>
      </c>
      <c r="D719" s="108"/>
      <c r="E719" s="108"/>
      <c r="F719" s="79" t="s">
        <v>359</v>
      </c>
      <c r="G719" s="139">
        <v>0</v>
      </c>
      <c r="H719" s="139">
        <v>0</v>
      </c>
      <c r="I719" s="81" t="str">
        <f t="shared" si="311"/>
        <v>-</v>
      </c>
      <c r="J719" s="138">
        <v>0</v>
      </c>
      <c r="K719" s="138">
        <f t="shared" si="313"/>
        <v>0</v>
      </c>
      <c r="L719" s="138">
        <v>0</v>
      </c>
      <c r="M719" s="80">
        <v>0</v>
      </c>
      <c r="N719" s="81" t="str">
        <f t="shared" si="312"/>
        <v>-</v>
      </c>
      <c r="O719" s="405"/>
    </row>
    <row r="720" spans="1:15" ht="11.1" customHeight="1" outlineLevel="1" x14ac:dyDescent="0.2">
      <c r="A720" s="117"/>
      <c r="B720" s="76"/>
      <c r="C720" s="82" t="s">
        <v>117</v>
      </c>
      <c r="D720" s="108"/>
      <c r="E720" s="108"/>
      <c r="F720" s="106"/>
      <c r="G720" s="139"/>
      <c r="H720" s="139"/>
      <c r="I720" s="149"/>
      <c r="J720" s="139"/>
      <c r="K720" s="139"/>
      <c r="L720" s="138"/>
      <c r="M720" s="89"/>
      <c r="N720" s="81"/>
      <c r="O720" s="405"/>
    </row>
    <row r="721" spans="1:15" ht="11.1" customHeight="1" outlineLevel="1" x14ac:dyDescent="0.2">
      <c r="A721" s="117"/>
      <c r="B721" s="76"/>
      <c r="C721" s="82" t="s">
        <v>118</v>
      </c>
      <c r="D721" s="108"/>
      <c r="E721" s="108"/>
      <c r="F721" s="106"/>
      <c r="G721" s="139"/>
      <c r="H721" s="139"/>
      <c r="I721" s="149"/>
      <c r="J721" s="139"/>
      <c r="K721" s="139"/>
      <c r="L721" s="138"/>
      <c r="M721" s="89"/>
      <c r="N721" s="81"/>
      <c r="O721" s="405"/>
    </row>
    <row r="722" spans="1:15" ht="11.1" customHeight="1" outlineLevel="1" x14ac:dyDescent="0.2">
      <c r="A722" s="117"/>
      <c r="B722" s="76"/>
      <c r="C722" s="82" t="s">
        <v>119</v>
      </c>
      <c r="D722" s="108"/>
      <c r="E722" s="108"/>
      <c r="F722" s="106"/>
      <c r="G722" s="139"/>
      <c r="H722" s="139"/>
      <c r="I722" s="149"/>
      <c r="J722" s="139"/>
      <c r="K722" s="139"/>
      <c r="L722" s="138"/>
      <c r="M722" s="89"/>
      <c r="N722" s="81"/>
      <c r="O722" s="405"/>
    </row>
    <row r="723" spans="1:15" ht="11.1" customHeight="1" outlineLevel="1" x14ac:dyDescent="0.2">
      <c r="A723" s="117"/>
      <c r="B723" s="76"/>
      <c r="C723" s="82" t="s">
        <v>120</v>
      </c>
      <c r="D723" s="90"/>
      <c r="E723" s="90"/>
      <c r="F723" s="106"/>
      <c r="G723" s="139"/>
      <c r="H723" s="139"/>
      <c r="I723" s="149"/>
      <c r="J723" s="139"/>
      <c r="K723" s="139"/>
      <c r="L723" s="138"/>
      <c r="M723" s="89"/>
      <c r="N723" s="81"/>
      <c r="O723" s="405"/>
    </row>
    <row r="724" spans="1:15" ht="9" customHeight="1" outlineLevel="1" x14ac:dyDescent="0.2">
      <c r="A724" s="118"/>
      <c r="B724" s="85"/>
      <c r="C724" s="86"/>
      <c r="D724" s="84"/>
      <c r="E724" s="84"/>
      <c r="F724" s="85"/>
      <c r="G724" s="140"/>
      <c r="H724" s="140"/>
      <c r="I724" s="85"/>
      <c r="J724" s="140"/>
      <c r="K724" s="140"/>
      <c r="L724" s="141"/>
      <c r="M724" s="87"/>
      <c r="N724" s="88"/>
      <c r="O724" s="447"/>
    </row>
    <row r="725" spans="1:15" ht="3.95" customHeight="1" outlineLevel="1" x14ac:dyDescent="0.2">
      <c r="A725" s="152"/>
      <c r="B725" s="72"/>
      <c r="C725" s="73"/>
      <c r="D725" s="71"/>
      <c r="E725" s="71"/>
      <c r="F725" s="72"/>
      <c r="G725" s="135"/>
      <c r="H725" s="135"/>
      <c r="I725" s="75"/>
      <c r="J725" s="135"/>
      <c r="K725" s="135"/>
      <c r="L725" s="136"/>
      <c r="M725" s="74"/>
      <c r="N725" s="75"/>
      <c r="O725" s="408" t="s">
        <v>591</v>
      </c>
    </row>
    <row r="726" spans="1:15" ht="11.1" customHeight="1" outlineLevel="1" x14ac:dyDescent="0.2">
      <c r="A726" s="409" t="s">
        <v>50</v>
      </c>
      <c r="B726" s="76" t="s">
        <v>9</v>
      </c>
      <c r="C726" s="148" t="s">
        <v>86</v>
      </c>
      <c r="D726" s="410" t="s">
        <v>305</v>
      </c>
      <c r="E726" s="410" t="s">
        <v>126</v>
      </c>
      <c r="F726" s="78" t="s">
        <v>28</v>
      </c>
      <c r="G726" s="137">
        <f>SUM(G727:G732)</f>
        <v>1256042</v>
      </c>
      <c r="H726" s="137">
        <f>SUM(H727:H732)</f>
        <v>991798</v>
      </c>
      <c r="I726" s="39">
        <f t="shared" ref="I726:I732" si="314">IF(G726&gt;0,H726/G726*100,"-")</f>
        <v>78.962168462519571</v>
      </c>
      <c r="J726" s="137">
        <f>SUM(J727:J732)</f>
        <v>719222</v>
      </c>
      <c r="K726" s="137">
        <f>SUM(K727:K732)</f>
        <v>-264244</v>
      </c>
      <c r="L726" s="137">
        <f>SUM(L727:L732)</f>
        <v>454978</v>
      </c>
      <c r="M726" s="38">
        <f>SUM(M727:M732)</f>
        <v>454977</v>
      </c>
      <c r="N726" s="39">
        <f t="shared" ref="N726:N732" si="315">IF(L726&gt;0,M726/L726*100,"-")</f>
        <v>99.999780209152959</v>
      </c>
      <c r="O726" s="428"/>
    </row>
    <row r="727" spans="1:15" ht="11.1" customHeight="1" outlineLevel="1" x14ac:dyDescent="0.2">
      <c r="A727" s="409"/>
      <c r="B727" s="76" t="s">
        <v>10</v>
      </c>
      <c r="C727" s="148" t="s">
        <v>87</v>
      </c>
      <c r="D727" s="410"/>
      <c r="E727" s="410"/>
      <c r="F727" s="79" t="s">
        <v>15</v>
      </c>
      <c r="G727" s="138">
        <v>245679</v>
      </c>
      <c r="H727" s="138">
        <f>ROUNDUP(80523+M727,0)</f>
        <v>148770</v>
      </c>
      <c r="I727" s="81">
        <f t="shared" si="314"/>
        <v>60.554626158523931</v>
      </c>
      <c r="J727" s="138">
        <v>165156</v>
      </c>
      <c r="K727" s="138">
        <f t="shared" ref="K727:K732" si="316">L727-J727</f>
        <v>-96909</v>
      </c>
      <c r="L727" s="138">
        <v>68247</v>
      </c>
      <c r="M727" s="80">
        <v>68246.55</v>
      </c>
      <c r="N727" s="81">
        <f t="shared" si="315"/>
        <v>99.999340630357381</v>
      </c>
      <c r="O727" s="428"/>
    </row>
    <row r="728" spans="1:15" ht="11.1" customHeight="1" outlineLevel="1" x14ac:dyDescent="0.2">
      <c r="A728" s="409"/>
      <c r="B728" s="76"/>
      <c r="C728" s="82" t="s">
        <v>88</v>
      </c>
      <c r="D728" s="410"/>
      <c r="E728" s="410"/>
      <c r="F728" s="79" t="s">
        <v>7</v>
      </c>
      <c r="G728" s="138">
        <v>1010363</v>
      </c>
      <c r="H728" s="138">
        <f>ROUNDUP(456297+M728,0)</f>
        <v>843028</v>
      </c>
      <c r="I728" s="81">
        <f t="shared" si="314"/>
        <v>83.438130652052777</v>
      </c>
      <c r="J728" s="138">
        <v>554066</v>
      </c>
      <c r="K728" s="138">
        <f t="shared" si="316"/>
        <v>-167335</v>
      </c>
      <c r="L728" s="138">
        <v>386731</v>
      </c>
      <c r="M728" s="80">
        <v>386730.45</v>
      </c>
      <c r="N728" s="81">
        <f t="shared" si="315"/>
        <v>99.999857782282774</v>
      </c>
      <c r="O728" s="428"/>
    </row>
    <row r="729" spans="1:15" ht="11.1" customHeight="1" outlineLevel="1" x14ac:dyDescent="0.2">
      <c r="A729" s="117"/>
      <c r="B729" s="76" t="s">
        <v>11</v>
      </c>
      <c r="C729" s="82" t="s">
        <v>115</v>
      </c>
      <c r="D729" s="108"/>
      <c r="E729" s="108"/>
      <c r="F729" s="79" t="s">
        <v>8</v>
      </c>
      <c r="G729" s="138">
        <v>0</v>
      </c>
      <c r="H729" s="138">
        <f t="shared" ref="H729:H732" si="317">ROUNDUP(0+M729,0)</f>
        <v>0</v>
      </c>
      <c r="I729" s="81" t="str">
        <f t="shared" si="314"/>
        <v>-</v>
      </c>
      <c r="J729" s="138">
        <v>0</v>
      </c>
      <c r="K729" s="138">
        <f t="shared" si="316"/>
        <v>0</v>
      </c>
      <c r="L729" s="138">
        <v>0</v>
      </c>
      <c r="M729" s="80">
        <v>0</v>
      </c>
      <c r="N729" s="81" t="str">
        <f t="shared" si="315"/>
        <v>-</v>
      </c>
      <c r="O729" s="428"/>
    </row>
    <row r="730" spans="1:15" ht="11.1" customHeight="1" outlineLevel="1" x14ac:dyDescent="0.2">
      <c r="A730" s="117"/>
      <c r="B730" s="76" t="s">
        <v>12</v>
      </c>
      <c r="C730" s="82" t="s">
        <v>212</v>
      </c>
      <c r="D730" s="108"/>
      <c r="E730" s="108"/>
      <c r="F730" s="79" t="s">
        <v>22</v>
      </c>
      <c r="G730" s="138">
        <v>0</v>
      </c>
      <c r="H730" s="138">
        <f t="shared" si="317"/>
        <v>0</v>
      </c>
      <c r="I730" s="81" t="str">
        <f t="shared" si="314"/>
        <v>-</v>
      </c>
      <c r="J730" s="138">
        <v>0</v>
      </c>
      <c r="K730" s="138">
        <f t="shared" si="316"/>
        <v>0</v>
      </c>
      <c r="L730" s="138">
        <v>0</v>
      </c>
      <c r="M730" s="80">
        <v>0</v>
      </c>
      <c r="N730" s="81" t="str">
        <f t="shared" si="315"/>
        <v>-</v>
      </c>
      <c r="O730" s="428"/>
    </row>
    <row r="731" spans="1:15" ht="11.1" customHeight="1" outlineLevel="1" x14ac:dyDescent="0.2">
      <c r="A731" s="117"/>
      <c r="B731" s="76"/>
      <c r="C731" s="82" t="s">
        <v>213</v>
      </c>
      <c r="D731" s="108"/>
      <c r="E731" s="108"/>
      <c r="F731" s="79" t="s">
        <v>45</v>
      </c>
      <c r="G731" s="138">
        <v>0</v>
      </c>
      <c r="H731" s="138">
        <f t="shared" si="317"/>
        <v>0</v>
      </c>
      <c r="I731" s="81" t="str">
        <f t="shared" si="314"/>
        <v>-</v>
      </c>
      <c r="J731" s="138">
        <v>0</v>
      </c>
      <c r="K731" s="138">
        <f t="shared" si="316"/>
        <v>0</v>
      </c>
      <c r="L731" s="138">
        <v>0</v>
      </c>
      <c r="M731" s="80">
        <v>0</v>
      </c>
      <c r="N731" s="81" t="str">
        <f t="shared" si="315"/>
        <v>-</v>
      </c>
      <c r="O731" s="428"/>
    </row>
    <row r="732" spans="1:15" ht="11.1" customHeight="1" outlineLevel="1" x14ac:dyDescent="0.2">
      <c r="A732" s="117"/>
      <c r="B732" s="76" t="s">
        <v>23</v>
      </c>
      <c r="C732" s="82" t="s">
        <v>122</v>
      </c>
      <c r="D732" s="108"/>
      <c r="E732" s="108"/>
      <c r="F732" s="79" t="s">
        <v>359</v>
      </c>
      <c r="G732" s="138">
        <v>0</v>
      </c>
      <c r="H732" s="138">
        <f t="shared" si="317"/>
        <v>0</v>
      </c>
      <c r="I732" s="81" t="str">
        <f t="shared" si="314"/>
        <v>-</v>
      </c>
      <c r="J732" s="138">
        <v>0</v>
      </c>
      <c r="K732" s="138">
        <f t="shared" si="316"/>
        <v>0</v>
      </c>
      <c r="L732" s="138">
        <v>0</v>
      </c>
      <c r="M732" s="80">
        <v>0</v>
      </c>
      <c r="N732" s="81" t="str">
        <f t="shared" si="315"/>
        <v>-</v>
      </c>
      <c r="O732" s="428"/>
    </row>
    <row r="733" spans="1:15" ht="11.1" customHeight="1" outlineLevel="1" x14ac:dyDescent="0.2">
      <c r="A733" s="117"/>
      <c r="B733" s="76"/>
      <c r="C733" s="82" t="s">
        <v>123</v>
      </c>
      <c r="D733" s="108"/>
      <c r="E733" s="108"/>
      <c r="F733" s="106"/>
      <c r="G733" s="139"/>
      <c r="H733" s="139"/>
      <c r="I733" s="149"/>
      <c r="J733" s="139"/>
      <c r="K733" s="139"/>
      <c r="L733" s="138"/>
      <c r="M733" s="89"/>
      <c r="N733" s="81"/>
      <c r="O733" s="428"/>
    </row>
    <row r="734" spans="1:15" ht="11.1" customHeight="1" outlineLevel="1" x14ac:dyDescent="0.2">
      <c r="A734" s="117"/>
      <c r="B734" s="76"/>
      <c r="C734" s="82" t="s">
        <v>124</v>
      </c>
      <c r="D734" s="108"/>
      <c r="E734" s="108"/>
      <c r="F734" s="106"/>
      <c r="G734" s="139"/>
      <c r="H734" s="139"/>
      <c r="I734" s="149"/>
      <c r="J734" s="139"/>
      <c r="K734" s="139"/>
      <c r="L734" s="138"/>
      <c r="M734" s="89"/>
      <c r="N734" s="81"/>
      <c r="O734" s="428"/>
    </row>
    <row r="735" spans="1:15" ht="11.1" customHeight="1" outlineLevel="1" x14ac:dyDescent="0.2">
      <c r="A735" s="117"/>
      <c r="B735" s="76"/>
      <c r="C735" s="82" t="s">
        <v>125</v>
      </c>
      <c r="D735" s="108"/>
      <c r="E735" s="108"/>
      <c r="F735" s="106"/>
      <c r="G735" s="139"/>
      <c r="H735" s="139"/>
      <c r="I735" s="149"/>
      <c r="J735" s="139"/>
      <c r="K735" s="139"/>
      <c r="L735" s="138"/>
      <c r="M735" s="89"/>
      <c r="N735" s="81"/>
      <c r="O735" s="428"/>
    </row>
    <row r="736" spans="1:15" ht="12" customHeight="1" outlineLevel="1" x14ac:dyDescent="0.2">
      <c r="A736" s="117"/>
      <c r="B736" s="76"/>
      <c r="C736" s="82"/>
      <c r="D736" s="108"/>
      <c r="E736" s="108"/>
      <c r="F736" s="106"/>
      <c r="G736" s="139"/>
      <c r="H736" s="139"/>
      <c r="I736" s="149"/>
      <c r="J736" s="139"/>
      <c r="K736" s="139"/>
      <c r="L736" s="138"/>
      <c r="M736" s="89"/>
      <c r="N736" s="81"/>
      <c r="O736" s="428"/>
    </row>
    <row r="737" spans="1:15" ht="3.95" customHeight="1" outlineLevel="1" x14ac:dyDescent="0.2">
      <c r="A737" s="118"/>
      <c r="B737" s="85"/>
      <c r="C737" s="86"/>
      <c r="D737" s="84"/>
      <c r="E737" s="84"/>
      <c r="F737" s="85"/>
      <c r="G737" s="140"/>
      <c r="H737" s="140"/>
      <c r="I737" s="85"/>
      <c r="J737" s="140"/>
      <c r="K737" s="140"/>
      <c r="L737" s="141"/>
      <c r="M737" s="87"/>
      <c r="N737" s="88"/>
      <c r="O737" s="429"/>
    </row>
    <row r="738" spans="1:15" ht="3.95" customHeight="1" x14ac:dyDescent="0.2">
      <c r="A738" s="59"/>
      <c r="B738" s="60"/>
      <c r="C738" s="61"/>
      <c r="D738" s="62"/>
      <c r="E738" s="62"/>
      <c r="F738" s="59"/>
      <c r="G738" s="131"/>
      <c r="H738" s="131"/>
      <c r="I738" s="59"/>
      <c r="J738" s="131"/>
      <c r="K738" s="131"/>
      <c r="L738" s="131"/>
      <c r="M738" s="63"/>
      <c r="N738" s="64"/>
      <c r="O738" s="320"/>
    </row>
    <row r="739" spans="1:15" ht="11.45" customHeight="1" x14ac:dyDescent="0.2">
      <c r="A739" s="28" t="s">
        <v>50</v>
      </c>
      <c r="B739" s="413" t="s">
        <v>127</v>
      </c>
      <c r="C739" s="414"/>
      <c r="D739" s="29"/>
      <c r="E739" s="29"/>
      <c r="F739" s="30"/>
      <c r="G739" s="132">
        <f>SUM(G740:G745)</f>
        <v>23154162</v>
      </c>
      <c r="H739" s="132">
        <f>SUM(H740:H745)</f>
        <v>23154162</v>
      </c>
      <c r="I739" s="32">
        <f>IF(G739&gt;0,H739/G739*100,"-")</f>
        <v>100</v>
      </c>
      <c r="J739" s="132">
        <f>SUM(J740:J745)</f>
        <v>0</v>
      </c>
      <c r="K739" s="132">
        <f>SUM(K740:K745)</f>
        <v>6690</v>
      </c>
      <c r="L739" s="132">
        <f>SUM(L740:L745)</f>
        <v>6690</v>
      </c>
      <c r="M739" s="31">
        <f>SUM(M740:M745)</f>
        <v>6690</v>
      </c>
      <c r="N739" s="32">
        <f t="shared" ref="N739:N745" si="318">IF(L739&gt;0,M739/L739*100,"-")</f>
        <v>100</v>
      </c>
      <c r="O739" s="321"/>
    </row>
    <row r="740" spans="1:15" ht="11.45" customHeight="1" x14ac:dyDescent="0.2">
      <c r="A740" s="30"/>
      <c r="B740" s="33"/>
      <c r="C740" s="34"/>
      <c r="D740" s="29"/>
      <c r="E740" s="29"/>
      <c r="F740" s="35" t="s">
        <v>15</v>
      </c>
      <c r="G740" s="133">
        <f>G749</f>
        <v>739745</v>
      </c>
      <c r="H740" s="133">
        <f>H749</f>
        <v>739745</v>
      </c>
      <c r="I740" s="37">
        <f t="shared" ref="I740:I745" si="319">IF(G740&gt;0,H740/G740*100,"-")</f>
        <v>100</v>
      </c>
      <c r="J740" s="133">
        <f>J749</f>
        <v>0</v>
      </c>
      <c r="K740" s="133">
        <f>K749</f>
        <v>0</v>
      </c>
      <c r="L740" s="133">
        <f>L749</f>
        <v>0</v>
      </c>
      <c r="M740" s="36">
        <f>M749</f>
        <v>0</v>
      </c>
      <c r="N740" s="37" t="str">
        <f t="shared" si="318"/>
        <v>-</v>
      </c>
      <c r="O740" s="321"/>
    </row>
    <row r="741" spans="1:15" ht="11.45" customHeight="1" x14ac:dyDescent="0.2">
      <c r="A741" s="30"/>
      <c r="B741" s="33"/>
      <c r="C741" s="34"/>
      <c r="D741" s="29"/>
      <c r="E741" s="29"/>
      <c r="F741" s="35" t="s">
        <v>7</v>
      </c>
      <c r="G741" s="133">
        <f t="shared" ref="G741:H745" si="320">G750</f>
        <v>14958731</v>
      </c>
      <c r="H741" s="133">
        <f t="shared" si="320"/>
        <v>14958731</v>
      </c>
      <c r="I741" s="37">
        <f t="shared" si="319"/>
        <v>100</v>
      </c>
      <c r="J741" s="133">
        <f t="shared" ref="J741:M741" si="321">J750</f>
        <v>0</v>
      </c>
      <c r="K741" s="133">
        <f t="shared" si="321"/>
        <v>0</v>
      </c>
      <c r="L741" s="133">
        <f t="shared" si="321"/>
        <v>0</v>
      </c>
      <c r="M741" s="36">
        <f t="shared" si="321"/>
        <v>0</v>
      </c>
      <c r="N741" s="37" t="str">
        <f t="shared" si="318"/>
        <v>-</v>
      </c>
      <c r="O741" s="321"/>
    </row>
    <row r="742" spans="1:15" ht="11.45" customHeight="1" x14ac:dyDescent="0.2">
      <c r="A742" s="30"/>
      <c r="B742" s="33"/>
      <c r="C742" s="34"/>
      <c r="D742" s="29"/>
      <c r="E742" s="29"/>
      <c r="F742" s="35" t="s">
        <v>8</v>
      </c>
      <c r="G742" s="133">
        <f t="shared" si="320"/>
        <v>3515874</v>
      </c>
      <c r="H742" s="133">
        <f t="shared" si="320"/>
        <v>3515874</v>
      </c>
      <c r="I742" s="37">
        <f t="shared" si="319"/>
        <v>100</v>
      </c>
      <c r="J742" s="133">
        <f t="shared" ref="J742:M742" si="322">J751</f>
        <v>0</v>
      </c>
      <c r="K742" s="133">
        <f t="shared" si="322"/>
        <v>0</v>
      </c>
      <c r="L742" s="133">
        <f t="shared" si="322"/>
        <v>0</v>
      </c>
      <c r="M742" s="36">
        <f t="shared" si="322"/>
        <v>0</v>
      </c>
      <c r="N742" s="37" t="str">
        <f t="shared" si="318"/>
        <v>-</v>
      </c>
      <c r="O742" s="321"/>
    </row>
    <row r="743" spans="1:15" ht="11.45" customHeight="1" x14ac:dyDescent="0.2">
      <c r="A743" s="30"/>
      <c r="B743" s="33"/>
      <c r="C743" s="34"/>
      <c r="D743" s="29"/>
      <c r="E743" s="29"/>
      <c r="F743" s="35" t="s">
        <v>22</v>
      </c>
      <c r="G743" s="133">
        <f t="shared" si="320"/>
        <v>2639777</v>
      </c>
      <c r="H743" s="133">
        <f t="shared" si="320"/>
        <v>2639777</v>
      </c>
      <c r="I743" s="37">
        <f t="shared" si="319"/>
        <v>100</v>
      </c>
      <c r="J743" s="133">
        <f t="shared" ref="J743:M743" si="323">J752</f>
        <v>0</v>
      </c>
      <c r="K743" s="133">
        <f t="shared" si="323"/>
        <v>0</v>
      </c>
      <c r="L743" s="133">
        <f t="shared" si="323"/>
        <v>0</v>
      </c>
      <c r="M743" s="36">
        <f t="shared" si="323"/>
        <v>0</v>
      </c>
      <c r="N743" s="37" t="str">
        <f t="shared" si="318"/>
        <v>-</v>
      </c>
      <c r="O743" s="321"/>
    </row>
    <row r="744" spans="1:15" ht="11.45" customHeight="1" x14ac:dyDescent="0.2">
      <c r="A744" s="30"/>
      <c r="B744" s="33"/>
      <c r="C744" s="34"/>
      <c r="D744" s="29"/>
      <c r="E744" s="29"/>
      <c r="F744" s="35" t="s">
        <v>45</v>
      </c>
      <c r="G744" s="133">
        <f t="shared" si="320"/>
        <v>216768</v>
      </c>
      <c r="H744" s="133">
        <f t="shared" si="320"/>
        <v>216768</v>
      </c>
      <c r="I744" s="37">
        <f t="shared" si="319"/>
        <v>100</v>
      </c>
      <c r="J744" s="133">
        <f t="shared" ref="J744:M744" si="324">J753</f>
        <v>0</v>
      </c>
      <c r="K744" s="133">
        <f t="shared" si="324"/>
        <v>6690</v>
      </c>
      <c r="L744" s="133">
        <f t="shared" si="324"/>
        <v>6690</v>
      </c>
      <c r="M744" s="36">
        <f t="shared" si="324"/>
        <v>6690</v>
      </c>
      <c r="N744" s="37">
        <f t="shared" si="318"/>
        <v>100</v>
      </c>
      <c r="O744" s="321"/>
    </row>
    <row r="745" spans="1:15" ht="11.45" customHeight="1" x14ac:dyDescent="0.2">
      <c r="A745" s="30"/>
      <c r="B745" s="33"/>
      <c r="C745" s="34"/>
      <c r="D745" s="29"/>
      <c r="E745" s="29"/>
      <c r="F745" s="35" t="s">
        <v>359</v>
      </c>
      <c r="G745" s="133">
        <f t="shared" si="320"/>
        <v>1083267</v>
      </c>
      <c r="H745" s="133">
        <f t="shared" si="320"/>
        <v>1083267</v>
      </c>
      <c r="I745" s="37">
        <f t="shared" si="319"/>
        <v>100</v>
      </c>
      <c r="J745" s="133">
        <f t="shared" ref="J745:M745" si="325">J754</f>
        <v>0</v>
      </c>
      <c r="K745" s="133">
        <f t="shared" si="325"/>
        <v>0</v>
      </c>
      <c r="L745" s="133">
        <f t="shared" si="325"/>
        <v>0</v>
      </c>
      <c r="M745" s="36">
        <f t="shared" si="325"/>
        <v>0</v>
      </c>
      <c r="N745" s="37" t="str">
        <f t="shared" si="318"/>
        <v>-</v>
      </c>
      <c r="O745" s="321"/>
    </row>
    <row r="746" spans="1:15" ht="3.95" customHeight="1" x14ac:dyDescent="0.2">
      <c r="A746" s="65"/>
      <c r="B746" s="66"/>
      <c r="C746" s="67"/>
      <c r="D746" s="68"/>
      <c r="E746" s="68"/>
      <c r="F746" s="65"/>
      <c r="G746" s="134"/>
      <c r="H746" s="134"/>
      <c r="I746" s="70"/>
      <c r="J746" s="134"/>
      <c r="K746" s="134"/>
      <c r="L746" s="134"/>
      <c r="M746" s="69"/>
      <c r="N746" s="70"/>
      <c r="O746" s="322"/>
    </row>
    <row r="747" spans="1:15" s="95" customFormat="1" ht="3.95" customHeight="1" outlineLevel="1" x14ac:dyDescent="0.2">
      <c r="A747" s="152"/>
      <c r="B747" s="72"/>
      <c r="C747" s="73"/>
      <c r="D747" s="71"/>
      <c r="E747" s="71"/>
      <c r="F747" s="72"/>
      <c r="G747" s="135"/>
      <c r="H747" s="135"/>
      <c r="I747" s="75"/>
      <c r="J747" s="135"/>
      <c r="K747" s="135"/>
      <c r="L747" s="136"/>
      <c r="M747" s="74"/>
      <c r="N747" s="75"/>
      <c r="O747" s="386"/>
    </row>
    <row r="748" spans="1:15" s="95" customFormat="1" ht="11.1" customHeight="1" outlineLevel="1" x14ac:dyDescent="0.2">
      <c r="A748" s="409" t="s">
        <v>59</v>
      </c>
      <c r="B748" s="76" t="s">
        <v>9</v>
      </c>
      <c r="C748" s="77" t="s">
        <v>49</v>
      </c>
      <c r="D748" s="410" t="s">
        <v>147</v>
      </c>
      <c r="E748" s="410"/>
      <c r="F748" s="78" t="s">
        <v>28</v>
      </c>
      <c r="G748" s="137">
        <f>SUM(G749:G754)</f>
        <v>23154162</v>
      </c>
      <c r="H748" s="137">
        <f>SUM(H749:H754)</f>
        <v>23154162</v>
      </c>
      <c r="I748" s="39">
        <f t="shared" ref="I748:I754" si="326">IF(G748&gt;0,H748/G748*100,"-")</f>
        <v>100</v>
      </c>
      <c r="J748" s="241">
        <f>SUM(J749:J754)</f>
        <v>0</v>
      </c>
      <c r="K748" s="137">
        <f>SUM(K749:K754)</f>
        <v>6690</v>
      </c>
      <c r="L748" s="137">
        <f>SUM(L749:L754)</f>
        <v>6690</v>
      </c>
      <c r="M748" s="38">
        <f>SUM(M749:M754)</f>
        <v>6690</v>
      </c>
      <c r="N748" s="39">
        <f t="shared" ref="N748:N754" si="327">IF(L748&gt;0,M748/L748*100,"-")</f>
        <v>100</v>
      </c>
      <c r="O748" s="430" t="s">
        <v>600</v>
      </c>
    </row>
    <row r="749" spans="1:15" s="95" customFormat="1" ht="11.1" customHeight="1" outlineLevel="1" x14ac:dyDescent="0.2">
      <c r="A749" s="409"/>
      <c r="B749" s="76" t="s">
        <v>10</v>
      </c>
      <c r="C749" s="77" t="s">
        <v>128</v>
      </c>
      <c r="D749" s="410"/>
      <c r="E749" s="410"/>
      <c r="F749" s="79" t="s">
        <v>15</v>
      </c>
      <c r="G749" s="138">
        <f t="shared" ref="G749:H754" si="328">G756+G764</f>
        <v>739745</v>
      </c>
      <c r="H749" s="138">
        <f t="shared" si="328"/>
        <v>739745</v>
      </c>
      <c r="I749" s="81">
        <f t="shared" si="326"/>
        <v>100</v>
      </c>
      <c r="J749" s="138">
        <f t="shared" ref="J749:M754" si="329">J756+J764</f>
        <v>0</v>
      </c>
      <c r="K749" s="138">
        <f t="shared" si="329"/>
        <v>0</v>
      </c>
      <c r="L749" s="138">
        <f t="shared" si="329"/>
        <v>0</v>
      </c>
      <c r="M749" s="80">
        <f t="shared" si="329"/>
        <v>0</v>
      </c>
      <c r="N749" s="81" t="str">
        <f t="shared" si="327"/>
        <v>-</v>
      </c>
      <c r="O749" s="431"/>
    </row>
    <row r="750" spans="1:15" s="95" customFormat="1" ht="11.1" customHeight="1" outlineLevel="1" x14ac:dyDescent="0.2">
      <c r="A750" s="409"/>
      <c r="B750" s="76" t="s">
        <v>11</v>
      </c>
      <c r="C750" s="82" t="s">
        <v>129</v>
      </c>
      <c r="D750" s="410"/>
      <c r="E750" s="410"/>
      <c r="F750" s="79" t="s">
        <v>7</v>
      </c>
      <c r="G750" s="138">
        <f t="shared" si="328"/>
        <v>14958731</v>
      </c>
      <c r="H750" s="138">
        <f t="shared" si="328"/>
        <v>14958731</v>
      </c>
      <c r="I750" s="81">
        <f t="shared" si="326"/>
        <v>100</v>
      </c>
      <c r="J750" s="138">
        <f t="shared" si="329"/>
        <v>0</v>
      </c>
      <c r="K750" s="138">
        <f t="shared" si="329"/>
        <v>0</v>
      </c>
      <c r="L750" s="138">
        <f t="shared" si="329"/>
        <v>0</v>
      </c>
      <c r="M750" s="80">
        <f t="shared" si="329"/>
        <v>0</v>
      </c>
      <c r="N750" s="81" t="str">
        <f t="shared" si="327"/>
        <v>-</v>
      </c>
      <c r="O750" s="431"/>
    </row>
    <row r="751" spans="1:15" s="95" customFormat="1" ht="11.1" customHeight="1" outlineLevel="1" x14ac:dyDescent="0.2">
      <c r="A751" s="117"/>
      <c r="B751" s="76"/>
      <c r="C751" s="82" t="s">
        <v>130</v>
      </c>
      <c r="D751" s="108"/>
      <c r="E751" s="410"/>
      <c r="F751" s="79" t="s">
        <v>8</v>
      </c>
      <c r="G751" s="138">
        <f t="shared" si="328"/>
        <v>3515874</v>
      </c>
      <c r="H751" s="138">
        <f t="shared" si="328"/>
        <v>3515874</v>
      </c>
      <c r="I751" s="81">
        <f t="shared" si="326"/>
        <v>100</v>
      </c>
      <c r="J751" s="138">
        <f t="shared" si="329"/>
        <v>0</v>
      </c>
      <c r="K751" s="138">
        <f t="shared" si="329"/>
        <v>0</v>
      </c>
      <c r="L751" s="138">
        <f t="shared" si="329"/>
        <v>0</v>
      </c>
      <c r="M751" s="80">
        <f t="shared" si="329"/>
        <v>0</v>
      </c>
      <c r="N751" s="81" t="str">
        <f t="shared" si="327"/>
        <v>-</v>
      </c>
      <c r="O751" s="431"/>
    </row>
    <row r="752" spans="1:15" s="95" customFormat="1" ht="11.1" customHeight="1" outlineLevel="1" x14ac:dyDescent="0.2">
      <c r="A752" s="117"/>
      <c r="B752" s="76" t="s">
        <v>12</v>
      </c>
      <c r="C752" s="82" t="s">
        <v>214</v>
      </c>
      <c r="D752" s="108"/>
      <c r="E752" s="410"/>
      <c r="F752" s="79" t="s">
        <v>22</v>
      </c>
      <c r="G752" s="138">
        <f t="shared" si="328"/>
        <v>2639777</v>
      </c>
      <c r="H752" s="138">
        <f t="shared" si="328"/>
        <v>2639777</v>
      </c>
      <c r="I752" s="81">
        <f t="shared" si="326"/>
        <v>100</v>
      </c>
      <c r="J752" s="138">
        <f t="shared" si="329"/>
        <v>0</v>
      </c>
      <c r="K752" s="138">
        <f t="shared" si="329"/>
        <v>0</v>
      </c>
      <c r="L752" s="138">
        <f t="shared" si="329"/>
        <v>0</v>
      </c>
      <c r="M752" s="80">
        <f t="shared" si="329"/>
        <v>0</v>
      </c>
      <c r="N752" s="81" t="str">
        <f t="shared" si="327"/>
        <v>-</v>
      </c>
      <c r="O752" s="431"/>
    </row>
    <row r="753" spans="1:15" s="95" customFormat="1" ht="11.1" customHeight="1" outlineLevel="1" x14ac:dyDescent="0.2">
      <c r="A753" s="117"/>
      <c r="B753" s="76" t="s">
        <v>23</v>
      </c>
      <c r="C753" s="82" t="s">
        <v>131</v>
      </c>
      <c r="D753" s="108"/>
      <c r="E753" s="90"/>
      <c r="F753" s="79" t="s">
        <v>45</v>
      </c>
      <c r="G753" s="138">
        <f t="shared" si="328"/>
        <v>216768</v>
      </c>
      <c r="H753" s="138">
        <f t="shared" si="328"/>
        <v>216768</v>
      </c>
      <c r="I753" s="81">
        <f t="shared" si="326"/>
        <v>100</v>
      </c>
      <c r="J753" s="138">
        <f t="shared" si="329"/>
        <v>0</v>
      </c>
      <c r="K753" s="138">
        <f t="shared" si="329"/>
        <v>6690</v>
      </c>
      <c r="L753" s="138">
        <f t="shared" si="329"/>
        <v>6690</v>
      </c>
      <c r="M753" s="80">
        <f t="shared" si="329"/>
        <v>6690</v>
      </c>
      <c r="N753" s="81">
        <f t="shared" si="327"/>
        <v>100</v>
      </c>
      <c r="O753" s="431"/>
    </row>
    <row r="754" spans="1:15" s="95" customFormat="1" ht="11.1" customHeight="1" outlineLevel="1" x14ac:dyDescent="0.2">
      <c r="A754" s="117"/>
      <c r="B754" s="76"/>
      <c r="C754" s="82"/>
      <c r="D754" s="108"/>
      <c r="E754" s="90"/>
      <c r="F754" s="79" t="s">
        <v>359</v>
      </c>
      <c r="G754" s="138">
        <f t="shared" si="328"/>
        <v>1083267</v>
      </c>
      <c r="H754" s="138">
        <f t="shared" si="328"/>
        <v>1083267</v>
      </c>
      <c r="I754" s="81">
        <f t="shared" si="326"/>
        <v>100</v>
      </c>
      <c r="J754" s="138">
        <f t="shared" si="329"/>
        <v>0</v>
      </c>
      <c r="K754" s="138">
        <f t="shared" si="329"/>
        <v>0</v>
      </c>
      <c r="L754" s="138">
        <f t="shared" si="329"/>
        <v>0</v>
      </c>
      <c r="M754" s="80">
        <f t="shared" si="329"/>
        <v>0</v>
      </c>
      <c r="N754" s="81" t="str">
        <f t="shared" si="327"/>
        <v>-</v>
      </c>
      <c r="O754" s="431"/>
    </row>
    <row r="755" spans="1:15" s="95" customFormat="1" ht="10.5" customHeight="1" outlineLevel="1" x14ac:dyDescent="0.2">
      <c r="A755" s="117"/>
      <c r="B755" s="76"/>
      <c r="C755" s="82"/>
      <c r="D755" s="108"/>
      <c r="E755" s="90"/>
      <c r="F755" s="106"/>
      <c r="G755" s="139"/>
      <c r="H755" s="139"/>
      <c r="I755" s="81"/>
      <c r="J755" s="139"/>
      <c r="K755" s="139"/>
      <c r="L755" s="138"/>
      <c r="M755" s="89"/>
      <c r="N755" s="81"/>
      <c r="O755" s="431"/>
    </row>
    <row r="756" spans="1:15" s="115" customFormat="1" ht="11.1" customHeight="1" outlineLevel="1" x14ac:dyDescent="0.2">
      <c r="A756" s="117"/>
      <c r="B756" s="109"/>
      <c r="C756" s="110"/>
      <c r="D756" s="111"/>
      <c r="E756" s="425" t="s">
        <v>132</v>
      </c>
      <c r="F756" s="112" t="s">
        <v>15</v>
      </c>
      <c r="G756" s="142">
        <v>0</v>
      </c>
      <c r="H756" s="142">
        <f>ROUNDUP(0+M756,0)</f>
        <v>0</v>
      </c>
      <c r="I756" s="81" t="str">
        <f t="shared" ref="I756:I761" si="330">IF(G756&gt;0,H756/G756*100,"-")</f>
        <v>-</v>
      </c>
      <c r="J756" s="142">
        <v>0</v>
      </c>
      <c r="K756" s="142">
        <f t="shared" ref="K756:K761" si="331">L756-J756</f>
        <v>0</v>
      </c>
      <c r="L756" s="142">
        <v>0</v>
      </c>
      <c r="M756" s="113">
        <v>0</v>
      </c>
      <c r="N756" s="81" t="str">
        <f t="shared" ref="N756:N761" si="332">IF(L756&gt;0,M756/L756*100,"-")</f>
        <v>-</v>
      </c>
      <c r="O756" s="431"/>
    </row>
    <row r="757" spans="1:15" s="115" customFormat="1" ht="11.1" customHeight="1" outlineLevel="1" x14ac:dyDescent="0.2">
      <c r="A757" s="117"/>
      <c r="B757" s="109"/>
      <c r="C757" s="110"/>
      <c r="D757" s="111"/>
      <c r="E757" s="425"/>
      <c r="F757" s="112" t="s">
        <v>7</v>
      </c>
      <c r="G757" s="242">
        <v>14526459</v>
      </c>
      <c r="H757" s="142">
        <f>ROUNDUP(14526459+M757,0)</f>
        <v>14526459</v>
      </c>
      <c r="I757" s="81">
        <f t="shared" si="330"/>
        <v>100</v>
      </c>
      <c r="J757" s="142">
        <v>0</v>
      </c>
      <c r="K757" s="142">
        <f t="shared" si="331"/>
        <v>0</v>
      </c>
      <c r="L757" s="142">
        <v>0</v>
      </c>
      <c r="M757" s="113">
        <v>0</v>
      </c>
      <c r="N757" s="81" t="str">
        <f t="shared" si="332"/>
        <v>-</v>
      </c>
      <c r="O757" s="431"/>
    </row>
    <row r="758" spans="1:15" s="115" customFormat="1" ht="11.1" customHeight="1" outlineLevel="1" x14ac:dyDescent="0.2">
      <c r="A758" s="117"/>
      <c r="B758" s="109"/>
      <c r="C758" s="110"/>
      <c r="D758" s="111"/>
      <c r="E758" s="425"/>
      <c r="F758" s="112" t="s">
        <v>8</v>
      </c>
      <c r="G758" s="242">
        <v>3015874</v>
      </c>
      <c r="H758" s="142">
        <f>ROUNDUP(3015874+M758,0)</f>
        <v>3015874</v>
      </c>
      <c r="I758" s="81">
        <f t="shared" si="330"/>
        <v>100</v>
      </c>
      <c r="J758" s="142">
        <v>0</v>
      </c>
      <c r="K758" s="142">
        <f t="shared" si="331"/>
        <v>0</v>
      </c>
      <c r="L758" s="142">
        <v>0</v>
      </c>
      <c r="M758" s="113">
        <v>0</v>
      </c>
      <c r="N758" s="81" t="str">
        <f t="shared" si="332"/>
        <v>-</v>
      </c>
      <c r="O758" s="431"/>
    </row>
    <row r="759" spans="1:15" s="115" customFormat="1" ht="11.1" customHeight="1" outlineLevel="1" x14ac:dyDescent="0.2">
      <c r="A759" s="117"/>
      <c r="B759" s="109"/>
      <c r="C759" s="110"/>
      <c r="D759" s="111"/>
      <c r="E759" s="189"/>
      <c r="F759" s="112" t="s">
        <v>22</v>
      </c>
      <c r="G759" s="242">
        <v>2563494</v>
      </c>
      <c r="H759" s="142">
        <f>ROUNDUP(2563494+M759,0)</f>
        <v>2563494</v>
      </c>
      <c r="I759" s="81">
        <f t="shared" si="330"/>
        <v>100</v>
      </c>
      <c r="J759" s="142">
        <v>0</v>
      </c>
      <c r="K759" s="142">
        <f t="shared" si="331"/>
        <v>0</v>
      </c>
      <c r="L759" s="142">
        <v>0</v>
      </c>
      <c r="M759" s="113">
        <v>0</v>
      </c>
      <c r="N759" s="81" t="str">
        <f t="shared" si="332"/>
        <v>-</v>
      </c>
      <c r="O759" s="431"/>
    </row>
    <row r="760" spans="1:15" s="115" customFormat="1" ht="11.1" customHeight="1" outlineLevel="1" x14ac:dyDescent="0.2">
      <c r="A760" s="117"/>
      <c r="B760" s="109"/>
      <c r="C760" s="110"/>
      <c r="D760" s="111"/>
      <c r="E760" s="189"/>
      <c r="F760" s="112" t="s">
        <v>45</v>
      </c>
      <c r="G760" s="242">
        <v>210078</v>
      </c>
      <c r="H760" s="142">
        <f>ROUNDUP(210078+M760,0)</f>
        <v>210078</v>
      </c>
      <c r="I760" s="81">
        <f t="shared" si="330"/>
        <v>100</v>
      </c>
      <c r="J760" s="142">
        <v>0</v>
      </c>
      <c r="K760" s="142">
        <f t="shared" si="331"/>
        <v>0</v>
      </c>
      <c r="L760" s="142">
        <v>0</v>
      </c>
      <c r="M760" s="113">
        <v>0</v>
      </c>
      <c r="N760" s="81" t="str">
        <f t="shared" si="332"/>
        <v>-</v>
      </c>
      <c r="O760" s="431"/>
    </row>
    <row r="761" spans="1:15" s="115" customFormat="1" ht="11.1" customHeight="1" outlineLevel="1" x14ac:dyDescent="0.2">
      <c r="A761" s="117"/>
      <c r="B761" s="109"/>
      <c r="C761" s="110"/>
      <c r="D761" s="111"/>
      <c r="E761" s="189"/>
      <c r="F761" s="112" t="s">
        <v>359</v>
      </c>
      <c r="G761" s="142">
        <v>1083267</v>
      </c>
      <c r="H761" s="142">
        <f>ROUNDUP(1083267+M761,0)</f>
        <v>1083267</v>
      </c>
      <c r="I761" s="81">
        <f t="shared" si="330"/>
        <v>100</v>
      </c>
      <c r="J761" s="142">
        <v>0</v>
      </c>
      <c r="K761" s="142">
        <f t="shared" si="331"/>
        <v>0</v>
      </c>
      <c r="L761" s="142">
        <v>0</v>
      </c>
      <c r="M761" s="113">
        <v>0</v>
      </c>
      <c r="N761" s="81" t="str">
        <f t="shared" si="332"/>
        <v>-</v>
      </c>
      <c r="O761" s="431"/>
    </row>
    <row r="762" spans="1:15" s="115" customFormat="1" ht="3.95" customHeight="1" outlineLevel="1" x14ac:dyDescent="0.2">
      <c r="A762" s="117"/>
      <c r="B762" s="109"/>
      <c r="C762" s="110"/>
      <c r="D762" s="285"/>
      <c r="E762" s="189"/>
      <c r="F762" s="116"/>
      <c r="G762" s="142"/>
      <c r="H762" s="142"/>
      <c r="I762" s="81"/>
      <c r="J762" s="142"/>
      <c r="K762" s="142"/>
      <c r="L762" s="143"/>
      <c r="M762" s="114"/>
      <c r="N762" s="81"/>
      <c r="O762" s="431"/>
    </row>
    <row r="763" spans="1:15" s="115" customFormat="1" ht="3.95" customHeight="1" outlineLevel="1" x14ac:dyDescent="0.2">
      <c r="A763" s="117"/>
      <c r="B763" s="109"/>
      <c r="C763" s="110"/>
      <c r="D763" s="111"/>
      <c r="E763" s="111"/>
      <c r="F763" s="116"/>
      <c r="G763" s="142"/>
      <c r="H763" s="142"/>
      <c r="I763" s="81"/>
      <c r="J763" s="142"/>
      <c r="K763" s="142"/>
      <c r="L763" s="143"/>
      <c r="M763" s="114"/>
      <c r="N763" s="81"/>
      <c r="O763" s="431"/>
    </row>
    <row r="764" spans="1:15" s="115" customFormat="1" ht="11.1" customHeight="1" outlineLevel="1" x14ac:dyDescent="0.2">
      <c r="A764" s="117"/>
      <c r="B764" s="109"/>
      <c r="C764" s="110"/>
      <c r="D764" s="111"/>
      <c r="E764" s="425" t="s">
        <v>52</v>
      </c>
      <c r="F764" s="112" t="s">
        <v>15</v>
      </c>
      <c r="G764" s="142">
        <f>746435-6690</f>
        <v>739745</v>
      </c>
      <c r="H764" s="142">
        <f>ROUNDUP(739745+M764,0)</f>
        <v>739745</v>
      </c>
      <c r="I764" s="81">
        <f t="shared" ref="I764:I769" si="333">IF(G764&gt;0,H764/G764*100,"-")</f>
        <v>100</v>
      </c>
      <c r="J764" s="142">
        <v>0</v>
      </c>
      <c r="K764" s="142">
        <f t="shared" ref="K764:K769" si="334">L764-J764</f>
        <v>0</v>
      </c>
      <c r="L764" s="142">
        <v>0</v>
      </c>
      <c r="M764" s="113">
        <v>0</v>
      </c>
      <c r="N764" s="81" t="str">
        <f t="shared" ref="N764:N769" si="335">IF(L764&gt;0,M764/L764*100,"-")</f>
        <v>-</v>
      </c>
      <c r="O764" s="431"/>
    </row>
    <row r="765" spans="1:15" s="115" customFormat="1" ht="11.1" customHeight="1" outlineLevel="1" x14ac:dyDescent="0.2">
      <c r="A765" s="117"/>
      <c r="B765" s="109"/>
      <c r="C765" s="110"/>
      <c r="D765" s="111"/>
      <c r="E765" s="425"/>
      <c r="F765" s="112" t="s">
        <v>7</v>
      </c>
      <c r="G765" s="142">
        <v>432272</v>
      </c>
      <c r="H765" s="142">
        <f>ROUNDUP(432272+M765,0)</f>
        <v>432272</v>
      </c>
      <c r="I765" s="81">
        <f t="shared" si="333"/>
        <v>100</v>
      </c>
      <c r="J765" s="142">
        <v>0</v>
      </c>
      <c r="K765" s="142">
        <f t="shared" si="334"/>
        <v>0</v>
      </c>
      <c r="L765" s="142">
        <v>0</v>
      </c>
      <c r="M765" s="113">
        <v>0</v>
      </c>
      <c r="N765" s="81" t="str">
        <f t="shared" si="335"/>
        <v>-</v>
      </c>
      <c r="O765" s="431"/>
    </row>
    <row r="766" spans="1:15" s="115" customFormat="1" ht="11.1" customHeight="1" outlineLevel="1" x14ac:dyDescent="0.2">
      <c r="A766" s="117"/>
      <c r="B766" s="109"/>
      <c r="C766" s="110"/>
      <c r="D766" s="111"/>
      <c r="E766" s="425"/>
      <c r="F766" s="112" t="s">
        <v>8</v>
      </c>
      <c r="G766" s="142">
        <v>500000</v>
      </c>
      <c r="H766" s="142">
        <f>ROUNDUP(500000+M766,0)</f>
        <v>500000</v>
      </c>
      <c r="I766" s="81">
        <f t="shared" si="333"/>
        <v>100</v>
      </c>
      <c r="J766" s="142">
        <v>0</v>
      </c>
      <c r="K766" s="142">
        <f t="shared" si="334"/>
        <v>0</v>
      </c>
      <c r="L766" s="142">
        <v>0</v>
      </c>
      <c r="M766" s="113">
        <v>0</v>
      </c>
      <c r="N766" s="81" t="str">
        <f t="shared" si="335"/>
        <v>-</v>
      </c>
      <c r="O766" s="431"/>
    </row>
    <row r="767" spans="1:15" s="115" customFormat="1" ht="11.1" customHeight="1" outlineLevel="1" x14ac:dyDescent="0.2">
      <c r="A767" s="117"/>
      <c r="B767" s="109"/>
      <c r="C767" s="110"/>
      <c r="D767" s="111"/>
      <c r="E767" s="189"/>
      <c r="F767" s="112" t="s">
        <v>22</v>
      </c>
      <c r="G767" s="142">
        <v>76283</v>
      </c>
      <c r="H767" s="142">
        <f>ROUNDUP(76283+M767,0)</f>
        <v>76283</v>
      </c>
      <c r="I767" s="81">
        <f t="shared" si="333"/>
        <v>100</v>
      </c>
      <c r="J767" s="142">
        <v>0</v>
      </c>
      <c r="K767" s="142">
        <f t="shared" si="334"/>
        <v>0</v>
      </c>
      <c r="L767" s="142">
        <v>0</v>
      </c>
      <c r="M767" s="113">
        <v>0</v>
      </c>
      <c r="N767" s="81" t="str">
        <f t="shared" si="335"/>
        <v>-</v>
      </c>
      <c r="O767" s="431"/>
    </row>
    <row r="768" spans="1:15" s="115" customFormat="1" ht="11.1" customHeight="1" outlineLevel="1" x14ac:dyDescent="0.2">
      <c r="A768" s="117"/>
      <c r="B768" s="109"/>
      <c r="C768" s="110"/>
      <c r="D768" s="111"/>
      <c r="E768" s="189"/>
      <c r="F768" s="112" t="s">
        <v>45</v>
      </c>
      <c r="G768" s="142">
        <v>6690</v>
      </c>
      <c r="H768" s="142">
        <f>ROUNDUP(0+M768,0)</f>
        <v>6690</v>
      </c>
      <c r="I768" s="81">
        <f t="shared" si="333"/>
        <v>100</v>
      </c>
      <c r="J768" s="142">
        <v>0</v>
      </c>
      <c r="K768" s="142">
        <f t="shared" si="334"/>
        <v>6690</v>
      </c>
      <c r="L768" s="142">
        <v>6690</v>
      </c>
      <c r="M768" s="113">
        <v>6690</v>
      </c>
      <c r="N768" s="81">
        <f t="shared" si="335"/>
        <v>100</v>
      </c>
      <c r="O768" s="431"/>
    </row>
    <row r="769" spans="1:15" s="115" customFormat="1" ht="11.1" customHeight="1" outlineLevel="1" x14ac:dyDescent="0.2">
      <c r="A769" s="117"/>
      <c r="B769" s="109"/>
      <c r="C769" s="110"/>
      <c r="D769" s="111"/>
      <c r="E769" s="189"/>
      <c r="F769" s="112" t="s">
        <v>359</v>
      </c>
      <c r="G769" s="142">
        <v>0</v>
      </c>
      <c r="H769" s="142">
        <f>ROUNDUP(0+M769,0)</f>
        <v>0</v>
      </c>
      <c r="I769" s="81" t="str">
        <f t="shared" si="333"/>
        <v>-</v>
      </c>
      <c r="J769" s="142">
        <v>0</v>
      </c>
      <c r="K769" s="142">
        <f t="shared" si="334"/>
        <v>0</v>
      </c>
      <c r="L769" s="142">
        <v>0</v>
      </c>
      <c r="M769" s="113">
        <v>0</v>
      </c>
      <c r="N769" s="81" t="str">
        <f t="shared" si="335"/>
        <v>-</v>
      </c>
      <c r="O769" s="431"/>
    </row>
    <row r="770" spans="1:15" s="95" customFormat="1" ht="3.95" customHeight="1" outlineLevel="1" x14ac:dyDescent="0.2">
      <c r="A770" s="118"/>
      <c r="B770" s="85"/>
      <c r="C770" s="86"/>
      <c r="D770" s="84"/>
      <c r="E770" s="84"/>
      <c r="F770" s="85"/>
      <c r="G770" s="140"/>
      <c r="H770" s="140"/>
      <c r="I770" s="88"/>
      <c r="J770" s="140"/>
      <c r="K770" s="140"/>
      <c r="L770" s="141"/>
      <c r="M770" s="87"/>
      <c r="N770" s="88"/>
      <c r="O770" s="432"/>
    </row>
    <row r="771" spans="1:15" ht="3.95" customHeight="1" x14ac:dyDescent="0.2">
      <c r="A771" s="59"/>
      <c r="B771" s="60"/>
      <c r="C771" s="61"/>
      <c r="D771" s="62"/>
      <c r="E771" s="62"/>
      <c r="F771" s="59"/>
      <c r="G771" s="131"/>
      <c r="H771" s="131"/>
      <c r="I771" s="59"/>
      <c r="J771" s="131"/>
      <c r="K771" s="131"/>
      <c r="L771" s="131"/>
      <c r="M771" s="63"/>
      <c r="N771" s="64"/>
      <c r="O771" s="320"/>
    </row>
    <row r="772" spans="1:15" ht="11.45" customHeight="1" x14ac:dyDescent="0.2">
      <c r="A772" s="28" t="s">
        <v>59</v>
      </c>
      <c r="B772" s="413" t="s">
        <v>48</v>
      </c>
      <c r="C772" s="414"/>
      <c r="D772" s="29"/>
      <c r="E772" s="29"/>
      <c r="F772" s="30"/>
      <c r="G772" s="132">
        <f>SUM(G773:G778)</f>
        <v>154296283</v>
      </c>
      <c r="H772" s="132">
        <f>SUM(H773:H778)</f>
        <v>72305527</v>
      </c>
      <c r="I772" s="32">
        <f>IF(G772&gt;0,H772/G772*100,"-")</f>
        <v>46.861483370924759</v>
      </c>
      <c r="J772" s="132">
        <f>SUM(J773:J778)</f>
        <v>0</v>
      </c>
      <c r="K772" s="132">
        <f>SUM(K773:K778)</f>
        <v>3401108</v>
      </c>
      <c r="L772" s="132">
        <f>SUM(L773:L778)</f>
        <v>3401108</v>
      </c>
      <c r="M772" s="31">
        <f>SUM(M773:M778)</f>
        <v>179649.8</v>
      </c>
      <c r="N772" s="32">
        <f t="shared" ref="N772:N778" si="336">IF(L772&gt;0,M772/L772*100,"-")</f>
        <v>5.2820963050864593</v>
      </c>
      <c r="O772" s="321"/>
    </row>
    <row r="773" spans="1:15" ht="11.45" customHeight="1" x14ac:dyDescent="0.2">
      <c r="A773" s="30"/>
      <c r="B773" s="33"/>
      <c r="C773" s="34"/>
      <c r="D773" s="29"/>
      <c r="E773" s="29"/>
      <c r="F773" s="35" t="s">
        <v>15</v>
      </c>
      <c r="G773" s="133">
        <f>G782+G792</f>
        <v>19442346</v>
      </c>
      <c r="H773" s="133">
        <f>H782+H792</f>
        <v>4268465</v>
      </c>
      <c r="I773" s="37">
        <f t="shared" ref="I773:I778" si="337">IF(G773&gt;0,H773/G773*100,"-")</f>
        <v>21.954475041232165</v>
      </c>
      <c r="J773" s="133">
        <f>J782+J792</f>
        <v>0</v>
      </c>
      <c r="K773" s="133">
        <f>K782+K792</f>
        <v>765407</v>
      </c>
      <c r="L773" s="133">
        <f>L782+L792</f>
        <v>765407</v>
      </c>
      <c r="M773" s="36">
        <f>M782+M792</f>
        <v>179649.8</v>
      </c>
      <c r="N773" s="37">
        <f t="shared" si="336"/>
        <v>23.471146723246587</v>
      </c>
      <c r="O773" s="321"/>
    </row>
    <row r="774" spans="1:15" ht="11.45" customHeight="1" x14ac:dyDescent="0.2">
      <c r="A774" s="30"/>
      <c r="B774" s="33"/>
      <c r="C774" s="34"/>
      <c r="D774" s="29"/>
      <c r="E774" s="29"/>
      <c r="F774" s="35" t="s">
        <v>7</v>
      </c>
      <c r="G774" s="133">
        <f t="shared" ref="G774:H778" si="338">G783+G793</f>
        <v>121312363</v>
      </c>
      <c r="H774" s="133">
        <f t="shared" si="338"/>
        <v>54495488</v>
      </c>
      <c r="I774" s="37">
        <f t="shared" si="337"/>
        <v>44.921627649772184</v>
      </c>
      <c r="J774" s="133">
        <f t="shared" ref="J774:M774" si="339">J783+J793</f>
        <v>0</v>
      </c>
      <c r="K774" s="133">
        <f t="shared" si="339"/>
        <v>2635701</v>
      </c>
      <c r="L774" s="133">
        <f t="shared" si="339"/>
        <v>2635701</v>
      </c>
      <c r="M774" s="36">
        <f t="shared" si="339"/>
        <v>0</v>
      </c>
      <c r="N774" s="37">
        <f t="shared" si="336"/>
        <v>0</v>
      </c>
      <c r="O774" s="321"/>
    </row>
    <row r="775" spans="1:15" ht="11.45" customHeight="1" x14ac:dyDescent="0.2">
      <c r="A775" s="30"/>
      <c r="B775" s="33"/>
      <c r="C775" s="34"/>
      <c r="D775" s="29"/>
      <c r="E775" s="29"/>
      <c r="F775" s="35" t="s">
        <v>8</v>
      </c>
      <c r="G775" s="133">
        <f t="shared" si="338"/>
        <v>12362168</v>
      </c>
      <c r="H775" s="133">
        <f t="shared" si="338"/>
        <v>12362168</v>
      </c>
      <c r="I775" s="37">
        <f t="shared" si="337"/>
        <v>100</v>
      </c>
      <c r="J775" s="133">
        <f t="shared" ref="J775:M775" si="340">J784+J794</f>
        <v>0</v>
      </c>
      <c r="K775" s="133">
        <f t="shared" si="340"/>
        <v>0</v>
      </c>
      <c r="L775" s="133">
        <f t="shared" si="340"/>
        <v>0</v>
      </c>
      <c r="M775" s="36">
        <f t="shared" si="340"/>
        <v>0</v>
      </c>
      <c r="N775" s="37" t="str">
        <f t="shared" si="336"/>
        <v>-</v>
      </c>
      <c r="O775" s="321"/>
    </row>
    <row r="776" spans="1:15" ht="11.45" customHeight="1" x14ac:dyDescent="0.2">
      <c r="A776" s="30"/>
      <c r="B776" s="33"/>
      <c r="C776" s="34"/>
      <c r="D776" s="29"/>
      <c r="E776" s="29"/>
      <c r="F776" s="35" t="s">
        <v>22</v>
      </c>
      <c r="G776" s="133">
        <f t="shared" si="338"/>
        <v>494272</v>
      </c>
      <c r="H776" s="133">
        <f t="shared" si="338"/>
        <v>494272</v>
      </c>
      <c r="I776" s="37">
        <f t="shared" si="337"/>
        <v>100</v>
      </c>
      <c r="J776" s="133">
        <f t="shared" ref="J776:M776" si="341">J785+J795</f>
        <v>0</v>
      </c>
      <c r="K776" s="133">
        <f t="shared" si="341"/>
        <v>0</v>
      </c>
      <c r="L776" s="133">
        <f t="shared" si="341"/>
        <v>0</v>
      </c>
      <c r="M776" s="36">
        <f t="shared" si="341"/>
        <v>0</v>
      </c>
      <c r="N776" s="37" t="str">
        <f t="shared" si="336"/>
        <v>-</v>
      </c>
      <c r="O776" s="321"/>
    </row>
    <row r="777" spans="1:15" ht="11.45" customHeight="1" x14ac:dyDescent="0.2">
      <c r="A777" s="30"/>
      <c r="B777" s="33"/>
      <c r="C777" s="34"/>
      <c r="D777" s="29"/>
      <c r="E777" s="29"/>
      <c r="F777" s="35" t="s">
        <v>45</v>
      </c>
      <c r="G777" s="133">
        <f t="shared" si="338"/>
        <v>685134</v>
      </c>
      <c r="H777" s="133">
        <f t="shared" si="338"/>
        <v>685134</v>
      </c>
      <c r="I777" s="37">
        <f t="shared" si="337"/>
        <v>100</v>
      </c>
      <c r="J777" s="133">
        <f t="shared" ref="J777:M777" si="342">J786+J796</f>
        <v>0</v>
      </c>
      <c r="K777" s="133">
        <f t="shared" si="342"/>
        <v>0</v>
      </c>
      <c r="L777" s="133">
        <f t="shared" si="342"/>
        <v>0</v>
      </c>
      <c r="M777" s="36">
        <f t="shared" si="342"/>
        <v>0</v>
      </c>
      <c r="N777" s="37" t="str">
        <f t="shared" si="336"/>
        <v>-</v>
      </c>
      <c r="O777" s="321"/>
    </row>
    <row r="778" spans="1:15" ht="11.45" customHeight="1" x14ac:dyDescent="0.2">
      <c r="A778" s="30"/>
      <c r="B778" s="33"/>
      <c r="C778" s="34"/>
      <c r="D778" s="29"/>
      <c r="E778" s="29"/>
      <c r="F778" s="35" t="s">
        <v>359</v>
      </c>
      <c r="G778" s="133">
        <f t="shared" si="338"/>
        <v>0</v>
      </c>
      <c r="H778" s="133">
        <f t="shared" si="338"/>
        <v>0</v>
      </c>
      <c r="I778" s="37" t="str">
        <f t="shared" si="337"/>
        <v>-</v>
      </c>
      <c r="J778" s="133">
        <f t="shared" ref="J778:M778" si="343">J787+J797</f>
        <v>0</v>
      </c>
      <c r="K778" s="133">
        <f t="shared" si="343"/>
        <v>0</v>
      </c>
      <c r="L778" s="133">
        <f t="shared" si="343"/>
        <v>0</v>
      </c>
      <c r="M778" s="36">
        <f t="shared" si="343"/>
        <v>0</v>
      </c>
      <c r="N778" s="37" t="str">
        <f t="shared" si="336"/>
        <v>-</v>
      </c>
      <c r="O778" s="321"/>
    </row>
    <row r="779" spans="1:15" ht="3.2" customHeight="1" x14ac:dyDescent="0.2">
      <c r="A779" s="65"/>
      <c r="B779" s="66"/>
      <c r="C779" s="67"/>
      <c r="D779" s="68"/>
      <c r="E779" s="68"/>
      <c r="F779" s="65"/>
      <c r="G779" s="134"/>
      <c r="H779" s="134"/>
      <c r="I779" s="70"/>
      <c r="J779" s="134"/>
      <c r="K779" s="134"/>
      <c r="L779" s="134"/>
      <c r="M779" s="69"/>
      <c r="N779" s="70"/>
      <c r="O779" s="322"/>
    </row>
    <row r="780" spans="1:15" s="95" customFormat="1" ht="3.2" customHeight="1" outlineLevel="1" x14ac:dyDescent="0.2">
      <c r="A780" s="152"/>
      <c r="B780" s="72"/>
      <c r="C780" s="73"/>
      <c r="D780" s="71"/>
      <c r="E780" s="71"/>
      <c r="F780" s="72"/>
      <c r="G780" s="135"/>
      <c r="H780" s="135"/>
      <c r="I780" s="75"/>
      <c r="J780" s="135"/>
      <c r="K780" s="135"/>
      <c r="L780" s="136"/>
      <c r="M780" s="74"/>
      <c r="N780" s="75"/>
      <c r="O780" s="408" t="s">
        <v>608</v>
      </c>
    </row>
    <row r="781" spans="1:15" s="95" customFormat="1" ht="11.1" customHeight="1" outlineLevel="1" x14ac:dyDescent="0.2">
      <c r="A781" s="409" t="s">
        <v>61</v>
      </c>
      <c r="B781" s="76" t="s">
        <v>9</v>
      </c>
      <c r="C781" s="77" t="s">
        <v>90</v>
      </c>
      <c r="D781" s="410" t="s">
        <v>334</v>
      </c>
      <c r="E781" s="410" t="s">
        <v>52</v>
      </c>
      <c r="F781" s="78" t="s">
        <v>28</v>
      </c>
      <c r="G781" s="241">
        <f>SUM(G782:G787)</f>
        <v>72305877</v>
      </c>
      <c r="H781" s="241">
        <f>SUM(H782:H787)</f>
        <v>72305527</v>
      </c>
      <c r="I781" s="39">
        <f t="shared" ref="I781:I787" si="344">IF(G781&gt;0,H781/G781*100,"-")</f>
        <v>99.999515945294462</v>
      </c>
      <c r="J781" s="137">
        <f>SUM(J782:J787)</f>
        <v>0</v>
      </c>
      <c r="K781" s="137">
        <f>SUM(K782:K787)</f>
        <v>180000</v>
      </c>
      <c r="L781" s="137">
        <f>SUM(L782:L787)</f>
        <v>180000</v>
      </c>
      <c r="M781" s="38">
        <f>SUM(M782:M787)</f>
        <v>179649.8</v>
      </c>
      <c r="N781" s="39">
        <f t="shared" ref="N781:N787" si="345">IF(L781&gt;0,M781/L781*100,"-")</f>
        <v>99.805444444444433</v>
      </c>
      <c r="O781" s="406"/>
    </row>
    <row r="782" spans="1:15" s="95" customFormat="1" ht="11.1" customHeight="1" outlineLevel="1" x14ac:dyDescent="0.2">
      <c r="A782" s="409"/>
      <c r="B782" s="76" t="s">
        <v>10</v>
      </c>
      <c r="C782" s="77" t="s">
        <v>133</v>
      </c>
      <c r="D782" s="410"/>
      <c r="E782" s="410"/>
      <c r="F782" s="79" t="s">
        <v>15</v>
      </c>
      <c r="G782" s="138">
        <v>4268815</v>
      </c>
      <c r="H782" s="138">
        <f>ROUNDUP(4088815+M782,0)</f>
        <v>4268465</v>
      </c>
      <c r="I782" s="81">
        <f t="shared" si="344"/>
        <v>99.991801003322934</v>
      </c>
      <c r="J782" s="138">
        <v>0</v>
      </c>
      <c r="K782" s="138">
        <f t="shared" ref="K782:K787" si="346">L782-J782</f>
        <v>180000</v>
      </c>
      <c r="L782" s="138">
        <v>180000</v>
      </c>
      <c r="M782" s="80">
        <v>179649.8</v>
      </c>
      <c r="N782" s="81">
        <f t="shared" si="345"/>
        <v>99.805444444444433</v>
      </c>
      <c r="O782" s="406"/>
    </row>
    <row r="783" spans="1:15" s="95" customFormat="1" ht="11.1" customHeight="1" outlineLevel="1" x14ac:dyDescent="0.2">
      <c r="A783" s="409"/>
      <c r="B783" s="76" t="s">
        <v>11</v>
      </c>
      <c r="C783" s="82" t="s">
        <v>134</v>
      </c>
      <c r="D783" s="410"/>
      <c r="E783" s="410"/>
      <c r="F783" s="79" t="s">
        <v>7</v>
      </c>
      <c r="G783" s="138">
        <v>54495488</v>
      </c>
      <c r="H783" s="138">
        <f>ROUNDUP(54495488+M783,0)</f>
        <v>54495488</v>
      </c>
      <c r="I783" s="81">
        <f t="shared" si="344"/>
        <v>100</v>
      </c>
      <c r="J783" s="138">
        <v>0</v>
      </c>
      <c r="K783" s="138">
        <f t="shared" si="346"/>
        <v>0</v>
      </c>
      <c r="L783" s="138">
        <v>0</v>
      </c>
      <c r="M783" s="80">
        <v>0</v>
      </c>
      <c r="N783" s="81" t="str">
        <f t="shared" si="345"/>
        <v>-</v>
      </c>
      <c r="O783" s="406"/>
    </row>
    <row r="784" spans="1:15" s="95" customFormat="1" ht="11.1" customHeight="1" outlineLevel="1" x14ac:dyDescent="0.2">
      <c r="A784" s="117"/>
      <c r="B784" s="76" t="s">
        <v>12</v>
      </c>
      <c r="C784" s="82" t="s">
        <v>191</v>
      </c>
      <c r="D784" s="108"/>
      <c r="E784" s="108"/>
      <c r="F784" s="79" t="s">
        <v>8</v>
      </c>
      <c r="G784" s="138">
        <v>12362168</v>
      </c>
      <c r="H784" s="138">
        <f>ROUNDUP(12362168+M784,0)</f>
        <v>12362168</v>
      </c>
      <c r="I784" s="81">
        <f t="shared" si="344"/>
        <v>100</v>
      </c>
      <c r="J784" s="138">
        <v>0</v>
      </c>
      <c r="K784" s="138">
        <f t="shared" si="346"/>
        <v>0</v>
      </c>
      <c r="L784" s="138">
        <v>0</v>
      </c>
      <c r="M784" s="80">
        <v>0</v>
      </c>
      <c r="N784" s="81" t="str">
        <f t="shared" si="345"/>
        <v>-</v>
      </c>
      <c r="O784" s="406"/>
    </row>
    <row r="785" spans="1:15" s="95" customFormat="1" ht="11.1" customHeight="1" outlineLevel="1" x14ac:dyDescent="0.2">
      <c r="A785" s="117"/>
      <c r="B785" s="76" t="s">
        <v>23</v>
      </c>
      <c r="C785" s="82" t="s">
        <v>135</v>
      </c>
      <c r="D785" s="108"/>
      <c r="E785" s="108"/>
      <c r="F785" s="79" t="s">
        <v>22</v>
      </c>
      <c r="G785" s="138">
        <v>494272</v>
      </c>
      <c r="H785" s="138">
        <f>ROUNDUP(494272+M785,0)</f>
        <v>494272</v>
      </c>
      <c r="I785" s="81">
        <f t="shared" si="344"/>
        <v>100</v>
      </c>
      <c r="J785" s="138">
        <v>0</v>
      </c>
      <c r="K785" s="138">
        <f t="shared" si="346"/>
        <v>0</v>
      </c>
      <c r="L785" s="138">
        <v>0</v>
      </c>
      <c r="M785" s="80">
        <v>0</v>
      </c>
      <c r="N785" s="81" t="str">
        <f t="shared" si="345"/>
        <v>-</v>
      </c>
      <c r="O785" s="406"/>
    </row>
    <row r="786" spans="1:15" s="95" customFormat="1" ht="11.1" customHeight="1" outlineLevel="1" x14ac:dyDescent="0.2">
      <c r="A786" s="117"/>
      <c r="B786" s="76"/>
      <c r="C786" s="82" t="s">
        <v>257</v>
      </c>
      <c r="D786" s="108"/>
      <c r="E786" s="108"/>
      <c r="F786" s="79" t="s">
        <v>45</v>
      </c>
      <c r="G786" s="139">
        <v>685134</v>
      </c>
      <c r="H786" s="138">
        <f>ROUNDUP(685134+M786,0)</f>
        <v>685134</v>
      </c>
      <c r="I786" s="81">
        <f t="shared" si="344"/>
        <v>100</v>
      </c>
      <c r="J786" s="138">
        <v>0</v>
      </c>
      <c r="K786" s="138">
        <f t="shared" si="346"/>
        <v>0</v>
      </c>
      <c r="L786" s="138">
        <v>0</v>
      </c>
      <c r="M786" s="80">
        <v>0</v>
      </c>
      <c r="N786" s="81" t="str">
        <f t="shared" si="345"/>
        <v>-</v>
      </c>
      <c r="O786" s="406"/>
    </row>
    <row r="787" spans="1:15" s="95" customFormat="1" ht="11.1" customHeight="1" outlineLevel="1" x14ac:dyDescent="0.2">
      <c r="A787" s="117"/>
      <c r="B787" s="76"/>
      <c r="C787" s="82"/>
      <c r="D787" s="108"/>
      <c r="E787" s="108"/>
      <c r="F787" s="79" t="s">
        <v>359</v>
      </c>
      <c r="G787" s="139">
        <v>0</v>
      </c>
      <c r="H787" s="138">
        <f>ROUNDUP(0+M787,0)</f>
        <v>0</v>
      </c>
      <c r="I787" s="81" t="str">
        <f t="shared" si="344"/>
        <v>-</v>
      </c>
      <c r="J787" s="138">
        <v>0</v>
      </c>
      <c r="K787" s="138">
        <f t="shared" si="346"/>
        <v>0</v>
      </c>
      <c r="L787" s="138">
        <v>0</v>
      </c>
      <c r="M787" s="80">
        <v>0</v>
      </c>
      <c r="N787" s="81" t="str">
        <f t="shared" si="345"/>
        <v>-</v>
      </c>
      <c r="O787" s="406"/>
    </row>
    <row r="788" spans="1:15" s="95" customFormat="1" ht="11.1" customHeight="1" outlineLevel="1" x14ac:dyDescent="0.2">
      <c r="A788" s="117"/>
      <c r="B788" s="76"/>
      <c r="C788" s="82"/>
      <c r="D788" s="108"/>
      <c r="E788" s="108"/>
      <c r="F788" s="106"/>
      <c r="G788" s="139"/>
      <c r="H788" s="139"/>
      <c r="I788" s="81"/>
      <c r="J788" s="139"/>
      <c r="K788" s="139"/>
      <c r="L788" s="138"/>
      <c r="M788" s="89"/>
      <c r="N788" s="81"/>
      <c r="O788" s="406"/>
    </row>
    <row r="789" spans="1:15" s="95" customFormat="1" ht="3.2" customHeight="1" outlineLevel="1" x14ac:dyDescent="0.2">
      <c r="A789" s="118"/>
      <c r="B789" s="85"/>
      <c r="C789" s="86"/>
      <c r="D789" s="84"/>
      <c r="E789" s="84"/>
      <c r="F789" s="85"/>
      <c r="G789" s="140"/>
      <c r="H789" s="140"/>
      <c r="I789" s="88"/>
      <c r="J789" s="140"/>
      <c r="K789" s="140"/>
      <c r="L789" s="141"/>
      <c r="M789" s="87"/>
      <c r="N789" s="88"/>
      <c r="O789" s="407"/>
    </row>
    <row r="790" spans="1:15" s="95" customFormat="1" ht="3.2" customHeight="1" outlineLevel="1" x14ac:dyDescent="0.2">
      <c r="A790" s="152"/>
      <c r="B790" s="72"/>
      <c r="C790" s="73"/>
      <c r="D790" s="71"/>
      <c r="E790" s="71"/>
      <c r="F790" s="72"/>
      <c r="G790" s="135"/>
      <c r="H790" s="135"/>
      <c r="I790" s="75"/>
      <c r="J790" s="135"/>
      <c r="K790" s="135"/>
      <c r="L790" s="136"/>
      <c r="M790" s="74"/>
      <c r="N790" s="75"/>
      <c r="O790" s="408" t="s">
        <v>609</v>
      </c>
    </row>
    <row r="791" spans="1:15" s="95" customFormat="1" ht="11.1" customHeight="1" outlineLevel="1" x14ac:dyDescent="0.2">
      <c r="A791" s="409" t="s">
        <v>76</v>
      </c>
      <c r="B791" s="76" t="s">
        <v>9</v>
      </c>
      <c r="C791" s="77" t="s">
        <v>90</v>
      </c>
      <c r="D791" s="410" t="s">
        <v>389</v>
      </c>
      <c r="E791" s="410" t="s">
        <v>52</v>
      </c>
      <c r="F791" s="78" t="s">
        <v>28</v>
      </c>
      <c r="G791" s="241">
        <f>SUM(G792:G797)</f>
        <v>81990406</v>
      </c>
      <c r="H791" s="241">
        <f>SUM(H792:H797)</f>
        <v>0</v>
      </c>
      <c r="I791" s="39">
        <f t="shared" ref="I791:I797" si="347">IF(G791&gt;0,H791/G791*100,"-")</f>
        <v>0</v>
      </c>
      <c r="J791" s="137">
        <f>SUM(J792:J797)</f>
        <v>0</v>
      </c>
      <c r="K791" s="137">
        <f>SUM(K792:K797)</f>
        <v>3221108</v>
      </c>
      <c r="L791" s="137">
        <f>SUM(L792:L797)</f>
        <v>3221108</v>
      </c>
      <c r="M791" s="38">
        <f>SUM(M792:M797)</f>
        <v>0</v>
      </c>
      <c r="N791" s="39">
        <f t="shared" ref="N791:N797" si="348">IF(L791&gt;0,M791/L791*100,"-")</f>
        <v>0</v>
      </c>
      <c r="O791" s="406"/>
    </row>
    <row r="792" spans="1:15" s="95" customFormat="1" ht="11.1" customHeight="1" outlineLevel="1" x14ac:dyDescent="0.2">
      <c r="A792" s="409"/>
      <c r="B792" s="76" t="s">
        <v>10</v>
      </c>
      <c r="C792" s="77" t="s">
        <v>133</v>
      </c>
      <c r="D792" s="410"/>
      <c r="E792" s="410"/>
      <c r="F792" s="79" t="s">
        <v>15</v>
      </c>
      <c r="G792" s="138">
        <v>15173531</v>
      </c>
      <c r="H792" s="138">
        <f t="shared" ref="H792:H796" si="349">ROUNDUP(0+M792,0)</f>
        <v>0</v>
      </c>
      <c r="I792" s="81">
        <f t="shared" si="347"/>
        <v>0</v>
      </c>
      <c r="J792" s="138">
        <v>0</v>
      </c>
      <c r="K792" s="138">
        <f t="shared" ref="K792:K797" si="350">L792-J792</f>
        <v>585407</v>
      </c>
      <c r="L792" s="138">
        <v>585407</v>
      </c>
      <c r="M792" s="80">
        <v>0</v>
      </c>
      <c r="N792" s="81">
        <f t="shared" si="348"/>
        <v>0</v>
      </c>
      <c r="O792" s="406"/>
    </row>
    <row r="793" spans="1:15" s="95" customFormat="1" ht="11.1" customHeight="1" outlineLevel="1" x14ac:dyDescent="0.2">
      <c r="A793" s="409"/>
      <c r="B793" s="76" t="s">
        <v>11</v>
      </c>
      <c r="C793" s="82" t="s">
        <v>134</v>
      </c>
      <c r="D793" s="410"/>
      <c r="E793" s="410"/>
      <c r="F793" s="79" t="s">
        <v>7</v>
      </c>
      <c r="G793" s="138">
        <v>66816875</v>
      </c>
      <c r="H793" s="138">
        <f t="shared" si="349"/>
        <v>0</v>
      </c>
      <c r="I793" s="81">
        <f t="shared" si="347"/>
        <v>0</v>
      </c>
      <c r="J793" s="138">
        <v>0</v>
      </c>
      <c r="K793" s="138">
        <f t="shared" si="350"/>
        <v>2635701</v>
      </c>
      <c r="L793" s="138">
        <v>2635701</v>
      </c>
      <c r="M793" s="80">
        <v>0</v>
      </c>
      <c r="N793" s="81">
        <f t="shared" si="348"/>
        <v>0</v>
      </c>
      <c r="O793" s="406"/>
    </row>
    <row r="794" spans="1:15" s="95" customFormat="1" ht="11.1" customHeight="1" outlineLevel="1" x14ac:dyDescent="0.2">
      <c r="A794" s="117"/>
      <c r="B794" s="76" t="s">
        <v>12</v>
      </c>
      <c r="C794" s="82" t="s">
        <v>574</v>
      </c>
      <c r="D794" s="108"/>
      <c r="E794" s="108"/>
      <c r="F794" s="79" t="s">
        <v>8</v>
      </c>
      <c r="G794" s="138">
        <v>0</v>
      </c>
      <c r="H794" s="138">
        <f t="shared" si="349"/>
        <v>0</v>
      </c>
      <c r="I794" s="81" t="str">
        <f t="shared" si="347"/>
        <v>-</v>
      </c>
      <c r="J794" s="138">
        <v>0</v>
      </c>
      <c r="K794" s="138">
        <f t="shared" si="350"/>
        <v>0</v>
      </c>
      <c r="L794" s="138">
        <v>0</v>
      </c>
      <c r="M794" s="80">
        <v>0</v>
      </c>
      <c r="N794" s="81" t="str">
        <f t="shared" si="348"/>
        <v>-</v>
      </c>
      <c r="O794" s="406"/>
    </row>
    <row r="795" spans="1:15" s="95" customFormat="1" ht="11.1" customHeight="1" outlineLevel="1" x14ac:dyDescent="0.2">
      <c r="A795" s="117"/>
      <c r="B795" s="76" t="s">
        <v>23</v>
      </c>
      <c r="C795" s="82" t="s">
        <v>575</v>
      </c>
      <c r="D795" s="108"/>
      <c r="E795" s="108"/>
      <c r="F795" s="79" t="s">
        <v>22</v>
      </c>
      <c r="G795" s="138">
        <v>0</v>
      </c>
      <c r="H795" s="138">
        <f t="shared" si="349"/>
        <v>0</v>
      </c>
      <c r="I795" s="81" t="str">
        <f t="shared" si="347"/>
        <v>-</v>
      </c>
      <c r="J795" s="138">
        <v>0</v>
      </c>
      <c r="K795" s="138">
        <f t="shared" si="350"/>
        <v>0</v>
      </c>
      <c r="L795" s="138">
        <v>0</v>
      </c>
      <c r="M795" s="80">
        <v>0</v>
      </c>
      <c r="N795" s="81" t="str">
        <f t="shared" si="348"/>
        <v>-</v>
      </c>
      <c r="O795" s="406"/>
    </row>
    <row r="796" spans="1:15" s="95" customFormat="1" ht="11.1" customHeight="1" outlineLevel="1" x14ac:dyDescent="0.2">
      <c r="A796" s="117"/>
      <c r="B796" s="76"/>
      <c r="C796" s="82" t="s">
        <v>576</v>
      </c>
      <c r="D796" s="108"/>
      <c r="E796" s="108"/>
      <c r="F796" s="79" t="s">
        <v>45</v>
      </c>
      <c r="G796" s="139">
        <v>0</v>
      </c>
      <c r="H796" s="138">
        <f t="shared" si="349"/>
        <v>0</v>
      </c>
      <c r="I796" s="81" t="str">
        <f t="shared" si="347"/>
        <v>-</v>
      </c>
      <c r="J796" s="138">
        <v>0</v>
      </c>
      <c r="K796" s="138">
        <f t="shared" si="350"/>
        <v>0</v>
      </c>
      <c r="L796" s="138">
        <v>0</v>
      </c>
      <c r="M796" s="80">
        <v>0</v>
      </c>
      <c r="N796" s="81" t="str">
        <f t="shared" si="348"/>
        <v>-</v>
      </c>
      <c r="O796" s="406"/>
    </row>
    <row r="797" spans="1:15" s="95" customFormat="1" ht="11.1" customHeight="1" outlineLevel="1" x14ac:dyDescent="0.2">
      <c r="A797" s="117"/>
      <c r="B797" s="76"/>
      <c r="C797" s="82" t="s">
        <v>577</v>
      </c>
      <c r="D797" s="108"/>
      <c r="E797" s="108"/>
      <c r="F797" s="79" t="s">
        <v>359</v>
      </c>
      <c r="G797" s="139">
        <v>0</v>
      </c>
      <c r="H797" s="138">
        <f>ROUNDUP(0+M797,0)</f>
        <v>0</v>
      </c>
      <c r="I797" s="81" t="str">
        <f t="shared" si="347"/>
        <v>-</v>
      </c>
      <c r="J797" s="138">
        <v>0</v>
      </c>
      <c r="K797" s="138">
        <f t="shared" si="350"/>
        <v>0</v>
      </c>
      <c r="L797" s="138">
        <v>0</v>
      </c>
      <c r="M797" s="80">
        <v>0</v>
      </c>
      <c r="N797" s="81" t="str">
        <f t="shared" si="348"/>
        <v>-</v>
      </c>
      <c r="O797" s="406"/>
    </row>
    <row r="798" spans="1:15" s="95" customFormat="1" ht="11.1" customHeight="1" outlineLevel="1" x14ac:dyDescent="0.2">
      <c r="A798" s="117"/>
      <c r="B798" s="76"/>
      <c r="C798" s="82" t="s">
        <v>578</v>
      </c>
      <c r="D798" s="108"/>
      <c r="E798" s="108"/>
      <c r="F798" s="106"/>
      <c r="G798" s="139"/>
      <c r="H798" s="139"/>
      <c r="I798" s="81"/>
      <c r="J798" s="139"/>
      <c r="K798" s="139"/>
      <c r="L798" s="138"/>
      <c r="M798" s="89"/>
      <c r="N798" s="81"/>
      <c r="O798" s="406"/>
    </row>
    <row r="799" spans="1:15" s="95" customFormat="1" ht="3.2" customHeight="1" outlineLevel="1" x14ac:dyDescent="0.2">
      <c r="A799" s="118"/>
      <c r="B799" s="85"/>
      <c r="C799" s="86"/>
      <c r="D799" s="84"/>
      <c r="E799" s="84"/>
      <c r="F799" s="85"/>
      <c r="G799" s="140"/>
      <c r="H799" s="140"/>
      <c r="I799" s="88"/>
      <c r="J799" s="140"/>
      <c r="K799" s="140"/>
      <c r="L799" s="141"/>
      <c r="M799" s="87"/>
      <c r="N799" s="88"/>
      <c r="O799" s="407"/>
    </row>
    <row r="800" spans="1:15" ht="3.2" customHeight="1" x14ac:dyDescent="0.2">
      <c r="A800" s="59"/>
      <c r="B800" s="60"/>
      <c r="C800" s="61"/>
      <c r="D800" s="62"/>
      <c r="E800" s="62"/>
      <c r="F800" s="59"/>
      <c r="G800" s="131"/>
      <c r="H800" s="131"/>
      <c r="I800" s="64"/>
      <c r="J800" s="131"/>
      <c r="K800" s="131"/>
      <c r="L800" s="131"/>
      <c r="M800" s="63"/>
      <c r="N800" s="64"/>
      <c r="O800" s="320"/>
    </row>
    <row r="801" spans="1:15" ht="11.45" customHeight="1" x14ac:dyDescent="0.2">
      <c r="A801" s="28" t="s">
        <v>61</v>
      </c>
      <c r="B801" s="450" t="s">
        <v>136</v>
      </c>
      <c r="C801" s="414"/>
      <c r="D801" s="29"/>
      <c r="E801" s="29"/>
      <c r="F801" s="30"/>
      <c r="G801" s="132">
        <f>SUM(G802:G807)</f>
        <v>504501101</v>
      </c>
      <c r="H801" s="132">
        <f>SUM(H802:H807)</f>
        <v>316211858</v>
      </c>
      <c r="I801" s="32">
        <f>IF(G801&gt;0,H801/G801*100,"-")</f>
        <v>62.678130409075159</v>
      </c>
      <c r="J801" s="132">
        <f>SUM(J802:J807)</f>
        <v>148371877</v>
      </c>
      <c r="K801" s="132">
        <f>SUM(K802:K807)</f>
        <v>-53268836</v>
      </c>
      <c r="L801" s="132">
        <f>SUM(L802:L807)</f>
        <v>95103041</v>
      </c>
      <c r="M801" s="31">
        <f>SUM(M802:M807)</f>
        <v>90957990.400000006</v>
      </c>
      <c r="N801" s="32">
        <f t="shared" ref="N801:N807" si="351">IF(L801&gt;0,M801/L801*100,"-")</f>
        <v>95.641516237109599</v>
      </c>
      <c r="O801" s="321"/>
    </row>
    <row r="802" spans="1:15" ht="11.45" customHeight="1" x14ac:dyDescent="0.2">
      <c r="A802" s="30"/>
      <c r="B802" s="33"/>
      <c r="C802" s="34"/>
      <c r="D802" s="29"/>
      <c r="E802" s="29"/>
      <c r="F802" s="35" t="s">
        <v>15</v>
      </c>
      <c r="G802" s="133">
        <f t="shared" ref="G802:H807" si="352">G811+G820+G829+G839+G848+G857+G866+G875+G885+G896</f>
        <v>87994472</v>
      </c>
      <c r="H802" s="133">
        <f t="shared" si="352"/>
        <v>24877064</v>
      </c>
      <c r="I802" s="37">
        <f t="shared" ref="I802:I807" si="353">IF(G802&gt;0,H802/G802*100,"-")</f>
        <v>28.271166852390454</v>
      </c>
      <c r="J802" s="133">
        <f t="shared" ref="J802:M807" si="354">J811+J820+J829+J839+J848+J857+J866+J875+J885+J896</f>
        <v>3350292</v>
      </c>
      <c r="K802" s="133">
        <f t="shared" si="354"/>
        <v>1235605</v>
      </c>
      <c r="L802" s="133">
        <f t="shared" si="354"/>
        <v>4585897</v>
      </c>
      <c r="M802" s="36">
        <f t="shared" si="354"/>
        <v>4469163.93</v>
      </c>
      <c r="N802" s="37">
        <f t="shared" si="351"/>
        <v>97.454520456957482</v>
      </c>
      <c r="O802" s="321"/>
    </row>
    <row r="803" spans="1:15" ht="11.45" customHeight="1" x14ac:dyDescent="0.2">
      <c r="A803" s="30"/>
      <c r="B803" s="33"/>
      <c r="C803" s="34"/>
      <c r="D803" s="29"/>
      <c r="E803" s="29"/>
      <c r="F803" s="35" t="s">
        <v>7</v>
      </c>
      <c r="G803" s="133">
        <f t="shared" si="352"/>
        <v>253084352</v>
      </c>
      <c r="H803" s="133">
        <f t="shared" si="352"/>
        <v>159669443</v>
      </c>
      <c r="I803" s="37">
        <f t="shared" si="353"/>
        <v>63.089417318064768</v>
      </c>
      <c r="J803" s="133">
        <f t="shared" si="354"/>
        <v>93004639</v>
      </c>
      <c r="K803" s="133">
        <f t="shared" si="354"/>
        <v>-40658234</v>
      </c>
      <c r="L803" s="133">
        <f t="shared" si="354"/>
        <v>52346405</v>
      </c>
      <c r="M803" s="36">
        <f t="shared" si="354"/>
        <v>52183190.18</v>
      </c>
      <c r="N803" s="37">
        <f t="shared" si="351"/>
        <v>99.688202427654772</v>
      </c>
      <c r="O803" s="321"/>
    </row>
    <row r="804" spans="1:15" ht="11.45" customHeight="1" x14ac:dyDescent="0.2">
      <c r="A804" s="30"/>
      <c r="B804" s="33"/>
      <c r="C804" s="34"/>
      <c r="D804" s="29"/>
      <c r="E804" s="29"/>
      <c r="F804" s="35" t="s">
        <v>8</v>
      </c>
      <c r="G804" s="133">
        <f t="shared" si="352"/>
        <v>151251286</v>
      </c>
      <c r="H804" s="133">
        <f t="shared" si="352"/>
        <v>123733708</v>
      </c>
      <c r="I804" s="37">
        <f t="shared" si="353"/>
        <v>81.806714688032471</v>
      </c>
      <c r="J804" s="133">
        <f t="shared" si="354"/>
        <v>43151194</v>
      </c>
      <c r="K804" s="133">
        <f t="shared" si="354"/>
        <v>-12092817</v>
      </c>
      <c r="L804" s="133">
        <f t="shared" si="354"/>
        <v>31058377</v>
      </c>
      <c r="M804" s="36">
        <f t="shared" si="354"/>
        <v>27786014.279999997</v>
      </c>
      <c r="N804" s="37">
        <f t="shared" si="351"/>
        <v>89.463832189299524</v>
      </c>
      <c r="O804" s="321"/>
    </row>
    <row r="805" spans="1:15" ht="11.45" customHeight="1" x14ac:dyDescent="0.2">
      <c r="A805" s="30"/>
      <c r="B805" s="33"/>
      <c r="C805" s="34"/>
      <c r="D805" s="29"/>
      <c r="E805" s="29"/>
      <c r="F805" s="35" t="s">
        <v>22</v>
      </c>
      <c r="G805" s="133">
        <f t="shared" si="352"/>
        <v>3197647</v>
      </c>
      <c r="H805" s="133">
        <f t="shared" si="352"/>
        <v>10058</v>
      </c>
      <c r="I805" s="37">
        <f t="shared" si="353"/>
        <v>0.31454378797909838</v>
      </c>
      <c r="J805" s="133">
        <f t="shared" si="354"/>
        <v>2921711</v>
      </c>
      <c r="K805" s="133">
        <f t="shared" si="354"/>
        <v>-2920973</v>
      </c>
      <c r="L805" s="133">
        <f t="shared" si="354"/>
        <v>738</v>
      </c>
      <c r="M805" s="36">
        <f t="shared" si="354"/>
        <v>738</v>
      </c>
      <c r="N805" s="37">
        <f t="shared" si="351"/>
        <v>100</v>
      </c>
      <c r="O805" s="321"/>
    </row>
    <row r="806" spans="1:15" ht="11.45" customHeight="1" x14ac:dyDescent="0.2">
      <c r="A806" s="30"/>
      <c r="B806" s="33"/>
      <c r="C806" s="34"/>
      <c r="D806" s="29"/>
      <c r="E806" s="29"/>
      <c r="F806" s="35" t="s">
        <v>45</v>
      </c>
      <c r="G806" s="133">
        <f t="shared" si="352"/>
        <v>8973344</v>
      </c>
      <c r="H806" s="133">
        <f t="shared" si="352"/>
        <v>7921585</v>
      </c>
      <c r="I806" s="37">
        <f t="shared" si="353"/>
        <v>88.279074111056033</v>
      </c>
      <c r="J806" s="133">
        <f t="shared" si="354"/>
        <v>5944041</v>
      </c>
      <c r="K806" s="133">
        <f t="shared" si="354"/>
        <v>1167583</v>
      </c>
      <c r="L806" s="133">
        <f t="shared" si="354"/>
        <v>7111624</v>
      </c>
      <c r="M806" s="36">
        <f t="shared" si="354"/>
        <v>6518884.0099999998</v>
      </c>
      <c r="N806" s="37">
        <f t="shared" si="351"/>
        <v>91.665195038432842</v>
      </c>
      <c r="O806" s="321"/>
    </row>
    <row r="807" spans="1:15" ht="11.45" customHeight="1" x14ac:dyDescent="0.2">
      <c r="A807" s="30"/>
      <c r="B807" s="33"/>
      <c r="C807" s="34"/>
      <c r="D807" s="29"/>
      <c r="E807" s="29"/>
      <c r="F807" s="35" t="s">
        <v>359</v>
      </c>
      <c r="G807" s="133">
        <f t="shared" si="352"/>
        <v>0</v>
      </c>
      <c r="H807" s="133">
        <f t="shared" si="352"/>
        <v>0</v>
      </c>
      <c r="I807" s="37" t="str">
        <f t="shared" si="353"/>
        <v>-</v>
      </c>
      <c r="J807" s="133">
        <f t="shared" si="354"/>
        <v>0</v>
      </c>
      <c r="K807" s="133">
        <f t="shared" si="354"/>
        <v>0</v>
      </c>
      <c r="L807" s="133">
        <f t="shared" si="354"/>
        <v>0</v>
      </c>
      <c r="M807" s="36">
        <f t="shared" si="354"/>
        <v>0</v>
      </c>
      <c r="N807" s="37" t="str">
        <f t="shared" si="351"/>
        <v>-</v>
      </c>
      <c r="O807" s="321"/>
    </row>
    <row r="808" spans="1:15" ht="3.2" customHeight="1" x14ac:dyDescent="0.2">
      <c r="A808" s="65"/>
      <c r="B808" s="66"/>
      <c r="C808" s="67"/>
      <c r="D808" s="68"/>
      <c r="E808" s="68"/>
      <c r="F808" s="65"/>
      <c r="G808" s="134"/>
      <c r="H808" s="134"/>
      <c r="I808" s="70"/>
      <c r="J808" s="134"/>
      <c r="K808" s="134"/>
      <c r="L808" s="133"/>
      <c r="M808" s="69"/>
      <c r="N808" s="70"/>
      <c r="O808" s="322"/>
    </row>
    <row r="809" spans="1:15" ht="3.95" customHeight="1" outlineLevel="1" x14ac:dyDescent="0.2">
      <c r="A809" s="152"/>
      <c r="B809" s="72"/>
      <c r="C809" s="73"/>
      <c r="D809" s="71"/>
      <c r="E809" s="71"/>
      <c r="F809" s="72"/>
      <c r="G809" s="135"/>
      <c r="H809" s="135"/>
      <c r="I809" s="75"/>
      <c r="J809" s="135"/>
      <c r="K809" s="135"/>
      <c r="L809" s="136"/>
      <c r="M809" s="74"/>
      <c r="N809" s="75"/>
      <c r="O809" s="323"/>
    </row>
    <row r="810" spans="1:15" ht="11.1" customHeight="1" outlineLevel="1" x14ac:dyDescent="0.2">
      <c r="A810" s="409" t="s">
        <v>77</v>
      </c>
      <c r="B810" s="76" t="s">
        <v>9</v>
      </c>
      <c r="C810" s="148" t="s">
        <v>246</v>
      </c>
      <c r="D810" s="410" t="s">
        <v>140</v>
      </c>
      <c r="E810" s="410" t="s">
        <v>141</v>
      </c>
      <c r="F810" s="78" t="s">
        <v>28</v>
      </c>
      <c r="G810" s="137">
        <f>SUM(G811:G816)</f>
        <v>105849019</v>
      </c>
      <c r="H810" s="137">
        <f>SUM(H811:H816)</f>
        <v>30568498</v>
      </c>
      <c r="I810" s="39">
        <f t="shared" ref="I810:I816" si="355">IF(G810&gt;0,H810/G810*100,"-")</f>
        <v>28.879339920949104</v>
      </c>
      <c r="J810" s="137">
        <f>SUM(J811:J816)</f>
        <v>49343000</v>
      </c>
      <c r="K810" s="137">
        <f>SUM(K811:K816)</f>
        <v>-39786813</v>
      </c>
      <c r="L810" s="137">
        <f>SUM(L811:L816)</f>
        <v>9556187</v>
      </c>
      <c r="M810" s="38">
        <f>SUM(M811:M816)</f>
        <v>9433648.5700000003</v>
      </c>
      <c r="N810" s="39">
        <f t="shared" ref="N810:N816" si="356">IF(L810&gt;0,M810/L810*100,"-")</f>
        <v>98.717705817184196</v>
      </c>
      <c r="O810" s="405" t="s">
        <v>619</v>
      </c>
    </row>
    <row r="811" spans="1:15" ht="11.1" customHeight="1" outlineLevel="1" x14ac:dyDescent="0.2">
      <c r="A811" s="409"/>
      <c r="B811" s="76" t="s">
        <v>10</v>
      </c>
      <c r="C811" s="148" t="s">
        <v>405</v>
      </c>
      <c r="D811" s="410"/>
      <c r="E811" s="410"/>
      <c r="F811" s="79" t="s">
        <v>15</v>
      </c>
      <c r="G811" s="138">
        <v>24814199</v>
      </c>
      <c r="H811" s="138">
        <f>ROUNDUP(14584377+M811,0)</f>
        <v>14584377</v>
      </c>
      <c r="I811" s="81">
        <f t="shared" si="355"/>
        <v>58.774321105428385</v>
      </c>
      <c r="J811" s="138">
        <v>150000</v>
      </c>
      <c r="K811" s="138">
        <f t="shared" ref="K811:K816" si="357">L811-J811</f>
        <v>-150000</v>
      </c>
      <c r="L811" s="138">
        <v>0</v>
      </c>
      <c r="M811" s="80">
        <v>0</v>
      </c>
      <c r="N811" s="81" t="str">
        <f t="shared" si="356"/>
        <v>-</v>
      </c>
      <c r="O811" s="405"/>
    </row>
    <row r="812" spans="1:15" ht="11.1" customHeight="1" outlineLevel="1" x14ac:dyDescent="0.2">
      <c r="A812" s="409"/>
      <c r="C812" s="15" t="s">
        <v>406</v>
      </c>
      <c r="D812" s="410"/>
      <c r="E812" s="410"/>
      <c r="F812" s="79" t="s">
        <v>7</v>
      </c>
      <c r="G812" s="138">
        <v>65314028</v>
      </c>
      <c r="H812" s="243">
        <f>ROUNDUP(0+M812,0)</f>
        <v>6055170</v>
      </c>
      <c r="I812" s="81">
        <f t="shared" si="355"/>
        <v>9.2708567905197956</v>
      </c>
      <c r="J812" s="138">
        <v>48943000</v>
      </c>
      <c r="K812" s="138">
        <f t="shared" si="357"/>
        <v>-42860078</v>
      </c>
      <c r="L812" s="138">
        <v>6082922</v>
      </c>
      <c r="M812" s="80">
        <v>6055169.5800000001</v>
      </c>
      <c r="N812" s="81">
        <f t="shared" si="356"/>
        <v>99.543764986629782</v>
      </c>
      <c r="O812" s="405"/>
    </row>
    <row r="813" spans="1:15" ht="11.1" customHeight="1" outlineLevel="1" x14ac:dyDescent="0.2">
      <c r="A813" s="117"/>
      <c r="B813" s="76" t="s">
        <v>11</v>
      </c>
      <c r="C813" s="82" t="s">
        <v>404</v>
      </c>
      <c r="D813" s="108"/>
      <c r="E813" s="108"/>
      <c r="F813" s="79" t="s">
        <v>8</v>
      </c>
      <c r="G813" s="138">
        <v>14801549</v>
      </c>
      <c r="H813" s="138">
        <f>ROUNDUP(6407928+M813,0)</f>
        <v>9044375</v>
      </c>
      <c r="I813" s="81">
        <f t="shared" si="355"/>
        <v>61.104246589326564</v>
      </c>
      <c r="J813" s="138">
        <v>0</v>
      </c>
      <c r="K813" s="138">
        <f t="shared" si="357"/>
        <v>2696565</v>
      </c>
      <c r="L813" s="138">
        <v>2696565</v>
      </c>
      <c r="M813" s="80">
        <v>2636446.9700000002</v>
      </c>
      <c r="N813" s="81">
        <f t="shared" si="356"/>
        <v>97.770569965863984</v>
      </c>
      <c r="O813" s="405"/>
    </row>
    <row r="814" spans="1:15" ht="11.1" customHeight="1" outlineLevel="1" x14ac:dyDescent="0.2">
      <c r="A814" s="117"/>
      <c r="B814" s="76" t="s">
        <v>12</v>
      </c>
      <c r="C814" s="148" t="s">
        <v>215</v>
      </c>
      <c r="D814" s="108"/>
      <c r="E814" s="108"/>
      <c r="F814" s="79" t="s">
        <v>22</v>
      </c>
      <c r="G814" s="139">
        <v>0</v>
      </c>
      <c r="H814" s="243">
        <f>ROUNDUP(0+M814,0)</f>
        <v>0</v>
      </c>
      <c r="I814" s="81" t="str">
        <f t="shared" si="355"/>
        <v>-</v>
      </c>
      <c r="J814" s="138">
        <v>0</v>
      </c>
      <c r="K814" s="138">
        <f t="shared" si="357"/>
        <v>0</v>
      </c>
      <c r="L814" s="138">
        <v>0</v>
      </c>
      <c r="M814" s="80">
        <v>0</v>
      </c>
      <c r="N814" s="81" t="str">
        <f t="shared" si="356"/>
        <v>-</v>
      </c>
      <c r="O814" s="405"/>
    </row>
    <row r="815" spans="1:15" ht="11.1" customHeight="1" outlineLevel="1" x14ac:dyDescent="0.2">
      <c r="A815" s="117"/>
      <c r="B815" s="76" t="s">
        <v>23</v>
      </c>
      <c r="C815" s="148" t="s">
        <v>137</v>
      </c>
      <c r="D815" s="108"/>
      <c r="E815" s="108"/>
      <c r="F815" s="79" t="s">
        <v>45</v>
      </c>
      <c r="G815" s="139">
        <v>919243</v>
      </c>
      <c r="H815" s="243">
        <f>ROUNDUP(142543+M815,0)</f>
        <v>884576</v>
      </c>
      <c r="I815" s="81">
        <f t="shared" si="355"/>
        <v>96.228744738877538</v>
      </c>
      <c r="J815" s="138">
        <v>250000</v>
      </c>
      <c r="K815" s="138">
        <f t="shared" si="357"/>
        <v>526700</v>
      </c>
      <c r="L815" s="138">
        <v>776700</v>
      </c>
      <c r="M815" s="80">
        <v>742032.02</v>
      </c>
      <c r="N815" s="81">
        <f t="shared" si="356"/>
        <v>95.536503154371061</v>
      </c>
      <c r="O815" s="405"/>
    </row>
    <row r="816" spans="1:15" ht="11.1" customHeight="1" outlineLevel="1" x14ac:dyDescent="0.2">
      <c r="A816" s="117"/>
      <c r="B816" s="76"/>
      <c r="C816" s="148"/>
      <c r="D816" s="108"/>
      <c r="E816" s="108"/>
      <c r="F816" s="79" t="s">
        <v>359</v>
      </c>
      <c r="G816" s="139">
        <v>0</v>
      </c>
      <c r="H816" s="243">
        <f>ROUNDUP(0+M816,0)</f>
        <v>0</v>
      </c>
      <c r="I816" s="81" t="str">
        <f t="shared" si="355"/>
        <v>-</v>
      </c>
      <c r="J816" s="138"/>
      <c r="K816" s="138">
        <f t="shared" si="357"/>
        <v>0</v>
      </c>
      <c r="L816" s="138">
        <v>0</v>
      </c>
      <c r="M816" s="80">
        <v>0</v>
      </c>
      <c r="N816" s="81" t="str">
        <f t="shared" si="356"/>
        <v>-</v>
      </c>
      <c r="O816" s="405"/>
    </row>
    <row r="817" spans="1:15" ht="3.95" customHeight="1" outlineLevel="1" x14ac:dyDescent="0.2">
      <c r="A817" s="118"/>
      <c r="B817" s="85"/>
      <c r="C817" s="362"/>
      <c r="D817" s="84"/>
      <c r="E817" s="84"/>
      <c r="F817" s="85"/>
      <c r="G817" s="140"/>
      <c r="H817" s="140"/>
      <c r="I817" s="85"/>
      <c r="J817" s="140"/>
      <c r="K817" s="140"/>
      <c r="L817" s="141"/>
      <c r="M817" s="87"/>
      <c r="N817" s="88"/>
      <c r="O817" s="324"/>
    </row>
    <row r="818" spans="1:15" ht="3.95" customHeight="1" outlineLevel="1" x14ac:dyDescent="0.2">
      <c r="A818" s="152"/>
      <c r="B818" s="72"/>
      <c r="C818" s="347"/>
      <c r="D818" s="71"/>
      <c r="E818" s="71"/>
      <c r="F818" s="72"/>
      <c r="G818" s="135"/>
      <c r="H818" s="135"/>
      <c r="I818" s="75"/>
      <c r="J818" s="135"/>
      <c r="K818" s="135"/>
      <c r="L818" s="136"/>
      <c r="M818" s="74"/>
      <c r="N818" s="75"/>
      <c r="O818" s="323"/>
    </row>
    <row r="819" spans="1:15" ht="11.1" customHeight="1" outlineLevel="1" x14ac:dyDescent="0.2">
      <c r="A819" s="409" t="s">
        <v>79</v>
      </c>
      <c r="B819" s="76" t="s">
        <v>9</v>
      </c>
      <c r="C819" s="352" t="s">
        <v>416</v>
      </c>
      <c r="D819" s="410" t="s">
        <v>383</v>
      </c>
      <c r="E819" s="410" t="s">
        <v>141</v>
      </c>
      <c r="F819" s="78" t="s">
        <v>28</v>
      </c>
      <c r="G819" s="137">
        <f>SUM(G820:G825)</f>
        <v>3607299</v>
      </c>
      <c r="H819" s="137">
        <f>SUM(H820:H825)</f>
        <v>56621</v>
      </c>
      <c r="I819" s="39">
        <f t="shared" ref="I819:I825" si="358">IF(G819&gt;0,H819/G819*100,"-")</f>
        <v>1.5696231446298188</v>
      </c>
      <c r="J819" s="137">
        <f>SUM(J820:J825)</f>
        <v>100000</v>
      </c>
      <c r="K819" s="137">
        <f>SUM(K820:K825)</f>
        <v>-39701</v>
      </c>
      <c r="L819" s="137">
        <f>SUM(L820:L825)</f>
        <v>60299</v>
      </c>
      <c r="M819" s="38">
        <f>SUM(M820:M825)</f>
        <v>56620.83</v>
      </c>
      <c r="N819" s="39">
        <f t="shared" ref="N819:N825" si="359">IF(L819&gt;0,M819/L819*100,"-")</f>
        <v>93.900114429758375</v>
      </c>
      <c r="O819" s="405" t="s">
        <v>620</v>
      </c>
    </row>
    <row r="820" spans="1:15" ht="11.1" customHeight="1" outlineLevel="1" x14ac:dyDescent="0.2">
      <c r="A820" s="409"/>
      <c r="B820" s="76" t="s">
        <v>10</v>
      </c>
      <c r="C820" s="352" t="s">
        <v>91</v>
      </c>
      <c r="D820" s="410"/>
      <c r="E820" s="410"/>
      <c r="F820" s="79" t="s">
        <v>15</v>
      </c>
      <c r="G820" s="138">
        <v>25000</v>
      </c>
      <c r="H820" s="243">
        <f t="shared" ref="H820:H825" si="360">ROUNDUP(0+M820,0)</f>
        <v>0</v>
      </c>
      <c r="I820" s="81">
        <f t="shared" si="358"/>
        <v>0</v>
      </c>
      <c r="J820" s="138">
        <v>0</v>
      </c>
      <c r="K820" s="138">
        <f t="shared" ref="K820:K823" si="361">L820-J820</f>
        <v>0</v>
      </c>
      <c r="L820" s="138">
        <v>0</v>
      </c>
      <c r="M820" s="80">
        <v>0</v>
      </c>
      <c r="N820" s="81" t="str">
        <f t="shared" si="359"/>
        <v>-</v>
      </c>
      <c r="O820" s="405"/>
    </row>
    <row r="821" spans="1:15" ht="11.1" customHeight="1" outlineLevel="1" x14ac:dyDescent="0.2">
      <c r="A821" s="409"/>
      <c r="B821" s="76" t="s">
        <v>11</v>
      </c>
      <c r="C821" s="148" t="s">
        <v>92</v>
      </c>
      <c r="D821" s="410"/>
      <c r="E821" s="410"/>
      <c r="F821" s="79" t="s">
        <v>7</v>
      </c>
      <c r="G821" s="138">
        <v>3470000</v>
      </c>
      <c r="H821" s="243">
        <f t="shared" si="360"/>
        <v>0</v>
      </c>
      <c r="I821" s="81">
        <f t="shared" si="358"/>
        <v>0</v>
      </c>
      <c r="J821" s="138">
        <v>0</v>
      </c>
      <c r="K821" s="138">
        <f t="shared" si="361"/>
        <v>0</v>
      </c>
      <c r="L821" s="138">
        <v>0</v>
      </c>
      <c r="M821" s="80">
        <v>0</v>
      </c>
      <c r="N821" s="81" t="str">
        <f t="shared" si="359"/>
        <v>-</v>
      </c>
      <c r="O821" s="405"/>
    </row>
    <row r="822" spans="1:15" ht="11.1" customHeight="1" outlineLevel="1" x14ac:dyDescent="0.2">
      <c r="A822" s="117"/>
      <c r="B822" s="76" t="s">
        <v>12</v>
      </c>
      <c r="C822" s="148" t="s">
        <v>407</v>
      </c>
      <c r="D822" s="108"/>
      <c r="E822" s="108"/>
      <c r="F822" s="79" t="s">
        <v>8</v>
      </c>
      <c r="G822" s="138">
        <v>0</v>
      </c>
      <c r="H822" s="243">
        <f t="shared" si="360"/>
        <v>0</v>
      </c>
      <c r="I822" s="81" t="str">
        <f t="shared" si="358"/>
        <v>-</v>
      </c>
      <c r="J822" s="138">
        <v>0</v>
      </c>
      <c r="K822" s="138">
        <f t="shared" si="361"/>
        <v>0</v>
      </c>
      <c r="L822" s="138">
        <v>0</v>
      </c>
      <c r="M822" s="80">
        <v>0</v>
      </c>
      <c r="N822" s="81" t="str">
        <f t="shared" si="359"/>
        <v>-</v>
      </c>
      <c r="O822" s="405"/>
    </row>
    <row r="823" spans="1:15" ht="11.1" customHeight="1" outlineLevel="1" x14ac:dyDescent="0.2">
      <c r="A823" s="117"/>
      <c r="B823" s="76"/>
      <c r="C823" s="148" t="s">
        <v>408</v>
      </c>
      <c r="D823" s="108"/>
      <c r="E823" s="108"/>
      <c r="F823" s="79" t="s">
        <v>22</v>
      </c>
      <c r="G823" s="139">
        <v>0</v>
      </c>
      <c r="H823" s="243">
        <f t="shared" si="360"/>
        <v>0</v>
      </c>
      <c r="I823" s="81" t="str">
        <f t="shared" si="358"/>
        <v>-</v>
      </c>
      <c r="J823" s="138">
        <v>0</v>
      </c>
      <c r="K823" s="138">
        <f t="shared" si="361"/>
        <v>0</v>
      </c>
      <c r="L823" s="138">
        <v>0</v>
      </c>
      <c r="M823" s="80">
        <v>0</v>
      </c>
      <c r="N823" s="81" t="str">
        <f t="shared" si="359"/>
        <v>-</v>
      </c>
      <c r="O823" s="405"/>
    </row>
    <row r="824" spans="1:15" ht="11.1" customHeight="1" outlineLevel="1" x14ac:dyDescent="0.2">
      <c r="A824" s="117"/>
      <c r="B824" s="76"/>
      <c r="C824" s="148" t="s">
        <v>409</v>
      </c>
      <c r="D824" s="108"/>
      <c r="E824" s="108"/>
      <c r="F824" s="79" t="s">
        <v>45</v>
      </c>
      <c r="G824" s="139">
        <f>60299+52000</f>
        <v>112299</v>
      </c>
      <c r="H824" s="243">
        <f t="shared" si="360"/>
        <v>56621</v>
      </c>
      <c r="I824" s="81">
        <f t="shared" si="358"/>
        <v>50.419861263234758</v>
      </c>
      <c r="J824" s="138">
        <v>100000</v>
      </c>
      <c r="K824" s="138">
        <f t="shared" ref="K824:K825" si="362">L824-J824</f>
        <v>-39701</v>
      </c>
      <c r="L824" s="138">
        <v>60299</v>
      </c>
      <c r="M824" s="80">
        <v>56620.83</v>
      </c>
      <c r="N824" s="81">
        <f t="shared" si="359"/>
        <v>93.900114429758375</v>
      </c>
      <c r="O824" s="405"/>
    </row>
    <row r="825" spans="1:15" ht="11.1" customHeight="1" outlineLevel="1" x14ac:dyDescent="0.2">
      <c r="A825" s="117"/>
      <c r="B825" s="76" t="s">
        <v>23</v>
      </c>
      <c r="C825" s="148" t="s">
        <v>137</v>
      </c>
      <c r="D825" s="108"/>
      <c r="E825" s="108"/>
      <c r="F825" s="79" t="s">
        <v>359</v>
      </c>
      <c r="G825" s="139">
        <v>0</v>
      </c>
      <c r="H825" s="243">
        <f t="shared" si="360"/>
        <v>0</v>
      </c>
      <c r="I825" s="81" t="str">
        <f t="shared" si="358"/>
        <v>-</v>
      </c>
      <c r="J825" s="138">
        <v>0</v>
      </c>
      <c r="K825" s="138">
        <f t="shared" si="362"/>
        <v>0</v>
      </c>
      <c r="L825" s="138">
        <v>0</v>
      </c>
      <c r="M825" s="80">
        <v>0</v>
      </c>
      <c r="N825" s="81" t="str">
        <f t="shared" si="359"/>
        <v>-</v>
      </c>
      <c r="O825" s="405"/>
    </row>
    <row r="826" spans="1:15" ht="3.95" customHeight="1" outlineLevel="1" x14ac:dyDescent="0.2">
      <c r="A826" s="118"/>
      <c r="B826" s="85"/>
      <c r="C826" s="362"/>
      <c r="D826" s="84"/>
      <c r="E826" s="84"/>
      <c r="F826" s="85"/>
      <c r="G826" s="140"/>
      <c r="H826" s="140"/>
      <c r="I826" s="85"/>
      <c r="J826" s="140"/>
      <c r="K826" s="140"/>
      <c r="L826" s="141"/>
      <c r="M826" s="87"/>
      <c r="N826" s="88"/>
      <c r="O826" s="324"/>
    </row>
    <row r="827" spans="1:15" ht="3.95" customHeight="1" outlineLevel="1" x14ac:dyDescent="0.2">
      <c r="A827" s="152"/>
      <c r="B827" s="72"/>
      <c r="C827" s="347"/>
      <c r="D827" s="71"/>
      <c r="E827" s="71"/>
      <c r="F827" s="72"/>
      <c r="G827" s="135"/>
      <c r="H827" s="135"/>
      <c r="I827" s="75"/>
      <c r="J827" s="135"/>
      <c r="K827" s="135"/>
      <c r="L827" s="136"/>
      <c r="M827" s="74"/>
      <c r="N827" s="75"/>
      <c r="O827" s="323"/>
    </row>
    <row r="828" spans="1:15" ht="11.1" customHeight="1" outlineLevel="1" x14ac:dyDescent="0.2">
      <c r="A828" s="409" t="s">
        <v>460</v>
      </c>
      <c r="B828" s="76" t="s">
        <v>9</v>
      </c>
      <c r="C828" s="352" t="s">
        <v>416</v>
      </c>
      <c r="D828" s="410" t="s">
        <v>281</v>
      </c>
      <c r="E828" s="410" t="s">
        <v>141</v>
      </c>
      <c r="F828" s="78" t="s">
        <v>28</v>
      </c>
      <c r="G828" s="137">
        <f>SUM(G829:G834)</f>
        <v>45784101</v>
      </c>
      <c r="H828" s="137">
        <f>SUM(H829:H834)</f>
        <v>3880370</v>
      </c>
      <c r="I828" s="39">
        <f t="shared" ref="I828:I834" si="363">IF(G828&gt;0,H828/G828*100,"-")</f>
        <v>8.4753657170204129</v>
      </c>
      <c r="J828" s="137">
        <f>SUM(J829:J834)</f>
        <v>1270000</v>
      </c>
      <c r="K828" s="137">
        <f>SUM(K829:K834)</f>
        <v>2585970</v>
      </c>
      <c r="L828" s="137">
        <f>SUM(L829:L834)</f>
        <v>3855970</v>
      </c>
      <c r="M828" s="38">
        <f>SUM(M829:M834)</f>
        <v>3795617.8000000003</v>
      </c>
      <c r="N828" s="39">
        <f t="shared" ref="N828:N834" si="364">IF(L828&gt;0,M828/L828*100,"-")</f>
        <v>98.434837407967393</v>
      </c>
      <c r="O828" s="405" t="s">
        <v>622</v>
      </c>
    </row>
    <row r="829" spans="1:15" ht="11.1" customHeight="1" outlineLevel="1" x14ac:dyDescent="0.2">
      <c r="A829" s="409"/>
      <c r="B829" s="76" t="s">
        <v>10</v>
      </c>
      <c r="C829" s="352" t="s">
        <v>91</v>
      </c>
      <c r="D829" s="410"/>
      <c r="E829" s="410"/>
      <c r="F829" s="79" t="s">
        <v>15</v>
      </c>
      <c r="G829" s="138">
        <v>35788290</v>
      </c>
      <c r="H829" s="243">
        <f>ROUNDUP(28290+M829,0)</f>
        <v>3559224</v>
      </c>
      <c r="I829" s="81">
        <f t="shared" si="363"/>
        <v>9.9452195117453215</v>
      </c>
      <c r="J829" s="138">
        <v>400000</v>
      </c>
      <c r="K829" s="138">
        <f t="shared" ref="K829:K834" si="365">L829-J829</f>
        <v>3135000</v>
      </c>
      <c r="L829" s="138">
        <v>3535000</v>
      </c>
      <c r="M829" s="80">
        <v>3530933.6</v>
      </c>
      <c r="N829" s="81">
        <f t="shared" si="364"/>
        <v>99.88496746817539</v>
      </c>
      <c r="O829" s="405"/>
    </row>
    <row r="830" spans="1:15" ht="11.1" customHeight="1" outlineLevel="1" x14ac:dyDescent="0.2">
      <c r="A830" s="409"/>
      <c r="B830" s="76" t="s">
        <v>11</v>
      </c>
      <c r="C830" s="148" t="s">
        <v>92</v>
      </c>
      <c r="D830" s="410"/>
      <c r="E830" s="410"/>
      <c r="F830" s="79" t="s">
        <v>7</v>
      </c>
      <c r="G830" s="138">
        <v>9575000</v>
      </c>
      <c r="H830" s="243">
        <f>ROUNDUP(0+M830,0)</f>
        <v>0</v>
      </c>
      <c r="I830" s="81">
        <f t="shared" si="363"/>
        <v>0</v>
      </c>
      <c r="J830" s="138">
        <v>800000</v>
      </c>
      <c r="K830" s="138">
        <f t="shared" si="365"/>
        <v>-800000</v>
      </c>
      <c r="L830" s="138">
        <v>0</v>
      </c>
      <c r="M830" s="80">
        <v>0</v>
      </c>
      <c r="N830" s="81" t="str">
        <f t="shared" si="364"/>
        <v>-</v>
      </c>
      <c r="O830" s="405"/>
    </row>
    <row r="831" spans="1:15" ht="11.1" customHeight="1" outlineLevel="1" x14ac:dyDescent="0.2">
      <c r="A831" s="117"/>
      <c r="B831" s="76" t="s">
        <v>12</v>
      </c>
      <c r="C831" s="148" t="s">
        <v>302</v>
      </c>
      <c r="D831" s="108"/>
      <c r="E831" s="108"/>
      <c r="F831" s="79" t="s">
        <v>8</v>
      </c>
      <c r="G831" s="138">
        <v>0</v>
      </c>
      <c r="H831" s="243">
        <f t="shared" ref="H831:H834" si="366">ROUNDUP(0+M831,0)</f>
        <v>0</v>
      </c>
      <c r="I831" s="81" t="str">
        <f t="shared" si="363"/>
        <v>-</v>
      </c>
      <c r="J831" s="138">
        <v>0</v>
      </c>
      <c r="K831" s="138">
        <f t="shared" si="365"/>
        <v>0</v>
      </c>
      <c r="L831" s="138">
        <v>0</v>
      </c>
      <c r="M831" s="80">
        <v>0</v>
      </c>
      <c r="N831" s="81" t="str">
        <f t="shared" si="364"/>
        <v>-</v>
      </c>
      <c r="O831" s="405"/>
    </row>
    <row r="832" spans="1:15" ht="11.1" customHeight="1" outlineLevel="1" x14ac:dyDescent="0.2">
      <c r="A832" s="117"/>
      <c r="B832" s="76"/>
      <c r="C832" s="148" t="s">
        <v>411</v>
      </c>
      <c r="D832" s="108"/>
      <c r="E832" s="108"/>
      <c r="F832" s="79" t="s">
        <v>22</v>
      </c>
      <c r="G832" s="139">
        <v>0</v>
      </c>
      <c r="H832" s="243">
        <f t="shared" si="366"/>
        <v>0</v>
      </c>
      <c r="I832" s="81" t="str">
        <f t="shared" si="363"/>
        <v>-</v>
      </c>
      <c r="J832" s="138">
        <v>0</v>
      </c>
      <c r="K832" s="138">
        <f t="shared" si="365"/>
        <v>0</v>
      </c>
      <c r="L832" s="138">
        <v>0</v>
      </c>
      <c r="M832" s="80">
        <v>0</v>
      </c>
      <c r="N832" s="81" t="str">
        <f t="shared" si="364"/>
        <v>-</v>
      </c>
      <c r="O832" s="405"/>
    </row>
    <row r="833" spans="1:15" ht="11.1" customHeight="1" outlineLevel="1" x14ac:dyDescent="0.2">
      <c r="A833" s="117"/>
      <c r="B833" s="76"/>
      <c r="C833" s="148" t="s">
        <v>412</v>
      </c>
      <c r="D833" s="108"/>
      <c r="E833" s="108"/>
      <c r="F833" s="79" t="s">
        <v>45</v>
      </c>
      <c r="G833" s="139">
        <v>420811</v>
      </c>
      <c r="H833" s="243">
        <f>ROUNDUP(56461+M833,0)</f>
        <v>321146</v>
      </c>
      <c r="I833" s="81">
        <f t="shared" si="363"/>
        <v>76.31597082775879</v>
      </c>
      <c r="J833" s="138">
        <v>70000</v>
      </c>
      <c r="K833" s="138">
        <f t="shared" si="365"/>
        <v>250970</v>
      </c>
      <c r="L833" s="138">
        <v>320970</v>
      </c>
      <c r="M833" s="80">
        <v>264684.2</v>
      </c>
      <c r="N833" s="81">
        <f t="shared" si="364"/>
        <v>82.46384397295698</v>
      </c>
      <c r="O833" s="405"/>
    </row>
    <row r="834" spans="1:15" ht="11.1" customHeight="1" outlineLevel="1" x14ac:dyDescent="0.2">
      <c r="A834" s="117"/>
      <c r="B834" s="76"/>
      <c r="C834" s="148" t="s">
        <v>413</v>
      </c>
      <c r="D834" s="108"/>
      <c r="E834" s="108"/>
      <c r="F834" s="79" t="s">
        <v>359</v>
      </c>
      <c r="G834" s="139">
        <v>0</v>
      </c>
      <c r="H834" s="243">
        <f t="shared" si="366"/>
        <v>0</v>
      </c>
      <c r="I834" s="81" t="str">
        <f t="shared" si="363"/>
        <v>-</v>
      </c>
      <c r="J834" s="138">
        <v>0</v>
      </c>
      <c r="K834" s="138">
        <f t="shared" si="365"/>
        <v>0</v>
      </c>
      <c r="L834" s="138">
        <v>0</v>
      </c>
      <c r="M834" s="80">
        <v>0</v>
      </c>
      <c r="N834" s="81" t="str">
        <f t="shared" si="364"/>
        <v>-</v>
      </c>
      <c r="O834" s="405"/>
    </row>
    <row r="835" spans="1:15" ht="11.1" customHeight="1" outlineLevel="1" x14ac:dyDescent="0.2">
      <c r="A835" s="117"/>
      <c r="B835" s="76" t="s">
        <v>23</v>
      </c>
      <c r="C835" s="148" t="s">
        <v>138</v>
      </c>
      <c r="D835" s="108"/>
      <c r="E835" s="108"/>
      <c r="F835" s="106"/>
      <c r="G835" s="139"/>
      <c r="H835" s="366"/>
      <c r="I835" s="149"/>
      <c r="J835" s="139"/>
      <c r="K835" s="139"/>
      <c r="L835" s="138"/>
      <c r="M835" s="107"/>
      <c r="N835" s="81"/>
      <c r="O835" s="339"/>
    </row>
    <row r="836" spans="1:15" ht="3.95" customHeight="1" outlineLevel="1" x14ac:dyDescent="0.2">
      <c r="A836" s="118"/>
      <c r="B836" s="85"/>
      <c r="C836" s="362"/>
      <c r="D836" s="84"/>
      <c r="E836" s="84"/>
      <c r="F836" s="85"/>
      <c r="G836" s="140"/>
      <c r="H836" s="140"/>
      <c r="I836" s="85"/>
      <c r="J836" s="140"/>
      <c r="K836" s="140"/>
      <c r="L836" s="141"/>
      <c r="M836" s="87"/>
      <c r="N836" s="88"/>
      <c r="O836" s="324"/>
    </row>
    <row r="837" spans="1:15" ht="3.95" customHeight="1" outlineLevel="1" x14ac:dyDescent="0.2">
      <c r="A837" s="345"/>
      <c r="B837" s="346"/>
      <c r="C837" s="347"/>
      <c r="D837" s="196"/>
      <c r="E837" s="196"/>
      <c r="F837" s="346"/>
      <c r="G837" s="348"/>
      <c r="H837" s="348"/>
      <c r="I837" s="349"/>
      <c r="J837" s="348"/>
      <c r="K837" s="348"/>
      <c r="L837" s="350"/>
      <c r="M837" s="229"/>
      <c r="N837" s="349"/>
      <c r="O837" s="408" t="s">
        <v>621</v>
      </c>
    </row>
    <row r="838" spans="1:15" ht="11.1" customHeight="1" outlineLevel="1" x14ac:dyDescent="0.2">
      <c r="A838" s="424" t="s">
        <v>461</v>
      </c>
      <c r="B838" s="351" t="s">
        <v>9</v>
      </c>
      <c r="C838" s="352" t="s">
        <v>416</v>
      </c>
      <c r="D838" s="421" t="s">
        <v>389</v>
      </c>
      <c r="E838" s="421" t="s">
        <v>139</v>
      </c>
      <c r="F838" s="353" t="s">
        <v>28</v>
      </c>
      <c r="G838" s="241">
        <f>SUM(G839:G844)</f>
        <v>14220000</v>
      </c>
      <c r="H838" s="241">
        <f>SUM(H839:H844)</f>
        <v>70819</v>
      </c>
      <c r="I838" s="354">
        <f t="shared" ref="I838:I844" si="367">IF(G838&gt;0,H838/G838*100,"-")</f>
        <v>0.49802390998593532</v>
      </c>
      <c r="J838" s="241">
        <f>SUM(J839:J844)</f>
        <v>0</v>
      </c>
      <c r="K838" s="241">
        <f>SUM(K839:K844)</f>
        <v>165234</v>
      </c>
      <c r="L838" s="241">
        <f>SUM(L839:L844)</f>
        <v>165234</v>
      </c>
      <c r="M838" s="355">
        <f>SUM(M839:M844)</f>
        <v>70818.570000000007</v>
      </c>
      <c r="N838" s="354">
        <f t="shared" ref="N838:N844" si="368">IF(L838&gt;0,M838/L838*100,"-")</f>
        <v>42.85956280184466</v>
      </c>
      <c r="O838" s="428"/>
    </row>
    <row r="839" spans="1:15" ht="11.1" customHeight="1" outlineLevel="1" x14ac:dyDescent="0.2">
      <c r="A839" s="424"/>
      <c r="B839" s="351" t="s">
        <v>10</v>
      </c>
      <c r="C839" s="352" t="s">
        <v>91</v>
      </c>
      <c r="D839" s="421"/>
      <c r="E839" s="421"/>
      <c r="F839" s="356" t="s">
        <v>15</v>
      </c>
      <c r="G839" s="178">
        <v>4100000</v>
      </c>
      <c r="H839" s="178">
        <f t="shared" ref="H839:H844" si="369">ROUNDUP(0+M839,0)</f>
        <v>0</v>
      </c>
      <c r="I839" s="357">
        <f t="shared" si="367"/>
        <v>0</v>
      </c>
      <c r="J839" s="138">
        <v>0</v>
      </c>
      <c r="K839" s="138">
        <f t="shared" ref="K839:K842" si="370">L839-J839</f>
        <v>0</v>
      </c>
      <c r="L839" s="138">
        <v>0</v>
      </c>
      <c r="M839" s="80">
        <v>0</v>
      </c>
      <c r="N839" s="357" t="str">
        <f t="shared" si="368"/>
        <v>-</v>
      </c>
      <c r="O839" s="428"/>
    </row>
    <row r="840" spans="1:15" ht="11.1" customHeight="1" outlineLevel="1" x14ac:dyDescent="0.2">
      <c r="A840" s="424"/>
      <c r="B840" s="351" t="s">
        <v>11</v>
      </c>
      <c r="C840" s="148" t="s">
        <v>92</v>
      </c>
      <c r="D840" s="421"/>
      <c r="E840" s="421"/>
      <c r="F840" s="356" t="s">
        <v>7</v>
      </c>
      <c r="G840" s="178">
        <v>9600000</v>
      </c>
      <c r="H840" s="243">
        <f t="shared" si="369"/>
        <v>0</v>
      </c>
      <c r="I840" s="357">
        <f t="shared" si="367"/>
        <v>0</v>
      </c>
      <c r="J840" s="138">
        <v>0</v>
      </c>
      <c r="K840" s="138">
        <f t="shared" si="370"/>
        <v>0</v>
      </c>
      <c r="L840" s="138">
        <v>0</v>
      </c>
      <c r="M840" s="80">
        <v>0</v>
      </c>
      <c r="N840" s="357" t="str">
        <f t="shared" si="368"/>
        <v>-</v>
      </c>
      <c r="O840" s="428"/>
    </row>
    <row r="841" spans="1:15" ht="11.1" customHeight="1" outlineLevel="1" x14ac:dyDescent="0.2">
      <c r="A841" s="194"/>
      <c r="B841" s="351" t="s">
        <v>12</v>
      </c>
      <c r="C841" s="148" t="s">
        <v>410</v>
      </c>
      <c r="D841" s="358"/>
      <c r="E841" s="358"/>
      <c r="F841" s="356" t="s">
        <v>8</v>
      </c>
      <c r="G841" s="178">
        <v>0</v>
      </c>
      <c r="H841" s="243">
        <f t="shared" si="369"/>
        <v>0</v>
      </c>
      <c r="I841" s="357" t="str">
        <f t="shared" si="367"/>
        <v>-</v>
      </c>
      <c r="J841" s="138">
        <v>0</v>
      </c>
      <c r="K841" s="138">
        <f t="shared" si="370"/>
        <v>0</v>
      </c>
      <c r="L841" s="138">
        <v>0</v>
      </c>
      <c r="M841" s="80">
        <v>0</v>
      </c>
      <c r="N841" s="357" t="str">
        <f t="shared" si="368"/>
        <v>-</v>
      </c>
      <c r="O841" s="428"/>
    </row>
    <row r="842" spans="1:15" ht="11.1" customHeight="1" outlineLevel="1" x14ac:dyDescent="0.2">
      <c r="A842" s="194"/>
      <c r="B842" s="76" t="s">
        <v>23</v>
      </c>
      <c r="C842" s="148" t="s">
        <v>138</v>
      </c>
      <c r="D842" s="358"/>
      <c r="E842" s="358"/>
      <c r="F842" s="356" t="s">
        <v>22</v>
      </c>
      <c r="G842" s="359">
        <v>0</v>
      </c>
      <c r="H842" s="243">
        <f t="shared" si="369"/>
        <v>0</v>
      </c>
      <c r="I842" s="357" t="str">
        <f t="shared" si="367"/>
        <v>-</v>
      </c>
      <c r="J842" s="138">
        <v>0</v>
      </c>
      <c r="K842" s="138">
        <f t="shared" si="370"/>
        <v>0</v>
      </c>
      <c r="L842" s="138">
        <v>0</v>
      </c>
      <c r="M842" s="80">
        <v>0</v>
      </c>
      <c r="N842" s="357" t="str">
        <f t="shared" si="368"/>
        <v>-</v>
      </c>
      <c r="O842" s="428"/>
    </row>
    <row r="843" spans="1:15" ht="11.1" customHeight="1" outlineLevel="1" x14ac:dyDescent="0.2">
      <c r="A843" s="194"/>
      <c r="B843" s="351"/>
      <c r="C843" s="148"/>
      <c r="D843" s="358"/>
      <c r="E843" s="358"/>
      <c r="F843" s="356" t="s">
        <v>45</v>
      </c>
      <c r="G843" s="359">
        <v>520000</v>
      </c>
      <c r="H843" s="243">
        <f t="shared" si="369"/>
        <v>70819</v>
      </c>
      <c r="I843" s="357">
        <f t="shared" si="367"/>
        <v>13.619038461538461</v>
      </c>
      <c r="J843" s="178">
        <v>0</v>
      </c>
      <c r="K843" s="178">
        <f t="shared" ref="K843:K844" si="371">L843-J843</f>
        <v>165234</v>
      </c>
      <c r="L843" s="178">
        <v>165234</v>
      </c>
      <c r="M843" s="83">
        <v>70818.570000000007</v>
      </c>
      <c r="N843" s="357">
        <f t="shared" si="368"/>
        <v>42.85956280184466</v>
      </c>
      <c r="O843" s="428"/>
    </row>
    <row r="844" spans="1:15" ht="11.1" customHeight="1" outlineLevel="1" x14ac:dyDescent="0.2">
      <c r="A844" s="194"/>
      <c r="B844" s="351"/>
      <c r="C844" s="148"/>
      <c r="D844" s="358"/>
      <c r="E844" s="358"/>
      <c r="F844" s="356" t="s">
        <v>359</v>
      </c>
      <c r="G844" s="359">
        <v>0</v>
      </c>
      <c r="H844" s="243">
        <f t="shared" si="369"/>
        <v>0</v>
      </c>
      <c r="I844" s="357" t="str">
        <f t="shared" si="367"/>
        <v>-</v>
      </c>
      <c r="J844" s="138">
        <v>0</v>
      </c>
      <c r="K844" s="138">
        <f t="shared" si="371"/>
        <v>0</v>
      </c>
      <c r="L844" s="138">
        <v>0</v>
      </c>
      <c r="M844" s="80">
        <v>0</v>
      </c>
      <c r="N844" s="357" t="str">
        <f t="shared" si="368"/>
        <v>-</v>
      </c>
      <c r="O844" s="428"/>
    </row>
    <row r="845" spans="1:15" ht="3.95" customHeight="1" outlineLevel="1" x14ac:dyDescent="0.2">
      <c r="A845" s="360"/>
      <c r="B845" s="361"/>
      <c r="C845" s="362"/>
      <c r="D845" s="195"/>
      <c r="E845" s="195"/>
      <c r="F845" s="361"/>
      <c r="G845" s="363"/>
      <c r="H845" s="363"/>
      <c r="I845" s="361"/>
      <c r="J845" s="363"/>
      <c r="K845" s="363"/>
      <c r="L845" s="364"/>
      <c r="M845" s="176"/>
      <c r="N845" s="365"/>
      <c r="O845" s="429"/>
    </row>
    <row r="846" spans="1:15" ht="3.95" customHeight="1" outlineLevel="1" x14ac:dyDescent="0.2">
      <c r="A846" s="345"/>
      <c r="B846" s="346"/>
      <c r="C846" s="347"/>
      <c r="D846" s="196"/>
      <c r="E846" s="196"/>
      <c r="F846" s="346"/>
      <c r="G846" s="348"/>
      <c r="H846" s="348"/>
      <c r="I846" s="349"/>
      <c r="J846" s="348"/>
      <c r="K846" s="348"/>
      <c r="L846" s="350"/>
      <c r="M846" s="229"/>
      <c r="N846" s="349"/>
      <c r="O846" s="408" t="s">
        <v>624</v>
      </c>
    </row>
    <row r="847" spans="1:15" ht="11.1" customHeight="1" outlineLevel="1" x14ac:dyDescent="0.2">
      <c r="A847" s="424" t="s">
        <v>462</v>
      </c>
      <c r="B847" s="351" t="s">
        <v>9</v>
      </c>
      <c r="C847" s="352" t="s">
        <v>416</v>
      </c>
      <c r="D847" s="421" t="s">
        <v>389</v>
      </c>
      <c r="E847" s="421" t="s">
        <v>139</v>
      </c>
      <c r="F847" s="353" t="s">
        <v>28</v>
      </c>
      <c r="G847" s="241">
        <f>SUM(G848:G853)</f>
        <v>2200482</v>
      </c>
      <c r="H847" s="241">
        <f>SUM(H848:H853)</f>
        <v>0</v>
      </c>
      <c r="I847" s="354">
        <f t="shared" ref="I847:I853" si="372">IF(G847&gt;0,H847/G847*100,"-")</f>
        <v>0</v>
      </c>
      <c r="J847" s="241">
        <f>SUM(J848:J853)</f>
        <v>400000</v>
      </c>
      <c r="K847" s="241">
        <f>SUM(K848:K853)</f>
        <v>-328946</v>
      </c>
      <c r="L847" s="241">
        <f>SUM(L848:L853)</f>
        <v>71054</v>
      </c>
      <c r="M847" s="355">
        <f>SUM(M848:M853)</f>
        <v>8877.7199999999993</v>
      </c>
      <c r="N847" s="354">
        <f t="shared" ref="N847:N853" si="373">IF(L847&gt;0,M847/L847*100,"-")</f>
        <v>12.49432825738171</v>
      </c>
      <c r="O847" s="428"/>
    </row>
    <row r="848" spans="1:15" ht="11.1" customHeight="1" outlineLevel="1" x14ac:dyDescent="0.2">
      <c r="A848" s="424"/>
      <c r="B848" s="351" t="s">
        <v>10</v>
      </c>
      <c r="C848" s="352" t="s">
        <v>414</v>
      </c>
      <c r="D848" s="421"/>
      <c r="E848" s="421"/>
      <c r="F848" s="356" t="s">
        <v>15</v>
      </c>
      <c r="G848" s="178">
        <v>100000</v>
      </c>
      <c r="H848" s="178">
        <v>0</v>
      </c>
      <c r="I848" s="357">
        <f t="shared" si="372"/>
        <v>0</v>
      </c>
      <c r="J848" s="178">
        <v>100000</v>
      </c>
      <c r="K848" s="178">
        <f t="shared" ref="K848:K853" si="374">L848-J848</f>
        <v>-37946</v>
      </c>
      <c r="L848" s="178">
        <v>62054</v>
      </c>
      <c r="M848" s="83">
        <v>0</v>
      </c>
      <c r="N848" s="357">
        <f t="shared" si="373"/>
        <v>0</v>
      </c>
      <c r="O848" s="428"/>
    </row>
    <row r="849" spans="1:15" ht="11.1" customHeight="1" outlineLevel="1" x14ac:dyDescent="0.2">
      <c r="A849" s="424"/>
      <c r="B849" s="96"/>
      <c r="C849" s="96" t="s">
        <v>415</v>
      </c>
      <c r="D849" s="421"/>
      <c r="E849" s="421"/>
      <c r="F849" s="356" t="s">
        <v>7</v>
      </c>
      <c r="G849" s="178">
        <v>1777760</v>
      </c>
      <c r="H849" s="178">
        <v>0</v>
      </c>
      <c r="I849" s="357">
        <f t="shared" si="372"/>
        <v>0</v>
      </c>
      <c r="J849" s="178">
        <v>255000</v>
      </c>
      <c r="K849" s="178">
        <f t="shared" si="374"/>
        <v>-255000</v>
      </c>
      <c r="L849" s="178">
        <v>0</v>
      </c>
      <c r="M849" s="83">
        <v>0</v>
      </c>
      <c r="N849" s="357" t="str">
        <f t="shared" si="373"/>
        <v>-</v>
      </c>
      <c r="O849" s="428"/>
    </row>
    <row r="850" spans="1:15" ht="11.1" customHeight="1" outlineLevel="1" x14ac:dyDescent="0.2">
      <c r="A850" s="194"/>
      <c r="B850" s="351" t="s">
        <v>11</v>
      </c>
      <c r="C850" s="148" t="s">
        <v>417</v>
      </c>
      <c r="D850" s="358"/>
      <c r="E850" s="358"/>
      <c r="F850" s="356" t="s">
        <v>8</v>
      </c>
      <c r="G850" s="178">
        <v>0</v>
      </c>
      <c r="H850" s="178">
        <v>0</v>
      </c>
      <c r="I850" s="357" t="str">
        <f t="shared" si="372"/>
        <v>-</v>
      </c>
      <c r="J850" s="138">
        <v>0</v>
      </c>
      <c r="K850" s="138">
        <f t="shared" si="374"/>
        <v>0</v>
      </c>
      <c r="L850" s="138">
        <v>0</v>
      </c>
      <c r="M850" s="80">
        <v>0</v>
      </c>
      <c r="N850" s="357" t="str">
        <f t="shared" si="373"/>
        <v>-</v>
      </c>
      <c r="O850" s="428"/>
    </row>
    <row r="851" spans="1:15" ht="11.1" customHeight="1" outlineLevel="1" x14ac:dyDescent="0.2">
      <c r="A851" s="194"/>
      <c r="B851" s="351" t="s">
        <v>12</v>
      </c>
      <c r="C851" s="148" t="s">
        <v>418</v>
      </c>
      <c r="D851" s="358"/>
      <c r="E851" s="358"/>
      <c r="F851" s="356" t="s">
        <v>22</v>
      </c>
      <c r="G851" s="178">
        <v>313722</v>
      </c>
      <c r="H851" s="243">
        <v>0</v>
      </c>
      <c r="I851" s="357">
        <f t="shared" si="372"/>
        <v>0</v>
      </c>
      <c r="J851" s="178">
        <v>45000</v>
      </c>
      <c r="K851" s="178">
        <f t="shared" si="374"/>
        <v>-45000</v>
      </c>
      <c r="L851" s="178">
        <v>0</v>
      </c>
      <c r="M851" s="83">
        <v>0</v>
      </c>
      <c r="N851" s="357" t="str">
        <f t="shared" si="373"/>
        <v>-</v>
      </c>
      <c r="O851" s="428"/>
    </row>
    <row r="852" spans="1:15" ht="11.1" customHeight="1" outlineLevel="1" x14ac:dyDescent="0.2">
      <c r="A852" s="194"/>
      <c r="B852" s="351" t="s">
        <v>23</v>
      </c>
      <c r="C852" s="148" t="s">
        <v>419</v>
      </c>
      <c r="D852" s="358"/>
      <c r="E852" s="358"/>
      <c r="F852" s="356" t="s">
        <v>45</v>
      </c>
      <c r="G852" s="178">
        <v>9000</v>
      </c>
      <c r="H852" s="243">
        <v>0</v>
      </c>
      <c r="I852" s="357">
        <f t="shared" si="372"/>
        <v>0</v>
      </c>
      <c r="J852" s="138">
        <v>0</v>
      </c>
      <c r="K852" s="138">
        <f t="shared" si="374"/>
        <v>9000</v>
      </c>
      <c r="L852" s="138">
        <v>9000</v>
      </c>
      <c r="M852" s="80">
        <v>8877.7199999999993</v>
      </c>
      <c r="N852" s="357">
        <f t="shared" si="373"/>
        <v>98.641333333333321</v>
      </c>
      <c r="O852" s="428"/>
    </row>
    <row r="853" spans="1:15" ht="11.1" customHeight="1" outlineLevel="1" x14ac:dyDescent="0.2">
      <c r="A853" s="194"/>
      <c r="B853" s="351"/>
      <c r="C853" s="148"/>
      <c r="D853" s="358"/>
      <c r="E853" s="358"/>
      <c r="F853" s="356" t="s">
        <v>359</v>
      </c>
      <c r="G853" s="359">
        <v>0</v>
      </c>
      <c r="H853" s="359">
        <v>0</v>
      </c>
      <c r="I853" s="357" t="str">
        <f t="shared" si="372"/>
        <v>-</v>
      </c>
      <c r="J853" s="138">
        <v>0</v>
      </c>
      <c r="K853" s="138">
        <f t="shared" si="374"/>
        <v>0</v>
      </c>
      <c r="L853" s="138">
        <v>0</v>
      </c>
      <c r="M853" s="80">
        <v>0</v>
      </c>
      <c r="N853" s="357" t="str">
        <f t="shared" si="373"/>
        <v>-</v>
      </c>
      <c r="O853" s="428"/>
    </row>
    <row r="854" spans="1:15" ht="3.95" customHeight="1" outlineLevel="1" x14ac:dyDescent="0.2">
      <c r="A854" s="360"/>
      <c r="B854" s="361"/>
      <c r="C854" s="362"/>
      <c r="D854" s="195"/>
      <c r="E854" s="195"/>
      <c r="F854" s="361"/>
      <c r="G854" s="363"/>
      <c r="H854" s="363"/>
      <c r="I854" s="361"/>
      <c r="J854" s="363"/>
      <c r="K854" s="363"/>
      <c r="L854" s="364"/>
      <c r="M854" s="176"/>
      <c r="N854" s="365"/>
      <c r="O854" s="429"/>
    </row>
    <row r="855" spans="1:15" ht="3.95" customHeight="1" outlineLevel="1" x14ac:dyDescent="0.2">
      <c r="A855" s="152"/>
      <c r="B855" s="72"/>
      <c r="C855" s="347"/>
      <c r="D855" s="71"/>
      <c r="E855" s="71"/>
      <c r="F855" s="72"/>
      <c r="G855" s="135"/>
      <c r="H855" s="135"/>
      <c r="I855" s="75"/>
      <c r="J855" s="135"/>
      <c r="K855" s="135"/>
      <c r="L855" s="136"/>
      <c r="M855" s="74"/>
      <c r="N855" s="75"/>
      <c r="O855" s="323"/>
    </row>
    <row r="856" spans="1:15" ht="11.1" customHeight="1" outlineLevel="1" x14ac:dyDescent="0.2">
      <c r="A856" s="409" t="s">
        <v>463</v>
      </c>
      <c r="B856" s="76" t="s">
        <v>9</v>
      </c>
      <c r="C856" s="352" t="s">
        <v>90</v>
      </c>
      <c r="D856" s="410" t="s">
        <v>142</v>
      </c>
      <c r="E856" s="410" t="s">
        <v>141</v>
      </c>
      <c r="F856" s="78" t="s">
        <v>28</v>
      </c>
      <c r="G856" s="137">
        <f>SUM(G857:G862)</f>
        <v>215080076</v>
      </c>
      <c r="H856" s="137">
        <f>SUM(H857:H862)</f>
        <v>186154844</v>
      </c>
      <c r="I856" s="39">
        <f t="shared" ref="I856:I862" si="375">IF(G856&gt;0,H856/G856*100,"-")</f>
        <v>86.551412600393547</v>
      </c>
      <c r="J856" s="137">
        <f>SUM(J857:J862)</f>
        <v>58877612</v>
      </c>
      <c r="K856" s="137">
        <f>SUM(K857:K862)</f>
        <v>-2012748</v>
      </c>
      <c r="L856" s="137">
        <f>SUM(L857:L862)</f>
        <v>56864864</v>
      </c>
      <c r="M856" s="38">
        <f>SUM(M857:M862)</f>
        <v>53664384.049999997</v>
      </c>
      <c r="N856" s="39">
        <f t="shared" ref="N856:N862" si="376">IF(L856&gt;0,M856/L856*100,"-")</f>
        <v>94.37177947000805</v>
      </c>
      <c r="O856" s="405" t="s">
        <v>623</v>
      </c>
    </row>
    <row r="857" spans="1:15" ht="11.1" customHeight="1" outlineLevel="1" x14ac:dyDescent="0.2">
      <c r="A857" s="409"/>
      <c r="B857" s="76" t="s">
        <v>10</v>
      </c>
      <c r="C857" s="352" t="s">
        <v>91</v>
      </c>
      <c r="D857" s="410"/>
      <c r="E857" s="410"/>
      <c r="F857" s="79" t="s">
        <v>15</v>
      </c>
      <c r="G857" s="138">
        <v>11573943</v>
      </c>
      <c r="H857" s="138">
        <f>ROUNDUP(4397350+M857,0)</f>
        <v>4397350</v>
      </c>
      <c r="I857" s="81">
        <f t="shared" si="375"/>
        <v>37.993534269176891</v>
      </c>
      <c r="J857" s="138">
        <v>0</v>
      </c>
      <c r="K857" s="138">
        <f t="shared" ref="K857:K862" si="377">L857-J857</f>
        <v>0</v>
      </c>
      <c r="L857" s="138">
        <v>0</v>
      </c>
      <c r="M857" s="80">
        <v>0</v>
      </c>
      <c r="N857" s="81" t="str">
        <f t="shared" si="376"/>
        <v>-</v>
      </c>
      <c r="O857" s="405"/>
    </row>
    <row r="858" spans="1:15" ht="11.1" customHeight="1" outlineLevel="1" x14ac:dyDescent="0.2">
      <c r="A858" s="409"/>
      <c r="B858" s="76" t="s">
        <v>11</v>
      </c>
      <c r="C858" s="148" t="s">
        <v>92</v>
      </c>
      <c r="D858" s="410"/>
      <c r="E858" s="410"/>
      <c r="F858" s="79" t="s">
        <v>7</v>
      </c>
      <c r="G858" s="138">
        <v>100015851</v>
      </c>
      <c r="H858" s="178">
        <f>ROUNDUP(67858881+M858,0)</f>
        <v>100015851</v>
      </c>
      <c r="I858" s="81">
        <f t="shared" si="375"/>
        <v>100</v>
      </c>
      <c r="J858" s="138">
        <v>19438529</v>
      </c>
      <c r="K858" s="138">
        <f t="shared" si="377"/>
        <v>12718441</v>
      </c>
      <c r="L858" s="138">
        <v>32156970</v>
      </c>
      <c r="M858" s="80">
        <v>32156969.039999999</v>
      </c>
      <c r="N858" s="81">
        <f t="shared" si="376"/>
        <v>99.999997014644109</v>
      </c>
      <c r="O858" s="405"/>
    </row>
    <row r="859" spans="1:15" ht="11.1" customHeight="1" outlineLevel="1" x14ac:dyDescent="0.2">
      <c r="A859" s="117"/>
      <c r="B859" s="76" t="s">
        <v>12</v>
      </c>
      <c r="C859" s="148" t="s">
        <v>302</v>
      </c>
      <c r="D859" s="108"/>
      <c r="E859" s="108"/>
      <c r="F859" s="79" t="s">
        <v>8</v>
      </c>
      <c r="G859" s="138">
        <v>99743142</v>
      </c>
      <c r="H859" s="178">
        <f>ROUNDUP(59548627+M859,0)</f>
        <v>78053212</v>
      </c>
      <c r="I859" s="81">
        <f t="shared" si="375"/>
        <v>78.254214209534325</v>
      </c>
      <c r="J859" s="138">
        <v>35074083</v>
      </c>
      <c r="K859" s="138">
        <f t="shared" si="377"/>
        <v>-13427729</v>
      </c>
      <c r="L859" s="138">
        <v>21646354</v>
      </c>
      <c r="M859" s="80">
        <v>18504585</v>
      </c>
      <c r="N859" s="81">
        <f t="shared" si="376"/>
        <v>85.485920631252725</v>
      </c>
      <c r="O859" s="405"/>
    </row>
    <row r="860" spans="1:15" ht="11.1" customHeight="1" outlineLevel="1" x14ac:dyDescent="0.2">
      <c r="A860" s="117"/>
      <c r="B860" s="76"/>
      <c r="C860" s="148" t="s">
        <v>497</v>
      </c>
      <c r="D860" s="108"/>
      <c r="E860" s="108"/>
      <c r="F860" s="79" t="s">
        <v>22</v>
      </c>
      <c r="G860" s="138">
        <v>0</v>
      </c>
      <c r="H860" s="243">
        <f>ROUNDUP(0+M860,0)</f>
        <v>0</v>
      </c>
      <c r="I860" s="81" t="str">
        <f t="shared" si="375"/>
        <v>-</v>
      </c>
      <c r="J860" s="138">
        <v>0</v>
      </c>
      <c r="K860" s="138">
        <f t="shared" si="377"/>
        <v>0</v>
      </c>
      <c r="L860" s="138">
        <v>0</v>
      </c>
      <c r="M860" s="80">
        <v>0</v>
      </c>
      <c r="N860" s="81" t="str">
        <f t="shared" si="376"/>
        <v>-</v>
      </c>
      <c r="O860" s="405"/>
    </row>
    <row r="861" spans="1:15" ht="11.1" customHeight="1" outlineLevel="1" x14ac:dyDescent="0.2">
      <c r="A861" s="117"/>
      <c r="B861" s="76"/>
      <c r="C861" s="148" t="s">
        <v>498</v>
      </c>
      <c r="D861" s="108"/>
      <c r="E861" s="108"/>
      <c r="F861" s="79" t="s">
        <v>45</v>
      </c>
      <c r="G861" s="138">
        <v>3747140</v>
      </c>
      <c r="H861" s="243">
        <f>ROUNDUP(685600+M861,0)</f>
        <v>3688431</v>
      </c>
      <c r="I861" s="81">
        <f t="shared" si="375"/>
        <v>98.433231744743992</v>
      </c>
      <c r="J861" s="138">
        <v>4365000</v>
      </c>
      <c r="K861" s="138">
        <f t="shared" si="377"/>
        <v>-1303460</v>
      </c>
      <c r="L861" s="138">
        <v>3061540</v>
      </c>
      <c r="M861" s="80">
        <v>3002830.01</v>
      </c>
      <c r="N861" s="81">
        <f t="shared" si="376"/>
        <v>98.082337973699509</v>
      </c>
      <c r="O861" s="405"/>
    </row>
    <row r="862" spans="1:15" ht="11.1" customHeight="1" outlineLevel="1" x14ac:dyDescent="0.2">
      <c r="A862" s="117"/>
      <c r="B862" s="76" t="s">
        <v>23</v>
      </c>
      <c r="C862" s="148" t="s">
        <v>138</v>
      </c>
      <c r="D862" s="108"/>
      <c r="E862" s="108"/>
      <c r="F862" s="79" t="s">
        <v>359</v>
      </c>
      <c r="G862" s="139">
        <v>0</v>
      </c>
      <c r="H862" s="359">
        <f>ROUNDUP(0+M862,0)</f>
        <v>0</v>
      </c>
      <c r="I862" s="81" t="str">
        <f t="shared" si="375"/>
        <v>-</v>
      </c>
      <c r="J862" s="138">
        <v>0</v>
      </c>
      <c r="K862" s="138">
        <f t="shared" si="377"/>
        <v>0</v>
      </c>
      <c r="L862" s="138">
        <v>0</v>
      </c>
      <c r="M862" s="80">
        <v>0</v>
      </c>
      <c r="N862" s="81" t="str">
        <f t="shared" si="376"/>
        <v>-</v>
      </c>
      <c r="O862" s="405"/>
    </row>
    <row r="863" spans="1:15" ht="3.95" customHeight="1" outlineLevel="1" x14ac:dyDescent="0.2">
      <c r="A863" s="118"/>
      <c r="B863" s="85"/>
      <c r="C863" s="362"/>
      <c r="D863" s="84"/>
      <c r="E863" s="84"/>
      <c r="F863" s="85"/>
      <c r="G863" s="140"/>
      <c r="H863" s="140"/>
      <c r="I863" s="85"/>
      <c r="J863" s="140"/>
      <c r="K863" s="140"/>
      <c r="L863" s="141"/>
      <c r="M863" s="87"/>
      <c r="N863" s="88"/>
      <c r="O863" s="324"/>
    </row>
    <row r="864" spans="1:15" ht="3.95" customHeight="1" outlineLevel="1" x14ac:dyDescent="0.2">
      <c r="A864" s="152"/>
      <c r="B864" s="72"/>
      <c r="C864" s="347"/>
      <c r="D864" s="71"/>
      <c r="E864" s="71"/>
      <c r="F864" s="72"/>
      <c r="G864" s="135"/>
      <c r="H864" s="135"/>
      <c r="I864" s="75"/>
      <c r="J864" s="135"/>
      <c r="K864" s="135"/>
      <c r="L864" s="136"/>
      <c r="M864" s="74"/>
      <c r="N864" s="75"/>
      <c r="O864" s="323"/>
    </row>
    <row r="865" spans="1:15" ht="11.1" customHeight="1" outlineLevel="1" x14ac:dyDescent="0.2">
      <c r="A865" s="409" t="s">
        <v>464</v>
      </c>
      <c r="B865" s="76" t="s">
        <v>9</v>
      </c>
      <c r="C865" s="352" t="s">
        <v>86</v>
      </c>
      <c r="D865" s="410" t="s">
        <v>147</v>
      </c>
      <c r="E865" s="410" t="s">
        <v>141</v>
      </c>
      <c r="F865" s="78" t="s">
        <v>28</v>
      </c>
      <c r="G865" s="241">
        <f>SUM(G866:G871)</f>
        <v>50181758</v>
      </c>
      <c r="H865" s="137">
        <f>SUM(H866:H871)</f>
        <v>48823567</v>
      </c>
      <c r="I865" s="39">
        <f t="shared" ref="I865:I871" si="378">IF(G865&gt;0,H865/G865*100,"-")</f>
        <v>97.293456717877433</v>
      </c>
      <c r="J865" s="137">
        <f>SUM(J866:J871)</f>
        <v>10959148</v>
      </c>
      <c r="K865" s="137">
        <f>SUM(K866:K871)</f>
        <v>689423</v>
      </c>
      <c r="L865" s="241">
        <f>SUM(L866:L871)</f>
        <v>11648571</v>
      </c>
      <c r="M865" s="38">
        <f>SUM(M866:M871)</f>
        <v>11440378.129999999</v>
      </c>
      <c r="N865" s="39">
        <f t="shared" ref="N865:N871" si="379">IF(L865&gt;0,M865/L865*100,"-")</f>
        <v>98.212717508439439</v>
      </c>
      <c r="O865" s="405" t="s">
        <v>625</v>
      </c>
    </row>
    <row r="866" spans="1:15" ht="11.1" customHeight="1" outlineLevel="1" x14ac:dyDescent="0.2">
      <c r="A866" s="409"/>
      <c r="B866" s="76" t="s">
        <v>10</v>
      </c>
      <c r="C866" s="352" t="s">
        <v>143</v>
      </c>
      <c r="D866" s="410"/>
      <c r="E866" s="410"/>
      <c r="F866" s="79" t="s">
        <v>15</v>
      </c>
      <c r="G866" s="138">
        <v>946476</v>
      </c>
      <c r="H866" s="138">
        <f>ROUNDUP(396476+M866,0)</f>
        <v>396476</v>
      </c>
      <c r="I866" s="81">
        <f t="shared" si="378"/>
        <v>41.889704546126893</v>
      </c>
      <c r="J866" s="138">
        <v>0</v>
      </c>
      <c r="K866" s="138">
        <f t="shared" ref="K866:K871" si="380">L866-J866</f>
        <v>0</v>
      </c>
      <c r="L866" s="178">
        <v>0</v>
      </c>
      <c r="M866" s="80">
        <v>0</v>
      </c>
      <c r="N866" s="81" t="str">
        <f t="shared" si="379"/>
        <v>-</v>
      </c>
      <c r="O866" s="405"/>
    </row>
    <row r="867" spans="1:15" ht="11.1" customHeight="1" outlineLevel="1" x14ac:dyDescent="0.2">
      <c r="A867" s="409"/>
      <c r="B867" s="76" t="s">
        <v>11</v>
      </c>
      <c r="C867" s="148" t="s">
        <v>144</v>
      </c>
      <c r="D867" s="410"/>
      <c r="E867" s="410"/>
      <c r="F867" s="79" t="s">
        <v>7</v>
      </c>
      <c r="G867" s="138">
        <v>27176429</v>
      </c>
      <c r="H867" s="138">
        <f>ROUNDUP(20317270+M867,0)</f>
        <v>26576429</v>
      </c>
      <c r="I867" s="81">
        <f t="shared" si="378"/>
        <v>97.792204413611515</v>
      </c>
      <c r="J867" s="138">
        <v>6113305</v>
      </c>
      <c r="K867" s="138">
        <f t="shared" si="380"/>
        <v>145854</v>
      </c>
      <c r="L867" s="178">
        <v>6259159</v>
      </c>
      <c r="M867" s="80">
        <f>6259158.89</f>
        <v>6259158.8899999997</v>
      </c>
      <c r="N867" s="81">
        <f t="shared" si="379"/>
        <v>99.999998242575401</v>
      </c>
      <c r="O867" s="405"/>
    </row>
    <row r="868" spans="1:15" ht="11.1" customHeight="1" outlineLevel="1" x14ac:dyDescent="0.2">
      <c r="A868" s="117"/>
      <c r="B868" s="76"/>
      <c r="C868" s="148" t="s">
        <v>145</v>
      </c>
      <c r="D868" s="108"/>
      <c r="E868" s="108"/>
      <c r="F868" s="79" t="s">
        <v>8</v>
      </c>
      <c r="G868" s="138">
        <v>20717476</v>
      </c>
      <c r="H868" s="138">
        <f>ROUNDUP(16511432+M868,0)</f>
        <v>20717476</v>
      </c>
      <c r="I868" s="81">
        <f t="shared" si="378"/>
        <v>100</v>
      </c>
      <c r="J868" s="138">
        <v>4373843</v>
      </c>
      <c r="K868" s="138">
        <f t="shared" si="380"/>
        <v>-167799</v>
      </c>
      <c r="L868" s="178">
        <v>4206044</v>
      </c>
      <c r="M868" s="80">
        <v>4206043.08</v>
      </c>
      <c r="N868" s="81">
        <f t="shared" si="379"/>
        <v>99.999978126714794</v>
      </c>
      <c r="O868" s="405"/>
    </row>
    <row r="869" spans="1:15" ht="11.1" customHeight="1" outlineLevel="1" x14ac:dyDescent="0.2">
      <c r="A869" s="117"/>
      <c r="B869" s="76" t="s">
        <v>12</v>
      </c>
      <c r="C869" s="148" t="s">
        <v>216</v>
      </c>
      <c r="D869" s="108"/>
      <c r="E869" s="108"/>
      <c r="F869" s="79" t="s">
        <v>22</v>
      </c>
      <c r="G869" s="138">
        <v>0</v>
      </c>
      <c r="H869" s="243">
        <f>ROUNDUP(0+M869,0)</f>
        <v>0</v>
      </c>
      <c r="I869" s="81" t="str">
        <f t="shared" si="378"/>
        <v>-</v>
      </c>
      <c r="J869" s="138">
        <v>0</v>
      </c>
      <c r="K869" s="138">
        <f t="shared" si="380"/>
        <v>0</v>
      </c>
      <c r="L869" s="178">
        <v>0</v>
      </c>
      <c r="M869" s="80">
        <v>0</v>
      </c>
      <c r="N869" s="81" t="str">
        <f t="shared" si="379"/>
        <v>-</v>
      </c>
      <c r="O869" s="405"/>
    </row>
    <row r="870" spans="1:15" ht="11.1" customHeight="1" outlineLevel="1" x14ac:dyDescent="0.2">
      <c r="A870" s="117"/>
      <c r="B870" s="76"/>
      <c r="C870" s="148" t="s">
        <v>217</v>
      </c>
      <c r="D870" s="108"/>
      <c r="E870" s="108"/>
      <c r="F870" s="79" t="s">
        <v>45</v>
      </c>
      <c r="G870" s="138">
        <v>1341377</v>
      </c>
      <c r="H870" s="243">
        <f>ROUNDUP(158009+M870,0)</f>
        <v>1133186</v>
      </c>
      <c r="I870" s="81">
        <f t="shared" si="378"/>
        <v>84.479307457933146</v>
      </c>
      <c r="J870" s="138">
        <v>472000</v>
      </c>
      <c r="K870" s="138">
        <f t="shared" si="380"/>
        <v>711368</v>
      </c>
      <c r="L870" s="178">
        <v>1183368</v>
      </c>
      <c r="M870" s="80">
        <f>975176.16</f>
        <v>975176.16</v>
      </c>
      <c r="N870" s="81">
        <f t="shared" si="379"/>
        <v>82.40683878556797</v>
      </c>
      <c r="O870" s="405"/>
    </row>
    <row r="871" spans="1:15" ht="11.1" customHeight="1" outlineLevel="1" x14ac:dyDescent="0.2">
      <c r="A871" s="117"/>
      <c r="B871" s="76" t="s">
        <v>23</v>
      </c>
      <c r="C871" s="148" t="s">
        <v>137</v>
      </c>
      <c r="D871" s="108"/>
      <c r="E871" s="108"/>
      <c r="F871" s="79" t="s">
        <v>359</v>
      </c>
      <c r="G871" s="139">
        <v>0</v>
      </c>
      <c r="H871" s="139">
        <f>ROUNDUP(0+M871,0)</f>
        <v>0</v>
      </c>
      <c r="I871" s="81" t="str">
        <f t="shared" si="378"/>
        <v>-</v>
      </c>
      <c r="J871" s="138">
        <v>0</v>
      </c>
      <c r="K871" s="138">
        <f t="shared" si="380"/>
        <v>0</v>
      </c>
      <c r="L871" s="138">
        <v>0</v>
      </c>
      <c r="M871" s="80">
        <v>0</v>
      </c>
      <c r="N871" s="81" t="str">
        <f t="shared" si="379"/>
        <v>-</v>
      </c>
      <c r="O871" s="405"/>
    </row>
    <row r="872" spans="1:15" ht="3.95" customHeight="1" outlineLevel="1" x14ac:dyDescent="0.2">
      <c r="A872" s="118"/>
      <c r="B872" s="85"/>
      <c r="C872" s="362"/>
      <c r="D872" s="84"/>
      <c r="E872" s="84"/>
      <c r="F872" s="85"/>
      <c r="G872" s="140"/>
      <c r="H872" s="140"/>
      <c r="I872" s="85"/>
      <c r="J872" s="140"/>
      <c r="K872" s="140"/>
      <c r="L872" s="141"/>
      <c r="M872" s="87"/>
      <c r="N872" s="88"/>
      <c r="O872" s="324"/>
    </row>
    <row r="873" spans="1:15" ht="3.95" customHeight="1" outlineLevel="1" x14ac:dyDescent="0.2">
      <c r="A873" s="152"/>
      <c r="B873" s="72"/>
      <c r="C873" s="347"/>
      <c r="D873" s="71"/>
      <c r="E873" s="71"/>
      <c r="F873" s="72"/>
      <c r="G873" s="135"/>
      <c r="H873" s="135"/>
      <c r="I873" s="75"/>
      <c r="J873" s="135"/>
      <c r="K873" s="135"/>
      <c r="L873" s="136"/>
      <c r="M873" s="74"/>
      <c r="N873" s="75"/>
      <c r="O873" s="323"/>
    </row>
    <row r="874" spans="1:15" ht="11.1" customHeight="1" outlineLevel="1" x14ac:dyDescent="0.2">
      <c r="A874" s="409" t="s">
        <v>465</v>
      </c>
      <c r="B874" s="76" t="s">
        <v>9</v>
      </c>
      <c r="C874" s="352" t="s">
        <v>86</v>
      </c>
      <c r="D874" s="410" t="s">
        <v>335</v>
      </c>
      <c r="E874" s="410" t="s">
        <v>141</v>
      </c>
      <c r="F874" s="78" t="s">
        <v>28</v>
      </c>
      <c r="G874" s="137">
        <f>SUM(G875:G880)</f>
        <v>40108583</v>
      </c>
      <c r="H874" s="137">
        <f>SUM(H875:H880)</f>
        <v>40085414</v>
      </c>
      <c r="I874" s="39">
        <f t="shared" ref="I874:I880" si="381">IF(G874&gt;0,H874/G874*100,"-")</f>
        <v>99.942234309299835</v>
      </c>
      <c r="J874" s="137">
        <f>SUM(J875:J880)</f>
        <v>2654883</v>
      </c>
      <c r="K874" s="137">
        <f>SUM(K875:K880)</f>
        <v>4111016</v>
      </c>
      <c r="L874" s="137">
        <f>SUM(L875:L880)</f>
        <v>6765899</v>
      </c>
      <c r="M874" s="38">
        <f>SUM(M875:M880)</f>
        <v>6742729.0499999998</v>
      </c>
      <c r="N874" s="39">
        <f t="shared" ref="N874:N880" si="382">IF(L874&gt;0,M874/L874*100,"-")</f>
        <v>99.657548095234645</v>
      </c>
      <c r="O874" s="405" t="s">
        <v>626</v>
      </c>
    </row>
    <row r="875" spans="1:15" ht="11.1" customHeight="1" outlineLevel="1" x14ac:dyDescent="0.2">
      <c r="A875" s="409"/>
      <c r="B875" s="76" t="s">
        <v>10</v>
      </c>
      <c r="C875" s="352" t="s">
        <v>143</v>
      </c>
      <c r="D875" s="410"/>
      <c r="E875" s="410"/>
      <c r="F875" s="79" t="s">
        <v>15</v>
      </c>
      <c r="G875" s="138">
        <v>723550</v>
      </c>
      <c r="H875" s="138">
        <f>ROUNDUP(723550+M875,0)</f>
        <v>723550</v>
      </c>
      <c r="I875" s="81">
        <f t="shared" si="381"/>
        <v>100</v>
      </c>
      <c r="J875" s="138">
        <v>0</v>
      </c>
      <c r="K875" s="138">
        <f t="shared" ref="K875:K880" si="383">L875-J875</f>
        <v>0</v>
      </c>
      <c r="L875" s="138">
        <v>0</v>
      </c>
      <c r="M875" s="80">
        <v>0</v>
      </c>
      <c r="N875" s="81" t="str">
        <f t="shared" si="382"/>
        <v>-</v>
      </c>
      <c r="O875" s="405"/>
    </row>
    <row r="876" spans="1:15" ht="11.1" customHeight="1" outlineLevel="1" x14ac:dyDescent="0.2">
      <c r="A876" s="409"/>
      <c r="B876" s="76" t="s">
        <v>11</v>
      </c>
      <c r="C876" s="148" t="s">
        <v>144</v>
      </c>
      <c r="D876" s="410"/>
      <c r="E876" s="410"/>
      <c r="F876" s="79" t="s">
        <v>7</v>
      </c>
      <c r="G876" s="138">
        <v>22460141</v>
      </c>
      <c r="H876" s="178">
        <f>ROUNDUP(19062985+M876,0)</f>
        <v>22460141</v>
      </c>
      <c r="I876" s="81">
        <f t="shared" si="381"/>
        <v>100</v>
      </c>
      <c r="J876" s="138">
        <v>1985698</v>
      </c>
      <c r="K876" s="138">
        <f t="shared" si="383"/>
        <v>1411458</v>
      </c>
      <c r="L876" s="138">
        <v>3397156</v>
      </c>
      <c r="M876" s="80">
        <f>3397155.57</f>
        <v>3397155.57</v>
      </c>
      <c r="N876" s="81">
        <f t="shared" si="382"/>
        <v>99.999987342353421</v>
      </c>
      <c r="O876" s="405"/>
    </row>
    <row r="877" spans="1:15" ht="11.1" customHeight="1" outlineLevel="1" x14ac:dyDescent="0.2">
      <c r="A877" s="117"/>
      <c r="B877" s="76"/>
      <c r="C877" s="148" t="s">
        <v>145</v>
      </c>
      <c r="D877" s="108"/>
      <c r="E877" s="108"/>
      <c r="F877" s="79" t="s">
        <v>8</v>
      </c>
      <c r="G877" s="138">
        <v>15651824</v>
      </c>
      <c r="H877" s="178">
        <f>ROUNDUP(13279425+M877,0)</f>
        <v>15651824</v>
      </c>
      <c r="I877" s="81">
        <f t="shared" si="381"/>
        <v>100</v>
      </c>
      <c r="J877" s="138">
        <v>461144</v>
      </c>
      <c r="K877" s="138">
        <f t="shared" si="383"/>
        <v>1911255</v>
      </c>
      <c r="L877" s="138">
        <v>2372399</v>
      </c>
      <c r="M877" s="80">
        <v>2372398.59</v>
      </c>
      <c r="N877" s="81">
        <f t="shared" si="382"/>
        <v>99.999982717915486</v>
      </c>
      <c r="O877" s="405"/>
    </row>
    <row r="878" spans="1:15" ht="11.1" customHeight="1" outlineLevel="1" x14ac:dyDescent="0.2">
      <c r="A878" s="117"/>
      <c r="B878" s="76" t="s">
        <v>12</v>
      </c>
      <c r="C878" s="148" t="s">
        <v>218</v>
      </c>
      <c r="D878" s="108"/>
      <c r="E878" s="108"/>
      <c r="F878" s="79" t="s">
        <v>22</v>
      </c>
      <c r="G878" s="138">
        <v>0</v>
      </c>
      <c r="H878" s="243">
        <f>ROUNDUP(0+M878,0)</f>
        <v>0</v>
      </c>
      <c r="I878" s="81" t="str">
        <f t="shared" si="381"/>
        <v>-</v>
      </c>
      <c r="J878" s="138">
        <v>0</v>
      </c>
      <c r="K878" s="138">
        <f t="shared" si="383"/>
        <v>0</v>
      </c>
      <c r="L878" s="138">
        <v>0</v>
      </c>
      <c r="M878" s="80">
        <v>0</v>
      </c>
      <c r="N878" s="81" t="str">
        <f t="shared" si="382"/>
        <v>-</v>
      </c>
      <c r="O878" s="405"/>
    </row>
    <row r="879" spans="1:15" ht="11.1" customHeight="1" outlineLevel="1" x14ac:dyDescent="0.2">
      <c r="A879" s="117"/>
      <c r="B879" s="76"/>
      <c r="C879" s="148" t="s">
        <v>146</v>
      </c>
      <c r="D879" s="108"/>
      <c r="E879" s="108"/>
      <c r="F879" s="79" t="s">
        <v>45</v>
      </c>
      <c r="G879" s="138">
        <v>1273068</v>
      </c>
      <c r="H879" s="243">
        <f>ROUNDUP(276724+M879,0)</f>
        <v>1249899</v>
      </c>
      <c r="I879" s="81">
        <f t="shared" si="381"/>
        <v>98.180065793814634</v>
      </c>
      <c r="J879" s="138">
        <v>208041</v>
      </c>
      <c r="K879" s="138">
        <f t="shared" si="383"/>
        <v>788303</v>
      </c>
      <c r="L879" s="138">
        <v>996344</v>
      </c>
      <c r="M879" s="80">
        <f>973174.89</f>
        <v>973174.89</v>
      </c>
      <c r="N879" s="81">
        <f t="shared" si="382"/>
        <v>97.67458729113639</v>
      </c>
      <c r="O879" s="405"/>
    </row>
    <row r="880" spans="1:15" ht="11.1" customHeight="1" outlineLevel="1" x14ac:dyDescent="0.2">
      <c r="A880" s="117"/>
      <c r="B880" s="76"/>
      <c r="C880" s="148" t="s">
        <v>219</v>
      </c>
      <c r="D880" s="108"/>
      <c r="E880" s="108"/>
      <c r="F880" s="79" t="s">
        <v>359</v>
      </c>
      <c r="G880" s="139">
        <v>0</v>
      </c>
      <c r="H880" s="359">
        <f>ROUNDUP(0+M880,0)</f>
        <v>0</v>
      </c>
      <c r="I880" s="81" t="str">
        <f t="shared" si="381"/>
        <v>-</v>
      </c>
      <c r="J880" s="138">
        <v>0</v>
      </c>
      <c r="K880" s="138">
        <f t="shared" si="383"/>
        <v>0</v>
      </c>
      <c r="L880" s="138">
        <v>0</v>
      </c>
      <c r="M880" s="80">
        <v>0</v>
      </c>
      <c r="N880" s="81" t="str">
        <f t="shared" si="382"/>
        <v>-</v>
      </c>
      <c r="O880" s="405"/>
    </row>
    <row r="881" spans="1:15" ht="11.1" customHeight="1" outlineLevel="1" x14ac:dyDescent="0.2">
      <c r="A881" s="117"/>
      <c r="B881" s="76" t="s">
        <v>23</v>
      </c>
      <c r="C881" s="148" t="s">
        <v>137</v>
      </c>
      <c r="D881" s="108"/>
      <c r="E881" s="108"/>
      <c r="F881" s="106"/>
      <c r="G881" s="139"/>
      <c r="H881" s="139"/>
      <c r="I881" s="149"/>
      <c r="J881" s="139"/>
      <c r="K881" s="139"/>
      <c r="L881" s="138"/>
      <c r="M881" s="89"/>
      <c r="N881" s="81"/>
      <c r="O881" s="406"/>
    </row>
    <row r="882" spans="1:15" ht="3.95" customHeight="1" outlineLevel="1" x14ac:dyDescent="0.2">
      <c r="A882" s="118"/>
      <c r="B882" s="85"/>
      <c r="C882" s="362"/>
      <c r="D882" s="84"/>
      <c r="E882" s="84"/>
      <c r="F882" s="85"/>
      <c r="G882" s="140"/>
      <c r="H882" s="140"/>
      <c r="I882" s="85"/>
      <c r="J882" s="140"/>
      <c r="K882" s="140"/>
      <c r="L882" s="141"/>
      <c r="M882" s="87"/>
      <c r="N882" s="88"/>
      <c r="O882" s="407"/>
    </row>
    <row r="883" spans="1:15" ht="3.95" customHeight="1" outlineLevel="1" x14ac:dyDescent="0.2">
      <c r="A883" s="152"/>
      <c r="B883" s="72"/>
      <c r="C883" s="347"/>
      <c r="D883" s="71"/>
      <c r="E883" s="71"/>
      <c r="F883" s="72"/>
      <c r="G883" s="135"/>
      <c r="H883" s="135"/>
      <c r="I883" s="75"/>
      <c r="J883" s="135"/>
      <c r="K883" s="135"/>
      <c r="L883" s="136"/>
      <c r="M883" s="74"/>
      <c r="N883" s="75"/>
      <c r="O883" s="323"/>
    </row>
    <row r="884" spans="1:15" ht="11.1" customHeight="1" outlineLevel="1" x14ac:dyDescent="0.2">
      <c r="A884" s="409" t="s">
        <v>466</v>
      </c>
      <c r="B884" s="76" t="s">
        <v>9</v>
      </c>
      <c r="C884" s="148" t="s">
        <v>86</v>
      </c>
      <c r="D884" s="410" t="s">
        <v>305</v>
      </c>
      <c r="E884" s="410" t="s">
        <v>141</v>
      </c>
      <c r="F884" s="78" t="s">
        <v>28</v>
      </c>
      <c r="G884" s="137">
        <f>SUM(G885:G890)</f>
        <v>19214464</v>
      </c>
      <c r="H884" s="137">
        <f>SUM(H885:H890)</f>
        <v>887733</v>
      </c>
      <c r="I884" s="39">
        <f t="shared" ref="I884:I890" si="384">IF(G884&gt;0,H884/G884*100,"-")</f>
        <v>4.6201288779119727</v>
      </c>
      <c r="J884" s="137">
        <f>SUM(J885:J890)</f>
        <v>14083951</v>
      </c>
      <c r="K884" s="137">
        <f>SUM(K885:K890)</f>
        <v>-13419969</v>
      </c>
      <c r="L884" s="137">
        <f>SUM(L885:L890)</f>
        <v>663982</v>
      </c>
      <c r="M884" s="38">
        <f>SUM(M885:M890)</f>
        <v>427701.51</v>
      </c>
      <c r="N884" s="39">
        <f t="shared" ref="N884:N890" si="385">IF(L884&gt;0,M884/L884*100,"-")</f>
        <v>64.414624191619652</v>
      </c>
      <c r="O884" s="405" t="s">
        <v>627</v>
      </c>
    </row>
    <row r="885" spans="1:15" ht="11.1" customHeight="1" outlineLevel="1" x14ac:dyDescent="0.2">
      <c r="A885" s="409"/>
      <c r="B885" s="76" t="s">
        <v>10</v>
      </c>
      <c r="C885" s="148" t="s">
        <v>102</v>
      </c>
      <c r="D885" s="410"/>
      <c r="E885" s="410"/>
      <c r="F885" s="79" t="s">
        <v>15</v>
      </c>
      <c r="G885" s="138">
        <v>7232126</v>
      </c>
      <c r="H885" s="138">
        <f>ROUNDUP(50811+M885,0)</f>
        <v>50811</v>
      </c>
      <c r="I885" s="81">
        <f t="shared" si="384"/>
        <v>0.70257348945524456</v>
      </c>
      <c r="J885" s="138">
        <v>323878</v>
      </c>
      <c r="K885" s="138">
        <f t="shared" ref="K885:K890" si="386">L885-J885</f>
        <v>-323878</v>
      </c>
      <c r="L885" s="138">
        <v>0</v>
      </c>
      <c r="M885" s="80">
        <v>0</v>
      </c>
      <c r="N885" s="81" t="str">
        <f t="shared" si="385"/>
        <v>-</v>
      </c>
      <c r="O885" s="405"/>
    </row>
    <row r="886" spans="1:15" ht="11.1" customHeight="1" outlineLevel="1" x14ac:dyDescent="0.2">
      <c r="A886" s="409"/>
      <c r="B886" s="76"/>
      <c r="C886" s="148" t="s">
        <v>103</v>
      </c>
      <c r="D886" s="410"/>
      <c r="E886" s="410"/>
      <c r="F886" s="79" t="s">
        <v>7</v>
      </c>
      <c r="G886" s="138">
        <v>8342212</v>
      </c>
      <c r="H886" s="138">
        <f>ROUNDUP(144870+M886,0)</f>
        <v>244681</v>
      </c>
      <c r="I886" s="81">
        <f t="shared" si="384"/>
        <v>2.9330470143889893</v>
      </c>
      <c r="J886" s="138">
        <v>7362238</v>
      </c>
      <c r="K886" s="138">
        <f t="shared" si="386"/>
        <v>-7200165</v>
      </c>
      <c r="L886" s="138">
        <v>162073</v>
      </c>
      <c r="M886" s="80">
        <f>99810.97</f>
        <v>99810.97</v>
      </c>
      <c r="N886" s="81">
        <f t="shared" si="385"/>
        <v>61.583959080167581</v>
      </c>
      <c r="O886" s="405"/>
    </row>
    <row r="887" spans="1:15" ht="11.1" customHeight="1" outlineLevel="1" x14ac:dyDescent="0.2">
      <c r="A887" s="117"/>
      <c r="B887" s="76" t="s">
        <v>11</v>
      </c>
      <c r="C887" s="148" t="s">
        <v>151</v>
      </c>
      <c r="D887" s="108"/>
      <c r="E887" s="108"/>
      <c r="F887" s="79" t="s">
        <v>8</v>
      </c>
      <c r="G887" s="138">
        <v>337295</v>
      </c>
      <c r="H887" s="138">
        <f>ROUNDUP(200280+M887,0)</f>
        <v>266821</v>
      </c>
      <c r="I887" s="81">
        <f t="shared" si="384"/>
        <v>79.106123719592645</v>
      </c>
      <c r="J887" s="138">
        <v>3242124</v>
      </c>
      <c r="K887" s="138">
        <f t="shared" si="386"/>
        <v>-3105109</v>
      </c>
      <c r="L887" s="138">
        <v>137015</v>
      </c>
      <c r="M887" s="80">
        <v>66540.639999999999</v>
      </c>
      <c r="N887" s="81">
        <f t="shared" si="385"/>
        <v>48.564492938729337</v>
      </c>
      <c r="O887" s="405"/>
    </row>
    <row r="888" spans="1:15" ht="11.1" customHeight="1" outlineLevel="1" x14ac:dyDescent="0.2">
      <c r="A888" s="117"/>
      <c r="B888" s="76"/>
      <c r="C888" s="148" t="s">
        <v>104</v>
      </c>
      <c r="D888" s="108"/>
      <c r="E888" s="108"/>
      <c r="F888" s="79" t="s">
        <v>22</v>
      </c>
      <c r="G888" s="138">
        <v>2883925</v>
      </c>
      <c r="H888" s="243">
        <f>ROUNDUP(9320+M888,0)</f>
        <v>10058</v>
      </c>
      <c r="I888" s="81">
        <f t="shared" si="384"/>
        <v>0.3487608034189516</v>
      </c>
      <c r="J888" s="138">
        <v>2876711</v>
      </c>
      <c r="K888" s="138">
        <f t="shared" si="386"/>
        <v>-2875973</v>
      </c>
      <c r="L888" s="138">
        <v>738</v>
      </c>
      <c r="M888" s="80">
        <v>738</v>
      </c>
      <c r="N888" s="81">
        <f t="shared" si="385"/>
        <v>100</v>
      </c>
      <c r="O888" s="405"/>
    </row>
    <row r="889" spans="1:15" ht="11.1" customHeight="1" outlineLevel="1" x14ac:dyDescent="0.2">
      <c r="A889" s="117"/>
      <c r="B889" s="76" t="s">
        <v>12</v>
      </c>
      <c r="C889" s="148" t="s">
        <v>220</v>
      </c>
      <c r="D889" s="108"/>
      <c r="E889" s="108"/>
      <c r="F889" s="79" t="s">
        <v>45</v>
      </c>
      <c r="G889" s="138">
        <v>418906</v>
      </c>
      <c r="H889" s="243">
        <f>ROUNDUP(54750+M889,0)</f>
        <v>315362</v>
      </c>
      <c r="I889" s="81">
        <f t="shared" si="384"/>
        <v>75.28228289878875</v>
      </c>
      <c r="J889" s="138">
        <v>279000</v>
      </c>
      <c r="K889" s="138">
        <f t="shared" si="386"/>
        <v>85156</v>
      </c>
      <c r="L889" s="138">
        <v>364156</v>
      </c>
      <c r="M889" s="80">
        <f>260611.54+0.36</f>
        <v>260611.9</v>
      </c>
      <c r="N889" s="81">
        <f t="shared" si="385"/>
        <v>71.566004679313252</v>
      </c>
      <c r="O889" s="405"/>
    </row>
    <row r="890" spans="1:15" ht="11.1" customHeight="1" outlineLevel="1" x14ac:dyDescent="0.2">
      <c r="A890" s="117"/>
      <c r="B890" s="76"/>
      <c r="C890" s="148" t="s">
        <v>148</v>
      </c>
      <c r="D890" s="108"/>
      <c r="E890" s="108"/>
      <c r="F890" s="79" t="s">
        <v>359</v>
      </c>
      <c r="G890" s="139">
        <v>0</v>
      </c>
      <c r="H890" s="139">
        <f>ROUNDUP(0+M890,0)</f>
        <v>0</v>
      </c>
      <c r="I890" s="81" t="str">
        <f t="shared" si="384"/>
        <v>-</v>
      </c>
      <c r="J890" s="138">
        <v>0</v>
      </c>
      <c r="K890" s="138">
        <f t="shared" si="386"/>
        <v>0</v>
      </c>
      <c r="L890" s="138">
        <v>0</v>
      </c>
      <c r="M890" s="80">
        <v>0</v>
      </c>
      <c r="N890" s="81" t="str">
        <f t="shared" si="385"/>
        <v>-</v>
      </c>
      <c r="O890" s="405"/>
    </row>
    <row r="891" spans="1:15" ht="11.1" customHeight="1" outlineLevel="1" x14ac:dyDescent="0.2">
      <c r="A891" s="117"/>
      <c r="B891" s="76" t="s">
        <v>23</v>
      </c>
      <c r="C891" s="148" t="s">
        <v>149</v>
      </c>
      <c r="D891" s="108"/>
      <c r="E891" s="108"/>
      <c r="F891" s="106"/>
      <c r="G891" s="139"/>
      <c r="H891" s="139"/>
      <c r="I891" s="149"/>
      <c r="J891" s="139"/>
      <c r="K891" s="139"/>
      <c r="L891" s="138"/>
      <c r="M891" s="89"/>
      <c r="N891" s="81"/>
      <c r="O891" s="406"/>
    </row>
    <row r="892" spans="1:15" ht="11.1" customHeight="1" outlineLevel="1" x14ac:dyDescent="0.2">
      <c r="A892" s="117"/>
      <c r="B892" s="96"/>
      <c r="C892" s="96"/>
      <c r="D892" s="108"/>
      <c r="E892" s="108"/>
      <c r="F892" s="106"/>
      <c r="G892" s="139"/>
      <c r="H892" s="139"/>
      <c r="I892" s="149"/>
      <c r="J892" s="139"/>
      <c r="K892" s="139"/>
      <c r="L892" s="138"/>
      <c r="M892" s="89"/>
      <c r="N892" s="81"/>
      <c r="O892" s="406"/>
    </row>
    <row r="893" spans="1:15" ht="3.95" customHeight="1" outlineLevel="1" x14ac:dyDescent="0.2">
      <c r="A893" s="118"/>
      <c r="B893" s="85"/>
      <c r="C893" s="362"/>
      <c r="D893" s="84"/>
      <c r="E893" s="84"/>
      <c r="F893" s="85"/>
      <c r="G893" s="140"/>
      <c r="H893" s="140"/>
      <c r="I893" s="85"/>
      <c r="J893" s="140"/>
      <c r="K893" s="140"/>
      <c r="L893" s="141"/>
      <c r="M893" s="87"/>
      <c r="N893" s="88"/>
      <c r="O893" s="407"/>
    </row>
    <row r="894" spans="1:15" ht="3.95" customHeight="1" outlineLevel="1" x14ac:dyDescent="0.2">
      <c r="A894" s="152"/>
      <c r="B894" s="72"/>
      <c r="C894" s="347"/>
      <c r="D894" s="71"/>
      <c r="E894" s="71"/>
      <c r="F894" s="72"/>
      <c r="G894" s="135"/>
      <c r="H894" s="135"/>
      <c r="I894" s="75"/>
      <c r="J894" s="135"/>
      <c r="K894" s="135"/>
      <c r="L894" s="136"/>
      <c r="M894" s="74"/>
      <c r="N894" s="75"/>
      <c r="O894" s="323"/>
    </row>
    <row r="895" spans="1:15" ht="11.1" customHeight="1" outlineLevel="1" x14ac:dyDescent="0.2">
      <c r="A895" s="409" t="s">
        <v>467</v>
      </c>
      <c r="B895" s="76" t="s">
        <v>9</v>
      </c>
      <c r="C895" s="148" t="s">
        <v>86</v>
      </c>
      <c r="D895" s="410" t="s">
        <v>305</v>
      </c>
      <c r="E895" s="410" t="s">
        <v>141</v>
      </c>
      <c r="F895" s="78" t="s">
        <v>28</v>
      </c>
      <c r="G895" s="137">
        <f>SUM(G896:G901)</f>
        <v>8255319</v>
      </c>
      <c r="H895" s="241">
        <f>SUM(H896:H901)</f>
        <v>5683992</v>
      </c>
      <c r="I895" s="39">
        <f t="shared" ref="I895:I901" si="387">IF(G895&gt;0,H895/G895*100,"-")</f>
        <v>68.852481654555092</v>
      </c>
      <c r="J895" s="137">
        <f>SUM(J896:J901)</f>
        <v>10683283</v>
      </c>
      <c r="K895" s="137">
        <f>SUM(K896:K901)</f>
        <v>-5232302</v>
      </c>
      <c r="L895" s="137">
        <f>SUM(L896:L901)</f>
        <v>5450981</v>
      </c>
      <c r="M895" s="38">
        <f>SUM(M896:M901)</f>
        <v>5317214.17</v>
      </c>
      <c r="N895" s="39">
        <f t="shared" ref="N895:N901" si="388">IF(L895&gt;0,M895/L895*100,"-")</f>
        <v>97.546004471488715</v>
      </c>
      <c r="O895" s="405" t="s">
        <v>628</v>
      </c>
    </row>
    <row r="896" spans="1:15" ht="11.1" customHeight="1" outlineLevel="1" x14ac:dyDescent="0.2">
      <c r="A896" s="409"/>
      <c r="B896" s="76" t="s">
        <v>10</v>
      </c>
      <c r="C896" s="148" t="s">
        <v>102</v>
      </c>
      <c r="D896" s="410"/>
      <c r="E896" s="410"/>
      <c r="F896" s="79" t="s">
        <v>15</v>
      </c>
      <c r="G896" s="138">
        <v>2690888</v>
      </c>
      <c r="H896" s="138">
        <f>ROUNDUP(227045+M896,0)</f>
        <v>1165276</v>
      </c>
      <c r="I896" s="81">
        <f t="shared" si="387"/>
        <v>43.304515089442589</v>
      </c>
      <c r="J896" s="138">
        <v>2376414</v>
      </c>
      <c r="K896" s="138">
        <f t="shared" ref="K896:K901" si="389">L896-J896</f>
        <v>-1387571</v>
      </c>
      <c r="L896" s="138">
        <v>988843</v>
      </c>
      <c r="M896" s="80">
        <v>938230.33</v>
      </c>
      <c r="N896" s="81">
        <f t="shared" si="388"/>
        <v>94.881627315964209</v>
      </c>
      <c r="O896" s="405"/>
    </row>
    <row r="897" spans="1:15" ht="11.1" customHeight="1" outlineLevel="1" x14ac:dyDescent="0.2">
      <c r="A897" s="409"/>
      <c r="B897" s="76"/>
      <c r="C897" s="148" t="s">
        <v>103</v>
      </c>
      <c r="D897" s="410"/>
      <c r="E897" s="410"/>
      <c r="F897" s="79" t="s">
        <v>7</v>
      </c>
      <c r="G897" s="138">
        <v>5352931</v>
      </c>
      <c r="H897" s="243">
        <f>ROUNDUP(102244+M897,0)</f>
        <v>4317171</v>
      </c>
      <c r="I897" s="81">
        <f t="shared" si="387"/>
        <v>80.650600577515391</v>
      </c>
      <c r="J897" s="138">
        <v>8106869</v>
      </c>
      <c r="K897" s="138">
        <f t="shared" si="389"/>
        <v>-3818744</v>
      </c>
      <c r="L897" s="138">
        <v>4288125</v>
      </c>
      <c r="M897" s="80">
        <v>4214926.13</v>
      </c>
      <c r="N897" s="81">
        <f t="shared" si="388"/>
        <v>98.292986561725698</v>
      </c>
      <c r="O897" s="405"/>
    </row>
    <row r="898" spans="1:15" ht="11.1" customHeight="1" outlineLevel="1" x14ac:dyDescent="0.2">
      <c r="A898" s="117"/>
      <c r="B898" s="76" t="s">
        <v>11</v>
      </c>
      <c r="C898" s="148" t="s">
        <v>151</v>
      </c>
      <c r="D898" s="108"/>
      <c r="E898" s="108"/>
      <c r="F898" s="79" t="s">
        <v>8</v>
      </c>
      <c r="G898" s="138">
        <v>0</v>
      </c>
      <c r="H898" s="243">
        <f>ROUNDUP(0+M898,0)</f>
        <v>0</v>
      </c>
      <c r="I898" s="81" t="str">
        <f t="shared" si="387"/>
        <v>-</v>
      </c>
      <c r="J898" s="138">
        <v>0</v>
      </c>
      <c r="K898" s="138">
        <f t="shared" si="389"/>
        <v>0</v>
      </c>
      <c r="L898" s="138">
        <v>0</v>
      </c>
      <c r="M898" s="80">
        <v>0</v>
      </c>
      <c r="N898" s="81" t="str">
        <f t="shared" si="388"/>
        <v>-</v>
      </c>
      <c r="O898" s="405"/>
    </row>
    <row r="899" spans="1:15" ht="11.1" customHeight="1" outlineLevel="1" x14ac:dyDescent="0.2">
      <c r="A899" s="117"/>
      <c r="B899" s="76"/>
      <c r="C899" s="148" t="s">
        <v>104</v>
      </c>
      <c r="D899" s="108"/>
      <c r="E899" s="108"/>
      <c r="F899" s="79" t="s">
        <v>22</v>
      </c>
      <c r="G899" s="138">
        <v>0</v>
      </c>
      <c r="H899" s="243">
        <f>ROUNDUP(0+M899,0)</f>
        <v>0</v>
      </c>
      <c r="I899" s="81" t="str">
        <f t="shared" si="387"/>
        <v>-</v>
      </c>
      <c r="J899" s="138">
        <v>0</v>
      </c>
      <c r="K899" s="138">
        <f t="shared" si="389"/>
        <v>0</v>
      </c>
      <c r="L899" s="138">
        <v>0</v>
      </c>
      <c r="M899" s="80">
        <v>0</v>
      </c>
      <c r="N899" s="81" t="str">
        <f t="shared" si="388"/>
        <v>-</v>
      </c>
      <c r="O899" s="405"/>
    </row>
    <row r="900" spans="1:15" ht="11.1" customHeight="1" outlineLevel="1" x14ac:dyDescent="0.2">
      <c r="A900" s="117"/>
      <c r="B900" s="76" t="s">
        <v>12</v>
      </c>
      <c r="C900" s="148" t="s">
        <v>221</v>
      </c>
      <c r="D900" s="108"/>
      <c r="E900" s="108"/>
      <c r="F900" s="79" t="s">
        <v>45</v>
      </c>
      <c r="G900" s="138">
        <v>211500</v>
      </c>
      <c r="H900" s="243">
        <f>ROUNDUP(37487+M900,0)</f>
        <v>201545</v>
      </c>
      <c r="I900" s="81">
        <f t="shared" si="387"/>
        <v>95.29314420803783</v>
      </c>
      <c r="J900" s="138">
        <v>200000</v>
      </c>
      <c r="K900" s="138">
        <f t="shared" si="389"/>
        <v>-25987</v>
      </c>
      <c r="L900" s="138">
        <v>174013</v>
      </c>
      <c r="M900" s="80">
        <v>164057.71</v>
      </c>
      <c r="N900" s="81">
        <f t="shared" si="388"/>
        <v>94.278996396820929</v>
      </c>
      <c r="O900" s="405"/>
    </row>
    <row r="901" spans="1:15" ht="11.1" customHeight="1" outlineLevel="1" x14ac:dyDescent="0.2">
      <c r="A901" s="117"/>
      <c r="B901" s="76"/>
      <c r="C901" s="148" t="s">
        <v>150</v>
      </c>
      <c r="D901" s="108"/>
      <c r="E901" s="108"/>
      <c r="F901" s="79" t="s">
        <v>359</v>
      </c>
      <c r="G901" s="138">
        <v>0</v>
      </c>
      <c r="H901" s="243">
        <f>ROUNDUP(0+M901,0)</f>
        <v>0</v>
      </c>
      <c r="I901" s="81" t="str">
        <f t="shared" si="387"/>
        <v>-</v>
      </c>
      <c r="J901" s="138">
        <v>0</v>
      </c>
      <c r="K901" s="138">
        <f t="shared" si="389"/>
        <v>0</v>
      </c>
      <c r="L901" s="138">
        <v>0</v>
      </c>
      <c r="M901" s="80">
        <v>0</v>
      </c>
      <c r="N901" s="81" t="str">
        <f t="shared" si="388"/>
        <v>-</v>
      </c>
      <c r="O901" s="405"/>
    </row>
    <row r="902" spans="1:15" ht="11.1" customHeight="1" outlineLevel="1" x14ac:dyDescent="0.2">
      <c r="A902" s="117"/>
      <c r="B902" s="76"/>
      <c r="C902" s="148" t="s">
        <v>222</v>
      </c>
      <c r="D902" s="108"/>
      <c r="E902" s="108"/>
      <c r="F902" s="106"/>
      <c r="G902" s="139"/>
      <c r="H902" s="139"/>
      <c r="I902" s="149"/>
      <c r="J902" s="139"/>
      <c r="K902" s="139"/>
      <c r="L902" s="138"/>
      <c r="M902" s="89"/>
      <c r="N902" s="81"/>
      <c r="O902" s="406"/>
    </row>
    <row r="903" spans="1:15" ht="11.1" customHeight="1" outlineLevel="1" x14ac:dyDescent="0.2">
      <c r="A903" s="117"/>
      <c r="B903" s="76" t="s">
        <v>23</v>
      </c>
      <c r="C903" s="148" t="s">
        <v>149</v>
      </c>
      <c r="D903" s="108"/>
      <c r="E903" s="108"/>
      <c r="F903" s="106"/>
      <c r="G903" s="139"/>
      <c r="H903" s="139"/>
      <c r="I903" s="149"/>
      <c r="J903" s="139"/>
      <c r="K903" s="139"/>
      <c r="L903" s="138"/>
      <c r="M903" s="89"/>
      <c r="N903" s="81"/>
      <c r="O903" s="406"/>
    </row>
    <row r="904" spans="1:15" ht="3.95" customHeight="1" outlineLevel="1" x14ac:dyDescent="0.2">
      <c r="A904" s="118"/>
      <c r="B904" s="85"/>
      <c r="C904" s="86"/>
      <c r="D904" s="84"/>
      <c r="E904" s="84"/>
      <c r="F904" s="85"/>
      <c r="G904" s="140"/>
      <c r="H904" s="140"/>
      <c r="I904" s="85"/>
      <c r="J904" s="140"/>
      <c r="K904" s="140"/>
      <c r="L904" s="141"/>
      <c r="M904" s="87"/>
      <c r="N904" s="88"/>
      <c r="O904" s="407"/>
    </row>
    <row r="905" spans="1:15" ht="3.95" customHeight="1" x14ac:dyDescent="0.2">
      <c r="A905" s="59"/>
      <c r="B905" s="60"/>
      <c r="C905" s="61"/>
      <c r="D905" s="62"/>
      <c r="E905" s="62"/>
      <c r="F905" s="59"/>
      <c r="G905" s="131"/>
      <c r="H905" s="131"/>
      <c r="I905" s="59"/>
      <c r="J905" s="131"/>
      <c r="K905" s="131"/>
      <c r="L905" s="131"/>
      <c r="M905" s="63"/>
      <c r="N905" s="64"/>
      <c r="O905" s="320"/>
    </row>
    <row r="906" spans="1:15" ht="11.45" customHeight="1" x14ac:dyDescent="0.2">
      <c r="A906" s="28" t="s">
        <v>76</v>
      </c>
      <c r="B906" s="413" t="s">
        <v>452</v>
      </c>
      <c r="C906" s="414"/>
      <c r="D906" s="29"/>
      <c r="E906" s="29"/>
      <c r="F906" s="30"/>
      <c r="G906" s="132">
        <f>SUM(G907:G912)</f>
        <v>5377569</v>
      </c>
      <c r="H906" s="132">
        <f>SUM(H907:H912)</f>
        <v>5350471</v>
      </c>
      <c r="I906" s="32">
        <f>IF(G906&gt;0,H906/G906*100,"-")</f>
        <v>99.496092007373591</v>
      </c>
      <c r="J906" s="132">
        <f>SUM(J907:J912)</f>
        <v>6116131</v>
      </c>
      <c r="K906" s="132">
        <f>SUM(K907:K912)</f>
        <v>-957810</v>
      </c>
      <c r="L906" s="132">
        <f>SUM(L907:L912)</f>
        <v>5158321</v>
      </c>
      <c r="M906" s="31">
        <f>SUM(M907:M912)</f>
        <v>5131221.5399999991</v>
      </c>
      <c r="N906" s="32">
        <f t="shared" ref="N906:N912" si="390">IF(L906&gt;0,M906/L906*100,"-")</f>
        <v>99.474645722900902</v>
      </c>
      <c r="O906" s="321"/>
    </row>
    <row r="907" spans="1:15" ht="11.45" customHeight="1" x14ac:dyDescent="0.2">
      <c r="A907" s="30"/>
      <c r="B907" s="33"/>
      <c r="C907" s="34"/>
      <c r="D907" s="29"/>
      <c r="E907" s="29"/>
      <c r="F907" s="35" t="s">
        <v>15</v>
      </c>
      <c r="G907" s="133">
        <f>G916</f>
        <v>3169427</v>
      </c>
      <c r="H907" s="133">
        <f>H916</f>
        <v>3168241</v>
      </c>
      <c r="I907" s="37">
        <f t="shared" ref="I907:I912" si="391">IF(G907&gt;0,H907/G907*100,"-")</f>
        <v>99.962579986855673</v>
      </c>
      <c r="J907" s="133">
        <f>J916</f>
        <v>6116131</v>
      </c>
      <c r="K907" s="133">
        <f>K916</f>
        <v>-2946704</v>
      </c>
      <c r="L907" s="133">
        <f>L916</f>
        <v>3169427</v>
      </c>
      <c r="M907" s="36">
        <f>M916</f>
        <v>3168240.71</v>
      </c>
      <c r="N907" s="37">
        <f t="shared" si="390"/>
        <v>99.962570836936777</v>
      </c>
      <c r="O907" s="321"/>
    </row>
    <row r="908" spans="1:15" ht="11.45" customHeight="1" x14ac:dyDescent="0.2">
      <c r="A908" s="30"/>
      <c r="B908" s="33"/>
      <c r="C908" s="286"/>
      <c r="D908" s="29"/>
      <c r="E908" s="29"/>
      <c r="F908" s="35" t="s">
        <v>7</v>
      </c>
      <c r="G908" s="133">
        <f t="shared" ref="G908:H912" si="392">G917</f>
        <v>1920614</v>
      </c>
      <c r="H908" s="133">
        <f t="shared" si="392"/>
        <v>1920614</v>
      </c>
      <c r="I908" s="37">
        <f t="shared" si="391"/>
        <v>100</v>
      </c>
      <c r="J908" s="133">
        <f t="shared" ref="J908:M908" si="393">J917</f>
        <v>0</v>
      </c>
      <c r="K908" s="133">
        <f t="shared" si="393"/>
        <v>1920614</v>
      </c>
      <c r="L908" s="133">
        <f t="shared" si="393"/>
        <v>1920614</v>
      </c>
      <c r="M908" s="36">
        <f t="shared" si="393"/>
        <v>1920613.48</v>
      </c>
      <c r="N908" s="37">
        <f t="shared" si="390"/>
        <v>99.999972925324926</v>
      </c>
      <c r="O908" s="321"/>
    </row>
    <row r="909" spans="1:15" ht="11.45" customHeight="1" x14ac:dyDescent="0.2">
      <c r="A909" s="30"/>
      <c r="B909" s="33"/>
      <c r="C909" s="34"/>
      <c r="D909" s="29"/>
      <c r="E909" s="29"/>
      <c r="F909" s="35" t="s">
        <v>8</v>
      </c>
      <c r="G909" s="133">
        <f t="shared" si="392"/>
        <v>0</v>
      </c>
      <c r="H909" s="133">
        <f t="shared" si="392"/>
        <v>0</v>
      </c>
      <c r="I909" s="37" t="str">
        <f t="shared" si="391"/>
        <v>-</v>
      </c>
      <c r="J909" s="133">
        <f t="shared" ref="J909:M909" si="394">J918</f>
        <v>0</v>
      </c>
      <c r="K909" s="133">
        <f t="shared" si="394"/>
        <v>0</v>
      </c>
      <c r="L909" s="133">
        <f t="shared" si="394"/>
        <v>0</v>
      </c>
      <c r="M909" s="36">
        <f t="shared" si="394"/>
        <v>0</v>
      </c>
      <c r="N909" s="37" t="str">
        <f t="shared" si="390"/>
        <v>-</v>
      </c>
      <c r="O909" s="321"/>
    </row>
    <row r="910" spans="1:15" ht="11.45" customHeight="1" x14ac:dyDescent="0.2">
      <c r="A910" s="30"/>
      <c r="B910" s="33"/>
      <c r="C910" s="34"/>
      <c r="D910" s="29"/>
      <c r="E910" s="29"/>
      <c r="F910" s="35" t="s">
        <v>22</v>
      </c>
      <c r="G910" s="133">
        <f t="shared" si="392"/>
        <v>0</v>
      </c>
      <c r="H910" s="133">
        <f t="shared" si="392"/>
        <v>0</v>
      </c>
      <c r="I910" s="37" t="str">
        <f t="shared" si="391"/>
        <v>-</v>
      </c>
      <c r="J910" s="133">
        <f t="shared" ref="J910:M910" si="395">J919</f>
        <v>0</v>
      </c>
      <c r="K910" s="133">
        <f t="shared" si="395"/>
        <v>0</v>
      </c>
      <c r="L910" s="133">
        <f t="shared" si="395"/>
        <v>0</v>
      </c>
      <c r="M910" s="36">
        <f t="shared" si="395"/>
        <v>0</v>
      </c>
      <c r="N910" s="37" t="str">
        <f t="shared" si="390"/>
        <v>-</v>
      </c>
      <c r="O910" s="321"/>
    </row>
    <row r="911" spans="1:15" ht="11.45" customHeight="1" x14ac:dyDescent="0.2">
      <c r="A911" s="30"/>
      <c r="B911" s="33"/>
      <c r="C911" s="34"/>
      <c r="D911" s="29"/>
      <c r="E911" s="29"/>
      <c r="F911" s="35" t="s">
        <v>45</v>
      </c>
      <c r="G911" s="133">
        <f t="shared" si="392"/>
        <v>287528</v>
      </c>
      <c r="H911" s="133">
        <f t="shared" si="392"/>
        <v>261616</v>
      </c>
      <c r="I911" s="37">
        <f t="shared" si="391"/>
        <v>90.988008124426145</v>
      </c>
      <c r="J911" s="133">
        <f t="shared" ref="J911:M911" si="396">J920</f>
        <v>0</v>
      </c>
      <c r="K911" s="133">
        <f t="shared" si="396"/>
        <v>68280</v>
      </c>
      <c r="L911" s="133">
        <f t="shared" si="396"/>
        <v>68280</v>
      </c>
      <c r="M911" s="36">
        <f t="shared" si="396"/>
        <v>42367.35</v>
      </c>
      <c r="N911" s="37">
        <f t="shared" si="390"/>
        <v>62.049428822495599</v>
      </c>
      <c r="O911" s="321"/>
    </row>
    <row r="912" spans="1:15" ht="11.45" customHeight="1" x14ac:dyDescent="0.2">
      <c r="A912" s="30"/>
      <c r="B912" s="33"/>
      <c r="C912" s="34"/>
      <c r="D912" s="29"/>
      <c r="E912" s="29"/>
      <c r="F912" s="35" t="s">
        <v>359</v>
      </c>
      <c r="G912" s="133">
        <f t="shared" si="392"/>
        <v>0</v>
      </c>
      <c r="H912" s="133">
        <f t="shared" si="392"/>
        <v>0</v>
      </c>
      <c r="I912" s="37" t="str">
        <f t="shared" si="391"/>
        <v>-</v>
      </c>
      <c r="J912" s="133">
        <f t="shared" ref="J912:M912" si="397">J921</f>
        <v>0</v>
      </c>
      <c r="K912" s="133">
        <f t="shared" si="397"/>
        <v>0</v>
      </c>
      <c r="L912" s="133">
        <f t="shared" si="397"/>
        <v>0</v>
      </c>
      <c r="M912" s="36">
        <f t="shared" si="397"/>
        <v>0</v>
      </c>
      <c r="N912" s="37" t="str">
        <f t="shared" si="390"/>
        <v>-</v>
      </c>
      <c r="O912" s="321"/>
    </row>
    <row r="913" spans="1:15" ht="3.95" customHeight="1" x14ac:dyDescent="0.2">
      <c r="A913" s="65"/>
      <c r="B913" s="66"/>
      <c r="C913" s="67"/>
      <c r="D913" s="68"/>
      <c r="E913" s="68"/>
      <c r="F913" s="65"/>
      <c r="G913" s="134"/>
      <c r="H913" s="134"/>
      <c r="I913" s="70"/>
      <c r="J913" s="134"/>
      <c r="K913" s="134"/>
      <c r="L913" s="134"/>
      <c r="M913" s="69"/>
      <c r="N913" s="70"/>
      <c r="O913" s="322"/>
    </row>
    <row r="914" spans="1:15" s="95" customFormat="1" ht="3.95" customHeight="1" outlineLevel="1" x14ac:dyDescent="0.2">
      <c r="A914" s="152"/>
      <c r="B914" s="72"/>
      <c r="C914" s="73"/>
      <c r="D914" s="71"/>
      <c r="E914" s="71"/>
      <c r="F914" s="72"/>
      <c r="G914" s="135"/>
      <c r="H914" s="135"/>
      <c r="I914" s="75"/>
      <c r="J914" s="135"/>
      <c r="K914" s="135"/>
      <c r="L914" s="136"/>
      <c r="M914" s="74"/>
      <c r="N914" s="75"/>
      <c r="O914" s="368"/>
    </row>
    <row r="915" spans="1:15" s="95" customFormat="1" ht="11.1" customHeight="1" outlineLevel="1" x14ac:dyDescent="0.2">
      <c r="A915" s="409" t="s">
        <v>468</v>
      </c>
      <c r="B915" s="76" t="s">
        <v>9</v>
      </c>
      <c r="C915" s="77" t="s">
        <v>86</v>
      </c>
      <c r="D915" s="410" t="s">
        <v>291</v>
      </c>
      <c r="E915" s="410" t="s">
        <v>457</v>
      </c>
      <c r="F915" s="78" t="s">
        <v>28</v>
      </c>
      <c r="G915" s="137">
        <f>SUM(G916:G921)</f>
        <v>5377569</v>
      </c>
      <c r="H915" s="137">
        <f>SUM(H916:H921)</f>
        <v>5350471</v>
      </c>
      <c r="I915" s="39">
        <f t="shared" ref="I915:I921" si="398">IF(G915&gt;0,H915/G915*100,"-")</f>
        <v>99.496092007373591</v>
      </c>
      <c r="J915" s="137">
        <f>SUM(J916:J921)</f>
        <v>6116131</v>
      </c>
      <c r="K915" s="137">
        <f>SUM(K916:K921)</f>
        <v>-957810</v>
      </c>
      <c r="L915" s="137">
        <f>SUM(L916:L921)</f>
        <v>5158321</v>
      </c>
      <c r="M915" s="38">
        <f>SUM(M916:M921)</f>
        <v>5131221.5399999991</v>
      </c>
      <c r="N915" s="39">
        <f t="shared" ref="N915:N921" si="399">IF(L915&gt;0,M915/L915*100,"-")</f>
        <v>99.474645722900902</v>
      </c>
      <c r="O915" s="405" t="s">
        <v>590</v>
      </c>
    </row>
    <row r="916" spans="1:15" s="95" customFormat="1" ht="11.1" customHeight="1" outlineLevel="1" x14ac:dyDescent="0.2">
      <c r="A916" s="409"/>
      <c r="B916" s="76" t="s">
        <v>10</v>
      </c>
      <c r="C916" s="77" t="s">
        <v>102</v>
      </c>
      <c r="D916" s="410"/>
      <c r="E916" s="410"/>
      <c r="F916" s="79" t="s">
        <v>15</v>
      </c>
      <c r="G916" s="138">
        <v>3169427</v>
      </c>
      <c r="H916" s="243">
        <f>ROUNDUP(0+M916,0)</f>
        <v>3168241</v>
      </c>
      <c r="I916" s="81">
        <f t="shared" si="398"/>
        <v>99.962579986855673</v>
      </c>
      <c r="J916" s="138">
        <v>6116131</v>
      </c>
      <c r="K916" s="138">
        <f t="shared" ref="K916:K921" si="400">L916-J916</f>
        <v>-2946704</v>
      </c>
      <c r="L916" s="138">
        <v>3169427</v>
      </c>
      <c r="M916" s="80">
        <v>3168240.71</v>
      </c>
      <c r="N916" s="81">
        <f t="shared" si="399"/>
        <v>99.962570836936777</v>
      </c>
      <c r="O916" s="405"/>
    </row>
    <row r="917" spans="1:15" s="95" customFormat="1" ht="11.1" customHeight="1" outlineLevel="1" x14ac:dyDescent="0.2">
      <c r="A917" s="409"/>
      <c r="B917" s="76"/>
      <c r="C917" s="148" t="s">
        <v>103</v>
      </c>
      <c r="D917" s="410"/>
      <c r="E917" s="410"/>
      <c r="F917" s="79" t="s">
        <v>7</v>
      </c>
      <c r="G917" s="138">
        <v>1920614</v>
      </c>
      <c r="H917" s="243">
        <f t="shared" ref="H917:H921" si="401">ROUNDUP(0+M917,0)</f>
        <v>1920614</v>
      </c>
      <c r="I917" s="81">
        <f t="shared" si="398"/>
        <v>100</v>
      </c>
      <c r="J917" s="138">
        <v>0</v>
      </c>
      <c r="K917" s="138">
        <f t="shared" si="400"/>
        <v>1920614</v>
      </c>
      <c r="L917" s="138">
        <v>1920614</v>
      </c>
      <c r="M917" s="80">
        <v>1920613.48</v>
      </c>
      <c r="N917" s="81">
        <f t="shared" si="399"/>
        <v>99.999972925324926</v>
      </c>
      <c r="O917" s="405"/>
    </row>
    <row r="918" spans="1:15" s="95" customFormat="1" ht="11.1" customHeight="1" outlineLevel="1" x14ac:dyDescent="0.2">
      <c r="A918" s="117"/>
      <c r="B918" s="76" t="s">
        <v>11</v>
      </c>
      <c r="C918" s="148" t="s">
        <v>151</v>
      </c>
      <c r="D918" s="108"/>
      <c r="E918" s="108"/>
      <c r="F918" s="79" t="s">
        <v>8</v>
      </c>
      <c r="G918" s="138">
        <v>0</v>
      </c>
      <c r="H918" s="243">
        <f t="shared" si="401"/>
        <v>0</v>
      </c>
      <c r="I918" s="81" t="str">
        <f t="shared" si="398"/>
        <v>-</v>
      </c>
      <c r="J918" s="138">
        <v>0</v>
      </c>
      <c r="K918" s="138">
        <f t="shared" si="400"/>
        <v>0</v>
      </c>
      <c r="L918" s="138">
        <v>0</v>
      </c>
      <c r="M918" s="80">
        <v>0</v>
      </c>
      <c r="N918" s="81" t="str">
        <f t="shared" si="399"/>
        <v>-</v>
      </c>
      <c r="O918" s="405"/>
    </row>
    <row r="919" spans="1:15" s="95" customFormat="1" ht="11.1" customHeight="1" outlineLevel="1" x14ac:dyDescent="0.2">
      <c r="A919" s="117"/>
      <c r="B919" s="76"/>
      <c r="C919" s="148" t="s">
        <v>104</v>
      </c>
      <c r="D919" s="108"/>
      <c r="E919" s="108"/>
      <c r="F919" s="79" t="s">
        <v>22</v>
      </c>
      <c r="G919" s="138">
        <v>0</v>
      </c>
      <c r="H919" s="243">
        <f t="shared" si="401"/>
        <v>0</v>
      </c>
      <c r="I919" s="81" t="str">
        <f t="shared" si="398"/>
        <v>-</v>
      </c>
      <c r="J919" s="138">
        <v>0</v>
      </c>
      <c r="K919" s="138">
        <f t="shared" si="400"/>
        <v>0</v>
      </c>
      <c r="L919" s="138"/>
      <c r="M919" s="80">
        <v>0</v>
      </c>
      <c r="N919" s="81" t="str">
        <f t="shared" si="399"/>
        <v>-</v>
      </c>
      <c r="O919" s="405"/>
    </row>
    <row r="920" spans="1:15" s="95" customFormat="1" ht="11.1" customHeight="1" outlineLevel="1" x14ac:dyDescent="0.2">
      <c r="A920" s="117"/>
      <c r="B920" s="76" t="s">
        <v>12</v>
      </c>
      <c r="C920" s="82" t="s">
        <v>453</v>
      </c>
      <c r="D920" s="108"/>
      <c r="E920" s="108"/>
      <c r="F920" s="79" t="s">
        <v>45</v>
      </c>
      <c r="G920" s="138">
        <v>287528</v>
      </c>
      <c r="H920" s="243">
        <f>ROUNDUP(219248+M920,0)</f>
        <v>261616</v>
      </c>
      <c r="I920" s="81">
        <f t="shared" si="398"/>
        <v>90.988008124426145</v>
      </c>
      <c r="J920" s="138">
        <v>0</v>
      </c>
      <c r="K920" s="138">
        <f t="shared" si="400"/>
        <v>68280</v>
      </c>
      <c r="L920" s="138">
        <v>68280</v>
      </c>
      <c r="M920" s="80">
        <v>42367.35</v>
      </c>
      <c r="N920" s="81">
        <f t="shared" si="399"/>
        <v>62.049428822495599</v>
      </c>
      <c r="O920" s="405"/>
    </row>
    <row r="921" spans="1:15" s="95" customFormat="1" ht="11.1" customHeight="1" outlineLevel="1" x14ac:dyDescent="0.2">
      <c r="A921" s="117"/>
      <c r="B921" s="76"/>
      <c r="C921" s="82" t="s">
        <v>454</v>
      </c>
      <c r="D921" s="108"/>
      <c r="E921" s="108"/>
      <c r="F921" s="79" t="s">
        <v>359</v>
      </c>
      <c r="G921" s="138">
        <v>0</v>
      </c>
      <c r="H921" s="243">
        <f t="shared" si="401"/>
        <v>0</v>
      </c>
      <c r="I921" s="81" t="str">
        <f t="shared" si="398"/>
        <v>-</v>
      </c>
      <c r="J921" s="138">
        <v>0</v>
      </c>
      <c r="K921" s="138">
        <f t="shared" si="400"/>
        <v>0</v>
      </c>
      <c r="L921" s="138">
        <v>0</v>
      </c>
      <c r="M921" s="80">
        <v>0</v>
      </c>
      <c r="N921" s="81" t="str">
        <f t="shared" si="399"/>
        <v>-</v>
      </c>
      <c r="O921" s="405"/>
    </row>
    <row r="922" spans="1:15" s="95" customFormat="1" ht="11.1" customHeight="1" outlineLevel="1" x14ac:dyDescent="0.2">
      <c r="A922" s="117"/>
      <c r="B922" s="76"/>
      <c r="C922" s="82" t="s">
        <v>455</v>
      </c>
      <c r="D922" s="108"/>
      <c r="E922" s="108"/>
      <c r="F922" s="106"/>
      <c r="G922" s="139"/>
      <c r="H922" s="366"/>
      <c r="I922" s="81"/>
      <c r="J922" s="139"/>
      <c r="K922" s="139"/>
      <c r="L922" s="138"/>
      <c r="M922" s="107"/>
      <c r="N922" s="81"/>
      <c r="O922" s="367"/>
    </row>
    <row r="923" spans="1:15" s="95" customFormat="1" ht="11.1" customHeight="1" outlineLevel="1" x14ac:dyDescent="0.2">
      <c r="A923" s="117"/>
      <c r="B923" s="76" t="s">
        <v>23</v>
      </c>
      <c r="C923" s="82" t="s">
        <v>456</v>
      </c>
      <c r="D923" s="108"/>
      <c r="E923" s="108"/>
      <c r="F923" s="106"/>
      <c r="G923" s="139"/>
      <c r="H923" s="366"/>
      <c r="I923" s="81"/>
      <c r="J923" s="139"/>
      <c r="K923" s="139"/>
      <c r="L923" s="138"/>
      <c r="M923" s="107"/>
      <c r="N923" s="81"/>
      <c r="O923" s="367"/>
    </row>
    <row r="924" spans="1:15" s="95" customFormat="1" ht="3.95" customHeight="1" outlineLevel="1" x14ac:dyDescent="0.2">
      <c r="A924" s="118"/>
      <c r="B924" s="85"/>
      <c r="C924" s="86"/>
      <c r="D924" s="84"/>
      <c r="E924" s="84"/>
      <c r="F924" s="85"/>
      <c r="G924" s="140"/>
      <c r="H924" s="140"/>
      <c r="I924" s="88"/>
      <c r="J924" s="140"/>
      <c r="K924" s="140"/>
      <c r="L924" s="141"/>
      <c r="M924" s="87"/>
      <c r="N924" s="88"/>
      <c r="O924" s="369"/>
    </row>
    <row r="925" spans="1:15" ht="3.95" customHeight="1" x14ac:dyDescent="0.2">
      <c r="A925" s="59"/>
      <c r="B925" s="60"/>
      <c r="C925" s="61"/>
      <c r="D925" s="62"/>
      <c r="E925" s="62"/>
      <c r="F925" s="59"/>
      <c r="G925" s="131"/>
      <c r="H925" s="131"/>
      <c r="I925" s="59"/>
      <c r="J925" s="131"/>
      <c r="K925" s="131"/>
      <c r="L925" s="131"/>
      <c r="M925" s="63"/>
      <c r="N925" s="64"/>
      <c r="O925" s="320"/>
    </row>
    <row r="926" spans="1:15" ht="11.45" customHeight="1" x14ac:dyDescent="0.2">
      <c r="A926" s="28" t="s">
        <v>77</v>
      </c>
      <c r="B926" s="413" t="s">
        <v>152</v>
      </c>
      <c r="C926" s="414"/>
      <c r="D926" s="29"/>
      <c r="E926" s="29"/>
      <c r="F926" s="30"/>
      <c r="G926" s="132">
        <f>SUM(G927:G932)</f>
        <v>34272076</v>
      </c>
      <c r="H926" s="132">
        <f>SUM(H927:H932)</f>
        <v>5147338</v>
      </c>
      <c r="I926" s="32">
        <f>IF(G926&gt;0,H926/G926*100,"-")</f>
        <v>15.019043491850335</v>
      </c>
      <c r="J926" s="132">
        <f>SUM(J927:J932)</f>
        <v>8671500</v>
      </c>
      <c r="K926" s="132">
        <f>SUM(K927:K932)</f>
        <v>-3523424</v>
      </c>
      <c r="L926" s="132">
        <f>SUM(L927:L932)</f>
        <v>5148076</v>
      </c>
      <c r="M926" s="31">
        <f>SUM(M927:M932)</f>
        <v>5147337.55</v>
      </c>
      <c r="N926" s="32">
        <f t="shared" ref="N926:N932" si="402">IF(L926&gt;0,M926/L926*100,"-")</f>
        <v>99.985655806169135</v>
      </c>
      <c r="O926" s="321"/>
    </row>
    <row r="927" spans="1:15" ht="11.45" customHeight="1" x14ac:dyDescent="0.2">
      <c r="A927" s="30"/>
      <c r="B927" s="33"/>
      <c r="C927" s="34"/>
      <c r="D927" s="29"/>
      <c r="E927" s="29"/>
      <c r="F927" s="35" t="s">
        <v>15</v>
      </c>
      <c r="G927" s="133">
        <f>G936+G946+G956+G967+G976+G985+G995</f>
        <v>16539700</v>
      </c>
      <c r="H927" s="133">
        <f>H936+H946+H956+H967+H976+H985+H995</f>
        <v>5030700</v>
      </c>
      <c r="I927" s="37">
        <f t="shared" ref="I927:I932" si="403">IF(G927&gt;0,H927/G927*100,"-")</f>
        <v>30.415908390115902</v>
      </c>
      <c r="J927" s="133">
        <f>J936+J946+J956+J967+J976+J985+J995</f>
        <v>6132700</v>
      </c>
      <c r="K927" s="133">
        <f>K936+K946+K956+K967+K976+K985+K995</f>
        <v>-1102000</v>
      </c>
      <c r="L927" s="133">
        <f>L936+L946+L956+L967+L976+L985+L995</f>
        <v>5030700</v>
      </c>
      <c r="M927" s="36">
        <f>M936+M946+M956+M967+M976+M985+M995</f>
        <v>5030700</v>
      </c>
      <c r="N927" s="37">
        <f t="shared" si="402"/>
        <v>100</v>
      </c>
      <c r="O927" s="321"/>
    </row>
    <row r="928" spans="1:15" ht="11.45" customHeight="1" x14ac:dyDescent="0.2">
      <c r="A928" s="30"/>
      <c r="B928" s="33"/>
      <c r="C928" s="286"/>
      <c r="D928" s="29"/>
      <c r="E928" s="29"/>
      <c r="F928" s="35" t="s">
        <v>7</v>
      </c>
      <c r="G928" s="133">
        <f t="shared" ref="G928:H932" si="404">G937+G947+G957+G968+G977+G986+G996</f>
        <v>17600000</v>
      </c>
      <c r="H928" s="133">
        <f t="shared" si="404"/>
        <v>0</v>
      </c>
      <c r="I928" s="37">
        <f t="shared" si="403"/>
        <v>0</v>
      </c>
      <c r="J928" s="133">
        <f t="shared" ref="J928:M928" si="405">J937+J947+J957+J968+J977+J986+J996</f>
        <v>2465000</v>
      </c>
      <c r="K928" s="133">
        <f t="shared" si="405"/>
        <v>-2465000</v>
      </c>
      <c r="L928" s="133">
        <f t="shared" si="405"/>
        <v>0</v>
      </c>
      <c r="M928" s="36">
        <f t="shared" si="405"/>
        <v>0</v>
      </c>
      <c r="N928" s="37" t="str">
        <f t="shared" si="402"/>
        <v>-</v>
      </c>
      <c r="O928" s="321"/>
    </row>
    <row r="929" spans="1:15" ht="11.45" customHeight="1" x14ac:dyDescent="0.2">
      <c r="A929" s="30"/>
      <c r="B929" s="33"/>
      <c r="C929" s="34"/>
      <c r="D929" s="29"/>
      <c r="E929" s="29"/>
      <c r="F929" s="35" t="s">
        <v>8</v>
      </c>
      <c r="G929" s="133">
        <f t="shared" si="404"/>
        <v>0</v>
      </c>
      <c r="H929" s="133">
        <f t="shared" si="404"/>
        <v>0</v>
      </c>
      <c r="I929" s="37" t="str">
        <f t="shared" si="403"/>
        <v>-</v>
      </c>
      <c r="J929" s="133">
        <f t="shared" ref="J929:M929" si="406">J938+J948+J958+J969+J978+J987+J997</f>
        <v>0</v>
      </c>
      <c r="K929" s="133">
        <f t="shared" si="406"/>
        <v>0</v>
      </c>
      <c r="L929" s="133">
        <f t="shared" si="406"/>
        <v>0</v>
      </c>
      <c r="M929" s="36">
        <f t="shared" si="406"/>
        <v>0</v>
      </c>
      <c r="N929" s="37" t="str">
        <f t="shared" si="402"/>
        <v>-</v>
      </c>
      <c r="O929" s="321"/>
    </row>
    <row r="930" spans="1:15" ht="11.45" customHeight="1" x14ac:dyDescent="0.2">
      <c r="A930" s="30"/>
      <c r="B930" s="33"/>
      <c r="C930" s="34"/>
      <c r="D930" s="29"/>
      <c r="E930" s="29"/>
      <c r="F930" s="35" t="s">
        <v>22</v>
      </c>
      <c r="G930" s="133">
        <f t="shared" si="404"/>
        <v>0</v>
      </c>
      <c r="H930" s="133">
        <f t="shared" si="404"/>
        <v>0</v>
      </c>
      <c r="I930" s="37" t="str">
        <f t="shared" si="403"/>
        <v>-</v>
      </c>
      <c r="J930" s="133">
        <f t="shared" ref="J930:M930" si="407">J939+J949+J959+J970+J979+J988+J998</f>
        <v>0</v>
      </c>
      <c r="K930" s="133">
        <f t="shared" si="407"/>
        <v>0</v>
      </c>
      <c r="L930" s="133">
        <f t="shared" si="407"/>
        <v>0</v>
      </c>
      <c r="M930" s="36">
        <f t="shared" si="407"/>
        <v>0</v>
      </c>
      <c r="N930" s="37" t="str">
        <f t="shared" si="402"/>
        <v>-</v>
      </c>
      <c r="O930" s="321"/>
    </row>
    <row r="931" spans="1:15" ht="11.45" customHeight="1" x14ac:dyDescent="0.2">
      <c r="A931" s="30"/>
      <c r="B931" s="33"/>
      <c r="C931" s="34"/>
      <c r="D931" s="29"/>
      <c r="E931" s="29"/>
      <c r="F931" s="35" t="s">
        <v>45</v>
      </c>
      <c r="G931" s="133">
        <f t="shared" si="404"/>
        <v>132376</v>
      </c>
      <c r="H931" s="133">
        <f t="shared" si="404"/>
        <v>116638</v>
      </c>
      <c r="I931" s="37">
        <f t="shared" si="403"/>
        <v>88.111137970629116</v>
      </c>
      <c r="J931" s="133">
        <f t="shared" ref="J931:M931" si="408">J940+J950+J960+J971+J980+J989+J999</f>
        <v>73800</v>
      </c>
      <c r="K931" s="133">
        <f t="shared" si="408"/>
        <v>43576</v>
      </c>
      <c r="L931" s="133">
        <f t="shared" si="408"/>
        <v>117376</v>
      </c>
      <c r="M931" s="36">
        <f t="shared" si="408"/>
        <v>116637.55</v>
      </c>
      <c r="N931" s="37">
        <f t="shared" si="402"/>
        <v>99.370867979825519</v>
      </c>
      <c r="O931" s="321"/>
    </row>
    <row r="932" spans="1:15" ht="11.45" customHeight="1" x14ac:dyDescent="0.2">
      <c r="A932" s="30"/>
      <c r="B932" s="33"/>
      <c r="C932" s="34"/>
      <c r="D932" s="29"/>
      <c r="E932" s="29"/>
      <c r="F932" s="35" t="s">
        <v>359</v>
      </c>
      <c r="G932" s="133">
        <f t="shared" si="404"/>
        <v>0</v>
      </c>
      <c r="H932" s="133">
        <f t="shared" si="404"/>
        <v>0</v>
      </c>
      <c r="I932" s="37" t="str">
        <f t="shared" si="403"/>
        <v>-</v>
      </c>
      <c r="J932" s="133">
        <f t="shared" ref="J932:M932" si="409">J941+J951+J961+J972+J981+J990+J1000</f>
        <v>0</v>
      </c>
      <c r="K932" s="133">
        <f t="shared" si="409"/>
        <v>0</v>
      </c>
      <c r="L932" s="133">
        <f t="shared" si="409"/>
        <v>0</v>
      </c>
      <c r="M932" s="36">
        <f t="shared" si="409"/>
        <v>0</v>
      </c>
      <c r="N932" s="37" t="str">
        <f t="shared" si="402"/>
        <v>-</v>
      </c>
      <c r="O932" s="321"/>
    </row>
    <row r="933" spans="1:15" ht="3.95" customHeight="1" x14ac:dyDescent="0.2">
      <c r="A933" s="65"/>
      <c r="B933" s="66"/>
      <c r="C933" s="67"/>
      <c r="D933" s="68"/>
      <c r="E933" s="68"/>
      <c r="F933" s="65"/>
      <c r="G933" s="134"/>
      <c r="H933" s="134"/>
      <c r="I933" s="70"/>
      <c r="J933" s="134"/>
      <c r="K933" s="134"/>
      <c r="L933" s="134"/>
      <c r="M933" s="69"/>
      <c r="N933" s="70"/>
      <c r="O933" s="322"/>
    </row>
    <row r="934" spans="1:15" s="95" customFormat="1" ht="3.95" customHeight="1" outlineLevel="1" x14ac:dyDescent="0.2">
      <c r="A934" s="152"/>
      <c r="B934" s="72"/>
      <c r="C934" s="73"/>
      <c r="D934" s="71"/>
      <c r="E934" s="71"/>
      <c r="F934" s="72"/>
      <c r="G934" s="135"/>
      <c r="H934" s="135"/>
      <c r="I934" s="75"/>
      <c r="J934" s="135"/>
      <c r="K934" s="135"/>
      <c r="L934" s="136"/>
      <c r="M934" s="74"/>
      <c r="N934" s="75"/>
      <c r="O934" s="323"/>
    </row>
    <row r="935" spans="1:15" s="95" customFormat="1" ht="11.1" customHeight="1" outlineLevel="1" x14ac:dyDescent="0.2">
      <c r="A935" s="409" t="s">
        <v>469</v>
      </c>
      <c r="B935" s="76" t="s">
        <v>9</v>
      </c>
      <c r="C935" s="77" t="s">
        <v>416</v>
      </c>
      <c r="D935" s="410" t="s">
        <v>383</v>
      </c>
      <c r="E935" s="410" t="s">
        <v>141</v>
      </c>
      <c r="F935" s="78" t="s">
        <v>28</v>
      </c>
      <c r="G935" s="137">
        <f>SUM(G936:G941)</f>
        <v>3572000</v>
      </c>
      <c r="H935" s="137">
        <f>SUM(H936:H941)</f>
        <v>0</v>
      </c>
      <c r="I935" s="39">
        <f t="shared" ref="I935:I941" si="410">IF(G935&gt;0,H935/G935*100,"-")</f>
        <v>0</v>
      </c>
      <c r="J935" s="137">
        <f>SUM(J936:J941)</f>
        <v>615000</v>
      </c>
      <c r="K935" s="137">
        <f>SUM(K936:K941)</f>
        <v>-615000</v>
      </c>
      <c r="L935" s="137">
        <f>SUM(L936:L941)</f>
        <v>0</v>
      </c>
      <c r="M935" s="38">
        <f>SUM(M936:M941)</f>
        <v>0</v>
      </c>
      <c r="N935" s="39" t="str">
        <f t="shared" ref="N935:N941" si="411">IF(L935&gt;0,M935/L935*100,"-")</f>
        <v>-</v>
      </c>
      <c r="O935" s="405" t="s">
        <v>643</v>
      </c>
    </row>
    <row r="936" spans="1:15" s="95" customFormat="1" ht="11.1" customHeight="1" outlineLevel="1" x14ac:dyDescent="0.2">
      <c r="A936" s="409"/>
      <c r="B936" s="76" t="s">
        <v>10</v>
      </c>
      <c r="C936" s="77" t="s">
        <v>91</v>
      </c>
      <c r="D936" s="410"/>
      <c r="E936" s="410"/>
      <c r="F936" s="79" t="s">
        <v>15</v>
      </c>
      <c r="G936" s="138">
        <v>667000</v>
      </c>
      <c r="H936" s="243">
        <f t="shared" ref="H936:H941" si="412">ROUNDUP(0+M936,0)</f>
        <v>0</v>
      </c>
      <c r="I936" s="81">
        <f t="shared" si="410"/>
        <v>0</v>
      </c>
      <c r="J936" s="138">
        <v>190000</v>
      </c>
      <c r="K936" s="138">
        <f t="shared" ref="K936:K941" si="413">L936-J936</f>
        <v>-190000</v>
      </c>
      <c r="L936" s="138">
        <v>0</v>
      </c>
      <c r="M936" s="80">
        <v>0</v>
      </c>
      <c r="N936" s="81" t="str">
        <f t="shared" si="411"/>
        <v>-</v>
      </c>
      <c r="O936" s="405"/>
    </row>
    <row r="937" spans="1:15" s="95" customFormat="1" ht="11.1" customHeight="1" outlineLevel="1" x14ac:dyDescent="0.2">
      <c r="A937" s="409"/>
      <c r="B937" s="76" t="s">
        <v>11</v>
      </c>
      <c r="C937" s="82" t="s">
        <v>92</v>
      </c>
      <c r="D937" s="410"/>
      <c r="E937" s="410"/>
      <c r="F937" s="79" t="s">
        <v>7</v>
      </c>
      <c r="G937" s="138">
        <v>2900000</v>
      </c>
      <c r="H937" s="243">
        <f t="shared" si="412"/>
        <v>0</v>
      </c>
      <c r="I937" s="81">
        <f t="shared" si="410"/>
        <v>0</v>
      </c>
      <c r="J937" s="138">
        <v>425000</v>
      </c>
      <c r="K937" s="138">
        <f t="shared" si="413"/>
        <v>-425000</v>
      </c>
      <c r="L937" s="138">
        <v>0</v>
      </c>
      <c r="M937" s="80">
        <v>0</v>
      </c>
      <c r="N937" s="81" t="str">
        <f t="shared" si="411"/>
        <v>-</v>
      </c>
      <c r="O937" s="405"/>
    </row>
    <row r="938" spans="1:15" s="95" customFormat="1" ht="11.1" customHeight="1" outlineLevel="1" x14ac:dyDescent="0.2">
      <c r="A938" s="117"/>
      <c r="B938" s="76" t="s">
        <v>12</v>
      </c>
      <c r="C938" s="82" t="s">
        <v>205</v>
      </c>
      <c r="D938" s="108"/>
      <c r="E938" s="108"/>
      <c r="F938" s="79" t="s">
        <v>8</v>
      </c>
      <c r="G938" s="138">
        <v>0</v>
      </c>
      <c r="H938" s="243">
        <f t="shared" si="412"/>
        <v>0</v>
      </c>
      <c r="I938" s="81" t="str">
        <f t="shared" si="410"/>
        <v>-</v>
      </c>
      <c r="J938" s="138">
        <v>0</v>
      </c>
      <c r="K938" s="138">
        <f t="shared" si="413"/>
        <v>0</v>
      </c>
      <c r="L938" s="138">
        <v>0</v>
      </c>
      <c r="M938" s="80">
        <v>0</v>
      </c>
      <c r="N938" s="81" t="str">
        <f t="shared" si="411"/>
        <v>-</v>
      </c>
      <c r="O938" s="405"/>
    </row>
    <row r="939" spans="1:15" s="95" customFormat="1" ht="11.1" customHeight="1" outlineLevel="1" x14ac:dyDescent="0.2">
      <c r="A939" s="117"/>
      <c r="B939" s="76"/>
      <c r="C939" s="82" t="s">
        <v>420</v>
      </c>
      <c r="D939" s="108"/>
      <c r="E939" s="108"/>
      <c r="F939" s="79" t="s">
        <v>22</v>
      </c>
      <c r="G939" s="138">
        <v>0</v>
      </c>
      <c r="H939" s="243">
        <f t="shared" si="412"/>
        <v>0</v>
      </c>
      <c r="I939" s="81" t="str">
        <f t="shared" si="410"/>
        <v>-</v>
      </c>
      <c r="J939" s="138">
        <v>0</v>
      </c>
      <c r="K939" s="138">
        <f t="shared" si="413"/>
        <v>0</v>
      </c>
      <c r="L939" s="138">
        <v>0</v>
      </c>
      <c r="M939" s="80">
        <v>0</v>
      </c>
      <c r="N939" s="81" t="str">
        <f t="shared" si="411"/>
        <v>-</v>
      </c>
      <c r="O939" s="405"/>
    </row>
    <row r="940" spans="1:15" s="95" customFormat="1" ht="11.1" customHeight="1" outlineLevel="1" x14ac:dyDescent="0.2">
      <c r="A940" s="117"/>
      <c r="B940" s="76"/>
      <c r="C940" s="82" t="s">
        <v>421</v>
      </c>
      <c r="D940" s="108"/>
      <c r="E940" s="108"/>
      <c r="F940" s="79" t="s">
        <v>45</v>
      </c>
      <c r="G940" s="138">
        <v>5000</v>
      </c>
      <c r="H940" s="243">
        <f t="shared" si="412"/>
        <v>0</v>
      </c>
      <c r="I940" s="81">
        <f t="shared" si="410"/>
        <v>0</v>
      </c>
      <c r="J940" s="138">
        <v>0</v>
      </c>
      <c r="K940" s="138">
        <f t="shared" si="413"/>
        <v>0</v>
      </c>
      <c r="L940" s="138">
        <v>0</v>
      </c>
      <c r="M940" s="80">
        <v>0</v>
      </c>
      <c r="N940" s="81" t="str">
        <f t="shared" si="411"/>
        <v>-</v>
      </c>
      <c r="O940" s="405"/>
    </row>
    <row r="941" spans="1:15" s="95" customFormat="1" ht="11.1" customHeight="1" outlineLevel="1" x14ac:dyDescent="0.2">
      <c r="A941" s="117"/>
      <c r="B941" s="76"/>
      <c r="C941" s="82" t="s">
        <v>422</v>
      </c>
      <c r="D941" s="108"/>
      <c r="E941" s="108"/>
      <c r="F941" s="79" t="s">
        <v>359</v>
      </c>
      <c r="G941" s="138">
        <v>0</v>
      </c>
      <c r="H941" s="243">
        <f t="shared" si="412"/>
        <v>0</v>
      </c>
      <c r="I941" s="81" t="str">
        <f t="shared" si="410"/>
        <v>-</v>
      </c>
      <c r="J941" s="138">
        <v>0</v>
      </c>
      <c r="K941" s="138">
        <f t="shared" si="413"/>
        <v>0</v>
      </c>
      <c r="L941" s="138">
        <v>0</v>
      </c>
      <c r="M941" s="80">
        <v>0</v>
      </c>
      <c r="N941" s="81" t="str">
        <f t="shared" si="411"/>
        <v>-</v>
      </c>
      <c r="O941" s="405"/>
    </row>
    <row r="942" spans="1:15" s="95" customFormat="1" ht="11.1" customHeight="1" outlineLevel="1" x14ac:dyDescent="0.2">
      <c r="A942" s="117"/>
      <c r="B942" s="76" t="s">
        <v>23</v>
      </c>
      <c r="C942" s="82" t="s">
        <v>423</v>
      </c>
      <c r="D942" s="108"/>
      <c r="E942" s="108"/>
      <c r="F942" s="106"/>
      <c r="G942" s="139"/>
      <c r="H942" s="366"/>
      <c r="I942" s="81"/>
      <c r="J942" s="139"/>
      <c r="K942" s="139"/>
      <c r="L942" s="138"/>
      <c r="M942" s="107"/>
      <c r="N942" s="81"/>
      <c r="O942" s="380"/>
    </row>
    <row r="943" spans="1:15" s="95" customFormat="1" ht="3.95" customHeight="1" outlineLevel="1" x14ac:dyDescent="0.2">
      <c r="A943" s="118"/>
      <c r="B943" s="85"/>
      <c r="C943" s="86"/>
      <c r="D943" s="84"/>
      <c r="E943" s="84"/>
      <c r="F943" s="85"/>
      <c r="G943" s="140"/>
      <c r="H943" s="140"/>
      <c r="I943" s="88"/>
      <c r="J943" s="140"/>
      <c r="K943" s="140"/>
      <c r="L943" s="141"/>
      <c r="M943" s="87"/>
      <c r="N943" s="88"/>
      <c r="O943" s="382"/>
    </row>
    <row r="944" spans="1:15" s="95" customFormat="1" ht="3.95" customHeight="1" outlineLevel="1" x14ac:dyDescent="0.2">
      <c r="A944" s="152"/>
      <c r="B944" s="72"/>
      <c r="C944" s="73"/>
      <c r="D944" s="71"/>
      <c r="E944" s="71"/>
      <c r="F944" s="72"/>
      <c r="G944" s="135"/>
      <c r="H944" s="135"/>
      <c r="I944" s="75"/>
      <c r="J944" s="135"/>
      <c r="K944" s="135"/>
      <c r="L944" s="136"/>
      <c r="M944" s="74"/>
      <c r="N944" s="75"/>
      <c r="O944" s="384"/>
    </row>
    <row r="945" spans="1:15" s="95" customFormat="1" ht="11.1" customHeight="1" outlineLevel="1" x14ac:dyDescent="0.2">
      <c r="A945" s="409" t="s">
        <v>470</v>
      </c>
      <c r="B945" s="76" t="s">
        <v>9</v>
      </c>
      <c r="C945" s="77" t="s">
        <v>416</v>
      </c>
      <c r="D945" s="410" t="s">
        <v>586</v>
      </c>
      <c r="E945" s="410" t="s">
        <v>141</v>
      </c>
      <c r="F945" s="78" t="s">
        <v>28</v>
      </c>
      <c r="G945" s="137">
        <f>SUM(G946:G951)</f>
        <v>7500000</v>
      </c>
      <c r="H945" s="137">
        <f>SUM(H946:H951)</f>
        <v>0</v>
      </c>
      <c r="I945" s="39">
        <f t="shared" ref="I945:I951" si="414">IF(G945&gt;0,H945/G945*100,"-")</f>
        <v>0</v>
      </c>
      <c r="J945" s="137">
        <f>SUM(J946:J951)</f>
        <v>0</v>
      </c>
      <c r="K945" s="137">
        <f>SUM(K946:K951)</f>
        <v>0</v>
      </c>
      <c r="L945" s="137">
        <f>SUM(L946:L951)</f>
        <v>0</v>
      </c>
      <c r="M945" s="38">
        <f>SUM(M946:M951)</f>
        <v>0</v>
      </c>
      <c r="N945" s="39" t="str">
        <f t="shared" ref="N945:N951" si="415">IF(L945&gt;0,M945/L945*100,"-")</f>
        <v>-</v>
      </c>
      <c r="O945" s="405" t="s">
        <v>650</v>
      </c>
    </row>
    <row r="946" spans="1:15" s="95" customFormat="1" ht="11.1" customHeight="1" outlineLevel="1" x14ac:dyDescent="0.2">
      <c r="A946" s="409"/>
      <c r="B946" s="76" t="s">
        <v>10</v>
      </c>
      <c r="C946" s="77" t="s">
        <v>91</v>
      </c>
      <c r="D946" s="410"/>
      <c r="E946" s="410"/>
      <c r="F946" s="79" t="s">
        <v>15</v>
      </c>
      <c r="G946" s="138">
        <v>7500000</v>
      </c>
      <c r="H946" s="243">
        <f t="shared" ref="H946:H951" si="416">ROUNDUP(0+M946,0)</f>
        <v>0</v>
      </c>
      <c r="I946" s="81">
        <f t="shared" si="414"/>
        <v>0</v>
      </c>
      <c r="J946" s="138">
        <v>0</v>
      </c>
      <c r="K946" s="138">
        <f t="shared" ref="K946:K951" si="417">L946-J946</f>
        <v>0</v>
      </c>
      <c r="L946" s="138">
        <v>0</v>
      </c>
      <c r="M946" s="80">
        <v>0</v>
      </c>
      <c r="N946" s="81" t="str">
        <f t="shared" si="415"/>
        <v>-</v>
      </c>
      <c r="O946" s="405"/>
    </row>
    <row r="947" spans="1:15" s="95" customFormat="1" ht="11.1" customHeight="1" outlineLevel="1" x14ac:dyDescent="0.2">
      <c r="A947" s="409"/>
      <c r="B947" s="76" t="s">
        <v>11</v>
      </c>
      <c r="C947" s="82" t="s">
        <v>92</v>
      </c>
      <c r="D947" s="410"/>
      <c r="E947" s="410"/>
      <c r="F947" s="79" t="s">
        <v>7</v>
      </c>
      <c r="G947" s="138">
        <v>0</v>
      </c>
      <c r="H947" s="243">
        <f t="shared" si="416"/>
        <v>0</v>
      </c>
      <c r="I947" s="81" t="str">
        <f t="shared" si="414"/>
        <v>-</v>
      </c>
      <c r="J947" s="138">
        <v>0</v>
      </c>
      <c r="K947" s="138">
        <f t="shared" si="417"/>
        <v>0</v>
      </c>
      <c r="L947" s="138">
        <v>0</v>
      </c>
      <c r="M947" s="80">
        <v>0</v>
      </c>
      <c r="N947" s="81" t="str">
        <f t="shared" si="415"/>
        <v>-</v>
      </c>
      <c r="O947" s="405"/>
    </row>
    <row r="948" spans="1:15" s="95" customFormat="1" ht="11.1" customHeight="1" outlineLevel="1" x14ac:dyDescent="0.2">
      <c r="A948" s="117"/>
      <c r="B948" s="76" t="s">
        <v>12</v>
      </c>
      <c r="C948" s="82" t="s">
        <v>205</v>
      </c>
      <c r="D948" s="108"/>
      <c r="E948" s="108"/>
      <c r="F948" s="79" t="s">
        <v>8</v>
      </c>
      <c r="G948" s="138">
        <v>0</v>
      </c>
      <c r="H948" s="243">
        <f t="shared" si="416"/>
        <v>0</v>
      </c>
      <c r="I948" s="81" t="str">
        <f t="shared" si="414"/>
        <v>-</v>
      </c>
      <c r="J948" s="138">
        <v>0</v>
      </c>
      <c r="K948" s="138">
        <f t="shared" si="417"/>
        <v>0</v>
      </c>
      <c r="L948" s="138">
        <v>0</v>
      </c>
      <c r="M948" s="80">
        <v>0</v>
      </c>
      <c r="N948" s="81" t="str">
        <f t="shared" si="415"/>
        <v>-</v>
      </c>
      <c r="O948" s="405"/>
    </row>
    <row r="949" spans="1:15" s="95" customFormat="1" ht="11.1" customHeight="1" outlineLevel="1" x14ac:dyDescent="0.2">
      <c r="A949" s="117"/>
      <c r="B949" s="76"/>
      <c r="C949" s="82" t="s">
        <v>583</v>
      </c>
      <c r="D949" s="108"/>
      <c r="E949" s="108"/>
      <c r="F949" s="79" t="s">
        <v>22</v>
      </c>
      <c r="G949" s="138">
        <v>0</v>
      </c>
      <c r="H949" s="243">
        <f t="shared" si="416"/>
        <v>0</v>
      </c>
      <c r="I949" s="81" t="str">
        <f t="shared" si="414"/>
        <v>-</v>
      </c>
      <c r="J949" s="138">
        <v>0</v>
      </c>
      <c r="K949" s="138">
        <f t="shared" si="417"/>
        <v>0</v>
      </c>
      <c r="L949" s="138">
        <v>0</v>
      </c>
      <c r="M949" s="80">
        <v>0</v>
      </c>
      <c r="N949" s="81" t="str">
        <f t="shared" si="415"/>
        <v>-</v>
      </c>
      <c r="O949" s="405"/>
    </row>
    <row r="950" spans="1:15" s="95" customFormat="1" ht="11.1" customHeight="1" outlineLevel="1" x14ac:dyDescent="0.2">
      <c r="A950" s="117"/>
      <c r="B950" s="76"/>
      <c r="C950" s="82" t="s">
        <v>584</v>
      </c>
      <c r="D950" s="108"/>
      <c r="E950" s="108"/>
      <c r="F950" s="79" t="s">
        <v>45</v>
      </c>
      <c r="G950" s="138">
        <v>0</v>
      </c>
      <c r="H950" s="243">
        <f t="shared" si="416"/>
        <v>0</v>
      </c>
      <c r="I950" s="81" t="str">
        <f t="shared" si="414"/>
        <v>-</v>
      </c>
      <c r="J950" s="138">
        <v>0</v>
      </c>
      <c r="K950" s="138">
        <f t="shared" si="417"/>
        <v>0</v>
      </c>
      <c r="L950" s="138">
        <v>0</v>
      </c>
      <c r="M950" s="80">
        <v>0</v>
      </c>
      <c r="N950" s="81" t="str">
        <f t="shared" si="415"/>
        <v>-</v>
      </c>
      <c r="O950" s="405"/>
    </row>
    <row r="951" spans="1:15" s="95" customFormat="1" ht="11.1" customHeight="1" outlineLevel="1" x14ac:dyDescent="0.2">
      <c r="A951" s="117"/>
      <c r="B951" s="76"/>
      <c r="C951" s="82" t="s">
        <v>585</v>
      </c>
      <c r="D951" s="108"/>
      <c r="E951" s="108"/>
      <c r="F951" s="79" t="s">
        <v>359</v>
      </c>
      <c r="G951" s="138">
        <v>0</v>
      </c>
      <c r="H951" s="243">
        <f t="shared" si="416"/>
        <v>0</v>
      </c>
      <c r="I951" s="81" t="str">
        <f t="shared" si="414"/>
        <v>-</v>
      </c>
      <c r="J951" s="138">
        <v>0</v>
      </c>
      <c r="K951" s="138">
        <f t="shared" si="417"/>
        <v>0</v>
      </c>
      <c r="L951" s="138">
        <v>0</v>
      </c>
      <c r="M951" s="80">
        <v>0</v>
      </c>
      <c r="N951" s="81" t="str">
        <f t="shared" si="415"/>
        <v>-</v>
      </c>
      <c r="O951" s="405"/>
    </row>
    <row r="952" spans="1:15" s="95" customFormat="1" ht="11.1" customHeight="1" outlineLevel="1" x14ac:dyDescent="0.2">
      <c r="A952" s="117"/>
      <c r="B952" s="76" t="s">
        <v>23</v>
      </c>
      <c r="C952" s="82" t="s">
        <v>423</v>
      </c>
      <c r="D952" s="108"/>
      <c r="E952" s="108"/>
      <c r="F952" s="106"/>
      <c r="G952" s="139"/>
      <c r="H952" s="366"/>
      <c r="I952" s="81"/>
      <c r="J952" s="139"/>
      <c r="K952" s="139"/>
      <c r="L952" s="138"/>
      <c r="M952" s="107"/>
      <c r="N952" s="81"/>
      <c r="O952" s="383"/>
    </row>
    <row r="953" spans="1:15" s="95" customFormat="1" ht="3.95" customHeight="1" outlineLevel="1" x14ac:dyDescent="0.2">
      <c r="A953" s="118"/>
      <c r="B953" s="85"/>
      <c r="C953" s="86"/>
      <c r="D953" s="84"/>
      <c r="E953" s="84"/>
      <c r="F953" s="85"/>
      <c r="G953" s="140"/>
      <c r="H953" s="140"/>
      <c r="I953" s="88"/>
      <c r="J953" s="140"/>
      <c r="K953" s="140"/>
      <c r="L953" s="141"/>
      <c r="M953" s="87"/>
      <c r="N953" s="88"/>
      <c r="O953" s="385"/>
    </row>
    <row r="954" spans="1:15" s="95" customFormat="1" ht="3.95" customHeight="1" outlineLevel="1" x14ac:dyDescent="0.2">
      <c r="A954" s="152"/>
      <c r="B954" s="72"/>
      <c r="C954" s="73"/>
      <c r="D954" s="71"/>
      <c r="E954" s="71"/>
      <c r="F954" s="72"/>
      <c r="G954" s="135"/>
      <c r="H954" s="135"/>
      <c r="I954" s="75"/>
      <c r="J954" s="135"/>
      <c r="K954" s="135"/>
      <c r="L954" s="136"/>
      <c r="M954" s="74"/>
      <c r="N954" s="75"/>
      <c r="O954" s="381"/>
    </row>
    <row r="955" spans="1:15" s="95" customFormat="1" ht="11.1" customHeight="1" outlineLevel="1" x14ac:dyDescent="0.2">
      <c r="A955" s="409" t="s">
        <v>471</v>
      </c>
      <c r="B955" s="76" t="s">
        <v>9</v>
      </c>
      <c r="C955" s="77" t="s">
        <v>416</v>
      </c>
      <c r="D955" s="410" t="s">
        <v>383</v>
      </c>
      <c r="E955" s="410" t="s">
        <v>141</v>
      </c>
      <c r="F955" s="78" t="s">
        <v>28</v>
      </c>
      <c r="G955" s="137">
        <f>SUM(G956:G961)</f>
        <v>11830140</v>
      </c>
      <c r="H955" s="137">
        <f>SUM(H956:H961)</f>
        <v>21402</v>
      </c>
      <c r="I955" s="39">
        <f t="shared" ref="I955:I961" si="418">IF(G955&gt;0,H955/G955*100,"-")</f>
        <v>0.18091079226450404</v>
      </c>
      <c r="J955" s="137">
        <f>SUM(J956:J961)</f>
        <v>2974140</v>
      </c>
      <c r="K955" s="137">
        <f>SUM(K956:K961)</f>
        <v>-2952000</v>
      </c>
      <c r="L955" s="137">
        <f>SUM(L956:L961)</f>
        <v>22140</v>
      </c>
      <c r="M955" s="38">
        <f>SUM(M956:M961)</f>
        <v>21402</v>
      </c>
      <c r="N955" s="39">
        <f t="shared" ref="N955:N961" si="419">IF(L955&gt;0,M955/L955*100,"-")</f>
        <v>96.666666666666671</v>
      </c>
      <c r="O955" s="405" t="s">
        <v>644</v>
      </c>
    </row>
    <row r="956" spans="1:15" s="95" customFormat="1" ht="11.1" customHeight="1" outlineLevel="1" x14ac:dyDescent="0.2">
      <c r="A956" s="409"/>
      <c r="B956" s="76" t="s">
        <v>10</v>
      </c>
      <c r="C956" s="77" t="s">
        <v>91</v>
      </c>
      <c r="D956" s="410"/>
      <c r="E956" s="410"/>
      <c r="F956" s="79" t="s">
        <v>15</v>
      </c>
      <c r="G956" s="138">
        <v>2208000</v>
      </c>
      <c r="H956" s="243">
        <f t="shared" ref="H956:H961" si="420">ROUNDUP(0+M956,0)</f>
        <v>0</v>
      </c>
      <c r="I956" s="81">
        <f t="shared" si="418"/>
        <v>0</v>
      </c>
      <c r="J956" s="138">
        <v>912000</v>
      </c>
      <c r="K956" s="138">
        <f t="shared" ref="K956:K961" si="421">L956-J956</f>
        <v>-912000</v>
      </c>
      <c r="L956" s="138">
        <v>0</v>
      </c>
      <c r="M956" s="80">
        <v>0</v>
      </c>
      <c r="N956" s="81" t="str">
        <f t="shared" si="419"/>
        <v>-</v>
      </c>
      <c r="O956" s="405"/>
    </row>
    <row r="957" spans="1:15" s="95" customFormat="1" ht="11.1" customHeight="1" outlineLevel="1" x14ac:dyDescent="0.2">
      <c r="A957" s="409"/>
      <c r="B957" s="76" t="s">
        <v>11</v>
      </c>
      <c r="C957" s="82" t="s">
        <v>92</v>
      </c>
      <c r="D957" s="410"/>
      <c r="E957" s="410"/>
      <c r="F957" s="79" t="s">
        <v>7</v>
      </c>
      <c r="G957" s="138">
        <v>9600000</v>
      </c>
      <c r="H957" s="243">
        <f t="shared" si="420"/>
        <v>0</v>
      </c>
      <c r="I957" s="81">
        <f t="shared" si="418"/>
        <v>0</v>
      </c>
      <c r="J957" s="138">
        <v>2040000</v>
      </c>
      <c r="K957" s="138">
        <f t="shared" si="421"/>
        <v>-2040000</v>
      </c>
      <c r="L957" s="138">
        <v>0</v>
      </c>
      <c r="M957" s="80">
        <v>0</v>
      </c>
      <c r="N957" s="81" t="str">
        <f t="shared" si="419"/>
        <v>-</v>
      </c>
      <c r="O957" s="405"/>
    </row>
    <row r="958" spans="1:15" s="95" customFormat="1" ht="11.1" customHeight="1" outlineLevel="1" x14ac:dyDescent="0.2">
      <c r="A958" s="117"/>
      <c r="B958" s="76" t="s">
        <v>12</v>
      </c>
      <c r="C958" s="82" t="s">
        <v>205</v>
      </c>
      <c r="D958" s="108"/>
      <c r="E958" s="108"/>
      <c r="F958" s="79" t="s">
        <v>8</v>
      </c>
      <c r="G958" s="138">
        <v>0</v>
      </c>
      <c r="H958" s="243">
        <f t="shared" si="420"/>
        <v>0</v>
      </c>
      <c r="I958" s="81" t="str">
        <f t="shared" si="418"/>
        <v>-</v>
      </c>
      <c r="J958" s="138">
        <v>0</v>
      </c>
      <c r="K958" s="138">
        <f t="shared" si="421"/>
        <v>0</v>
      </c>
      <c r="L958" s="138">
        <v>0</v>
      </c>
      <c r="M958" s="80">
        <v>0</v>
      </c>
      <c r="N958" s="81" t="str">
        <f t="shared" si="419"/>
        <v>-</v>
      </c>
      <c r="O958" s="405"/>
    </row>
    <row r="959" spans="1:15" s="95" customFormat="1" ht="11.1" customHeight="1" outlineLevel="1" x14ac:dyDescent="0.2">
      <c r="A959" s="117"/>
      <c r="B959" s="76"/>
      <c r="C959" s="82" t="s">
        <v>424</v>
      </c>
      <c r="D959" s="108"/>
      <c r="E959" s="108"/>
      <c r="F959" s="79" t="s">
        <v>22</v>
      </c>
      <c r="G959" s="138">
        <v>0</v>
      </c>
      <c r="H959" s="243">
        <f t="shared" si="420"/>
        <v>0</v>
      </c>
      <c r="I959" s="81" t="str">
        <f t="shared" si="418"/>
        <v>-</v>
      </c>
      <c r="J959" s="138">
        <v>0</v>
      </c>
      <c r="K959" s="138">
        <f t="shared" si="421"/>
        <v>0</v>
      </c>
      <c r="L959" s="138">
        <v>0</v>
      </c>
      <c r="M959" s="80">
        <v>0</v>
      </c>
      <c r="N959" s="81" t="str">
        <f t="shared" si="419"/>
        <v>-</v>
      </c>
      <c r="O959" s="405"/>
    </row>
    <row r="960" spans="1:15" s="95" customFormat="1" ht="11.1" customHeight="1" outlineLevel="1" x14ac:dyDescent="0.2">
      <c r="A960" s="117"/>
      <c r="B960" s="76"/>
      <c r="C960" s="82" t="s">
        <v>425</v>
      </c>
      <c r="D960" s="108"/>
      <c r="E960" s="108"/>
      <c r="F960" s="79" t="s">
        <v>45</v>
      </c>
      <c r="G960" s="138">
        <v>22140</v>
      </c>
      <c r="H960" s="243">
        <f t="shared" si="420"/>
        <v>21402</v>
      </c>
      <c r="I960" s="81">
        <f t="shared" si="418"/>
        <v>96.666666666666671</v>
      </c>
      <c r="J960" s="138">
        <v>22140</v>
      </c>
      <c r="K960" s="138">
        <f t="shared" si="421"/>
        <v>0</v>
      </c>
      <c r="L960" s="138">
        <v>22140</v>
      </c>
      <c r="M960" s="80">
        <v>21402</v>
      </c>
      <c r="N960" s="81">
        <f t="shared" si="419"/>
        <v>96.666666666666671</v>
      </c>
      <c r="O960" s="405"/>
    </row>
    <row r="961" spans="1:15" s="95" customFormat="1" ht="11.1" customHeight="1" outlineLevel="1" x14ac:dyDescent="0.2">
      <c r="A961" s="117"/>
      <c r="B961" s="76"/>
      <c r="C961" s="82" t="s">
        <v>426</v>
      </c>
      <c r="D961" s="108"/>
      <c r="E961" s="108"/>
      <c r="F961" s="79" t="s">
        <v>359</v>
      </c>
      <c r="G961" s="138">
        <v>0</v>
      </c>
      <c r="H961" s="243">
        <f t="shared" si="420"/>
        <v>0</v>
      </c>
      <c r="I961" s="81" t="str">
        <f t="shared" si="418"/>
        <v>-</v>
      </c>
      <c r="J961" s="138">
        <v>0</v>
      </c>
      <c r="K961" s="138">
        <f t="shared" si="421"/>
        <v>0</v>
      </c>
      <c r="L961" s="138">
        <v>0</v>
      </c>
      <c r="M961" s="80">
        <v>0</v>
      </c>
      <c r="N961" s="81" t="str">
        <f t="shared" si="419"/>
        <v>-</v>
      </c>
      <c r="O961" s="405"/>
    </row>
    <row r="962" spans="1:15" s="95" customFormat="1" ht="11.1" customHeight="1" outlineLevel="1" x14ac:dyDescent="0.2">
      <c r="A962" s="117"/>
      <c r="B962" s="76"/>
      <c r="C962" s="82" t="s">
        <v>427</v>
      </c>
      <c r="D962" s="108"/>
      <c r="E962" s="108"/>
      <c r="F962" s="106"/>
      <c r="G962" s="139"/>
      <c r="H962" s="366"/>
      <c r="I962" s="81"/>
      <c r="J962" s="139"/>
      <c r="K962" s="139"/>
      <c r="L962" s="138"/>
      <c r="M962" s="107"/>
      <c r="N962" s="81"/>
      <c r="O962" s="380"/>
    </row>
    <row r="963" spans="1:15" s="95" customFormat="1" ht="11.1" customHeight="1" outlineLevel="1" x14ac:dyDescent="0.2">
      <c r="A963" s="117"/>
      <c r="B963" s="76" t="s">
        <v>428</v>
      </c>
      <c r="C963" s="82" t="s">
        <v>423</v>
      </c>
      <c r="D963" s="108"/>
      <c r="E963" s="108"/>
      <c r="F963" s="106"/>
      <c r="G963" s="139"/>
      <c r="H963" s="366"/>
      <c r="I963" s="81"/>
      <c r="J963" s="139"/>
      <c r="K963" s="139"/>
      <c r="L963" s="138"/>
      <c r="M963" s="107"/>
      <c r="N963" s="81"/>
      <c r="O963" s="380"/>
    </row>
    <row r="964" spans="1:15" s="95" customFormat="1" ht="3.95" customHeight="1" outlineLevel="1" x14ac:dyDescent="0.2">
      <c r="A964" s="118"/>
      <c r="B964" s="85"/>
      <c r="C964" s="86"/>
      <c r="D964" s="84"/>
      <c r="E964" s="84"/>
      <c r="F964" s="85"/>
      <c r="G964" s="140"/>
      <c r="H964" s="140"/>
      <c r="I964" s="88"/>
      <c r="J964" s="140"/>
      <c r="K964" s="140"/>
      <c r="L964" s="141"/>
      <c r="M964" s="87"/>
      <c r="N964" s="88"/>
      <c r="O964" s="382"/>
    </row>
    <row r="965" spans="1:15" ht="3.95" customHeight="1" outlineLevel="1" x14ac:dyDescent="0.2">
      <c r="A965" s="152"/>
      <c r="B965" s="72"/>
      <c r="C965" s="347"/>
      <c r="D965" s="71"/>
      <c r="E965" s="71"/>
      <c r="F965" s="72"/>
      <c r="G965" s="135"/>
      <c r="H965" s="135"/>
      <c r="I965" s="75"/>
      <c r="J965" s="135"/>
      <c r="K965" s="135"/>
      <c r="L965" s="136"/>
      <c r="M965" s="74"/>
      <c r="N965" s="75"/>
      <c r="O965" s="384"/>
    </row>
    <row r="966" spans="1:15" ht="11.1" customHeight="1" outlineLevel="1" x14ac:dyDescent="0.2">
      <c r="A966" s="409" t="s">
        <v>472</v>
      </c>
      <c r="B966" s="76" t="s">
        <v>9</v>
      </c>
      <c r="C966" s="352" t="s">
        <v>416</v>
      </c>
      <c r="D966" s="410" t="s">
        <v>383</v>
      </c>
      <c r="E966" s="410" t="s">
        <v>141</v>
      </c>
      <c r="F966" s="78" t="s">
        <v>28</v>
      </c>
      <c r="G966" s="137">
        <f>SUM(G967:G972)</f>
        <v>15701</v>
      </c>
      <c r="H966" s="137">
        <f>SUM(H967:H972)</f>
        <v>10701</v>
      </c>
      <c r="I966" s="39">
        <f t="shared" ref="I966:I972" si="422">IF(G966&gt;0,H966/G966*100,"-")</f>
        <v>68.154894592701098</v>
      </c>
      <c r="J966" s="137">
        <f>SUM(J967:J972)</f>
        <v>0</v>
      </c>
      <c r="K966" s="137">
        <f>SUM(K967:K972)</f>
        <v>10701</v>
      </c>
      <c r="L966" s="137">
        <f>SUM(L967:L972)</f>
        <v>10701</v>
      </c>
      <c r="M966" s="38">
        <f>SUM(M967:M972)</f>
        <v>10701</v>
      </c>
      <c r="N966" s="39">
        <f t="shared" ref="N966:N972" si="423">IF(L966&gt;0,M966/L966*100,"-")</f>
        <v>100</v>
      </c>
      <c r="O966" s="405" t="s">
        <v>647</v>
      </c>
    </row>
    <row r="967" spans="1:15" ht="11.1" customHeight="1" outlineLevel="1" x14ac:dyDescent="0.2">
      <c r="A967" s="409"/>
      <c r="B967" s="76" t="s">
        <v>10</v>
      </c>
      <c r="C967" s="352" t="s">
        <v>91</v>
      </c>
      <c r="D967" s="410"/>
      <c r="E967" s="410"/>
      <c r="F967" s="79" t="s">
        <v>15</v>
      </c>
      <c r="G967" s="138">
        <v>5000</v>
      </c>
      <c r="H967" s="243">
        <f t="shared" ref="H967:H972" si="424">ROUNDUP(0+M967,0)</f>
        <v>0</v>
      </c>
      <c r="I967" s="81">
        <f t="shared" si="422"/>
        <v>0</v>
      </c>
      <c r="J967" s="138">
        <v>0</v>
      </c>
      <c r="K967" s="138">
        <f t="shared" ref="K967:K972" si="425">L967-J967</f>
        <v>0</v>
      </c>
      <c r="L967" s="138">
        <v>0</v>
      </c>
      <c r="M967" s="80">
        <v>0</v>
      </c>
      <c r="N967" s="81" t="str">
        <f t="shared" si="423"/>
        <v>-</v>
      </c>
      <c r="O967" s="405"/>
    </row>
    <row r="968" spans="1:15" ht="11.1" customHeight="1" outlineLevel="1" x14ac:dyDescent="0.2">
      <c r="A968" s="409"/>
      <c r="B968" s="76" t="s">
        <v>11</v>
      </c>
      <c r="C968" s="148" t="s">
        <v>92</v>
      </c>
      <c r="D968" s="410"/>
      <c r="E968" s="410"/>
      <c r="F968" s="79" t="s">
        <v>7</v>
      </c>
      <c r="G968" s="138">
        <v>0</v>
      </c>
      <c r="H968" s="243">
        <f t="shared" si="424"/>
        <v>0</v>
      </c>
      <c r="I968" s="81" t="str">
        <f t="shared" si="422"/>
        <v>-</v>
      </c>
      <c r="J968" s="138">
        <v>0</v>
      </c>
      <c r="K968" s="138">
        <f t="shared" si="425"/>
        <v>0</v>
      </c>
      <c r="L968" s="138">
        <v>0</v>
      </c>
      <c r="M968" s="80">
        <v>0</v>
      </c>
      <c r="N968" s="81" t="str">
        <f t="shared" si="423"/>
        <v>-</v>
      </c>
      <c r="O968" s="405"/>
    </row>
    <row r="969" spans="1:15" ht="11.1" customHeight="1" outlineLevel="1" x14ac:dyDescent="0.2">
      <c r="A969" s="117"/>
      <c r="B969" s="76" t="s">
        <v>12</v>
      </c>
      <c r="C969" s="148" t="s">
        <v>407</v>
      </c>
      <c r="D969" s="108"/>
      <c r="E969" s="108"/>
      <c r="F969" s="79" t="s">
        <v>8</v>
      </c>
      <c r="G969" s="138">
        <v>0</v>
      </c>
      <c r="H969" s="243">
        <f t="shared" si="424"/>
        <v>0</v>
      </c>
      <c r="I969" s="81" t="str">
        <f t="shared" si="422"/>
        <v>-</v>
      </c>
      <c r="J969" s="138">
        <v>0</v>
      </c>
      <c r="K969" s="138">
        <f t="shared" si="425"/>
        <v>0</v>
      </c>
      <c r="L969" s="138">
        <v>0</v>
      </c>
      <c r="M969" s="80">
        <v>0</v>
      </c>
      <c r="N969" s="81" t="str">
        <f t="shared" si="423"/>
        <v>-</v>
      </c>
      <c r="O969" s="405"/>
    </row>
    <row r="970" spans="1:15" ht="11.1" customHeight="1" outlineLevel="1" x14ac:dyDescent="0.2">
      <c r="A970" s="117"/>
      <c r="B970" s="76"/>
      <c r="C970" s="148" t="s">
        <v>408</v>
      </c>
      <c r="D970" s="108"/>
      <c r="E970" s="108"/>
      <c r="F970" s="79" t="s">
        <v>22</v>
      </c>
      <c r="G970" s="139">
        <v>0</v>
      </c>
      <c r="H970" s="243">
        <f t="shared" si="424"/>
        <v>0</v>
      </c>
      <c r="I970" s="81" t="str">
        <f t="shared" si="422"/>
        <v>-</v>
      </c>
      <c r="J970" s="138">
        <v>0</v>
      </c>
      <c r="K970" s="138">
        <f t="shared" si="425"/>
        <v>0</v>
      </c>
      <c r="L970" s="138">
        <v>0</v>
      </c>
      <c r="M970" s="80">
        <v>0</v>
      </c>
      <c r="N970" s="81" t="str">
        <f t="shared" si="423"/>
        <v>-</v>
      </c>
      <c r="O970" s="405"/>
    </row>
    <row r="971" spans="1:15" ht="11.1" customHeight="1" outlineLevel="1" x14ac:dyDescent="0.2">
      <c r="A971" s="117"/>
      <c r="B971" s="76"/>
      <c r="C971" s="148" t="s">
        <v>409</v>
      </c>
      <c r="D971" s="108"/>
      <c r="E971" s="108"/>
      <c r="F971" s="79" t="s">
        <v>45</v>
      </c>
      <c r="G971" s="139">
        <v>10701</v>
      </c>
      <c r="H971" s="243">
        <f t="shared" si="424"/>
        <v>10701</v>
      </c>
      <c r="I971" s="81">
        <f t="shared" si="422"/>
        <v>100</v>
      </c>
      <c r="J971" s="138">
        <v>0</v>
      </c>
      <c r="K971" s="138">
        <f t="shared" si="425"/>
        <v>10701</v>
      </c>
      <c r="L971" s="138">
        <v>10701</v>
      </c>
      <c r="M971" s="80">
        <v>10701</v>
      </c>
      <c r="N971" s="81">
        <f t="shared" si="423"/>
        <v>100</v>
      </c>
      <c r="O971" s="405"/>
    </row>
    <row r="972" spans="1:15" ht="11.1" customHeight="1" outlineLevel="1" x14ac:dyDescent="0.2">
      <c r="A972" s="117"/>
      <c r="B972" s="76" t="s">
        <v>23</v>
      </c>
      <c r="C972" s="82" t="s">
        <v>423</v>
      </c>
      <c r="D972" s="108"/>
      <c r="E972" s="108"/>
      <c r="F972" s="79" t="s">
        <v>359</v>
      </c>
      <c r="G972" s="139">
        <v>0</v>
      </c>
      <c r="H972" s="243">
        <f t="shared" si="424"/>
        <v>0</v>
      </c>
      <c r="I972" s="81" t="str">
        <f t="shared" si="422"/>
        <v>-</v>
      </c>
      <c r="J972" s="138">
        <v>0</v>
      </c>
      <c r="K972" s="138">
        <f t="shared" si="425"/>
        <v>0</v>
      </c>
      <c r="L972" s="138">
        <v>0</v>
      </c>
      <c r="M972" s="80">
        <v>0</v>
      </c>
      <c r="N972" s="81" t="str">
        <f t="shared" si="423"/>
        <v>-</v>
      </c>
      <c r="O972" s="405"/>
    </row>
    <row r="973" spans="1:15" ht="3.95" customHeight="1" outlineLevel="1" x14ac:dyDescent="0.2">
      <c r="A973" s="118"/>
      <c r="B973" s="85"/>
      <c r="C973" s="362"/>
      <c r="D973" s="84"/>
      <c r="E973" s="84"/>
      <c r="F973" s="85"/>
      <c r="G973" s="140"/>
      <c r="H973" s="140"/>
      <c r="I973" s="85"/>
      <c r="J973" s="140"/>
      <c r="K973" s="140"/>
      <c r="L973" s="141"/>
      <c r="M973" s="87"/>
      <c r="N973" s="88"/>
      <c r="O973" s="385"/>
    </row>
    <row r="974" spans="1:15" s="95" customFormat="1" ht="3.95" customHeight="1" outlineLevel="1" x14ac:dyDescent="0.2">
      <c r="A974" s="152"/>
      <c r="B974" s="72"/>
      <c r="C974" s="73"/>
      <c r="D974" s="71"/>
      <c r="E974" s="71"/>
      <c r="F974" s="72"/>
      <c r="G974" s="135"/>
      <c r="H974" s="135"/>
      <c r="I974" s="75"/>
      <c r="J974" s="135"/>
      <c r="K974" s="135"/>
      <c r="L974" s="136"/>
      <c r="M974" s="74"/>
      <c r="N974" s="75"/>
      <c r="O974" s="381"/>
    </row>
    <row r="975" spans="1:15" s="95" customFormat="1" ht="11.1" customHeight="1" outlineLevel="1" x14ac:dyDescent="0.2">
      <c r="A975" s="409" t="s">
        <v>473</v>
      </c>
      <c r="B975" s="76" t="s">
        <v>9</v>
      </c>
      <c r="C975" s="77" t="s">
        <v>416</v>
      </c>
      <c r="D975" s="410" t="s">
        <v>389</v>
      </c>
      <c r="E975" s="410" t="s">
        <v>154</v>
      </c>
      <c r="F975" s="78" t="s">
        <v>28</v>
      </c>
      <c r="G975" s="137">
        <f>SUM(G976:G981)</f>
        <v>3489535</v>
      </c>
      <c r="H975" s="137">
        <f>SUM(H976:H981)</f>
        <v>84535</v>
      </c>
      <c r="I975" s="39">
        <f t="shared" ref="I975:I981" si="426">IF(G975&gt;0,H975/G975*100,"-")</f>
        <v>2.4225290762236229</v>
      </c>
      <c r="J975" s="137">
        <f>SUM(J976:J981)</f>
        <v>51660</v>
      </c>
      <c r="K975" s="137">
        <f>SUM(K976:K981)</f>
        <v>32875</v>
      </c>
      <c r="L975" s="137">
        <f>SUM(L976:L981)</f>
        <v>84535</v>
      </c>
      <c r="M975" s="38">
        <f>SUM(M976:M981)</f>
        <v>84534.55</v>
      </c>
      <c r="N975" s="39">
        <f t="shared" ref="N975:N981" si="427">IF(L975&gt;0,M975/L975*100,"-")</f>
        <v>99.999467676110484</v>
      </c>
      <c r="O975" s="405" t="s">
        <v>645</v>
      </c>
    </row>
    <row r="976" spans="1:15" s="95" customFormat="1" ht="11.1" customHeight="1" outlineLevel="1" x14ac:dyDescent="0.2">
      <c r="A976" s="409"/>
      <c r="B976" s="76" t="s">
        <v>10</v>
      </c>
      <c r="C976" s="77" t="s">
        <v>91</v>
      </c>
      <c r="D976" s="410"/>
      <c r="E976" s="410"/>
      <c r="F976" s="79" t="s">
        <v>15</v>
      </c>
      <c r="G976" s="138">
        <v>600000</v>
      </c>
      <c r="H976" s="243">
        <f t="shared" ref="H976:H981" si="428">ROUNDUP(0+M976,0)</f>
        <v>0</v>
      </c>
      <c r="I976" s="81">
        <f t="shared" si="426"/>
        <v>0</v>
      </c>
      <c r="J976" s="138">
        <v>0</v>
      </c>
      <c r="K976" s="138">
        <f t="shared" ref="K976:K981" si="429">L976-J976</f>
        <v>0</v>
      </c>
      <c r="L976" s="138">
        <v>0</v>
      </c>
      <c r="M976" s="80">
        <v>0</v>
      </c>
      <c r="N976" s="81" t="str">
        <f t="shared" si="427"/>
        <v>-</v>
      </c>
      <c r="O976" s="405"/>
    </row>
    <row r="977" spans="1:15" s="95" customFormat="1" ht="11.1" customHeight="1" outlineLevel="1" x14ac:dyDescent="0.2">
      <c r="A977" s="409"/>
      <c r="B977" s="76" t="s">
        <v>11</v>
      </c>
      <c r="C977" s="82" t="s">
        <v>92</v>
      </c>
      <c r="D977" s="410"/>
      <c r="E977" s="410"/>
      <c r="F977" s="79" t="s">
        <v>7</v>
      </c>
      <c r="G977" s="138">
        <v>2800000</v>
      </c>
      <c r="H977" s="243">
        <f t="shared" si="428"/>
        <v>0</v>
      </c>
      <c r="I977" s="81">
        <f t="shared" si="426"/>
        <v>0</v>
      </c>
      <c r="J977" s="138">
        <v>0</v>
      </c>
      <c r="K977" s="138">
        <f t="shared" si="429"/>
        <v>0</v>
      </c>
      <c r="L977" s="138">
        <v>0</v>
      </c>
      <c r="M977" s="80">
        <v>0</v>
      </c>
      <c r="N977" s="81" t="str">
        <f t="shared" si="427"/>
        <v>-</v>
      </c>
      <c r="O977" s="405"/>
    </row>
    <row r="978" spans="1:15" s="95" customFormat="1" ht="11.1" customHeight="1" outlineLevel="1" x14ac:dyDescent="0.2">
      <c r="A978" s="117"/>
      <c r="B978" s="76" t="s">
        <v>12</v>
      </c>
      <c r="C978" s="82" t="s">
        <v>205</v>
      </c>
      <c r="D978" s="108"/>
      <c r="E978" s="108"/>
      <c r="F978" s="79" t="s">
        <v>8</v>
      </c>
      <c r="G978" s="138">
        <v>0</v>
      </c>
      <c r="H978" s="243">
        <f t="shared" si="428"/>
        <v>0</v>
      </c>
      <c r="I978" s="81" t="str">
        <f t="shared" si="426"/>
        <v>-</v>
      </c>
      <c r="J978" s="138">
        <v>0</v>
      </c>
      <c r="K978" s="138">
        <f t="shared" si="429"/>
        <v>0</v>
      </c>
      <c r="L978" s="138">
        <v>0</v>
      </c>
      <c r="M978" s="80">
        <v>0</v>
      </c>
      <c r="N978" s="81" t="str">
        <f t="shared" si="427"/>
        <v>-</v>
      </c>
      <c r="O978" s="405"/>
    </row>
    <row r="979" spans="1:15" s="95" customFormat="1" ht="11.1" customHeight="1" outlineLevel="1" x14ac:dyDescent="0.2">
      <c r="A979" s="117"/>
      <c r="B979" s="76"/>
      <c r="C979" s="82" t="s">
        <v>429</v>
      </c>
      <c r="D979" s="108"/>
      <c r="E979" s="108"/>
      <c r="F979" s="79" t="s">
        <v>22</v>
      </c>
      <c r="G979" s="138">
        <v>0</v>
      </c>
      <c r="H979" s="243">
        <f t="shared" si="428"/>
        <v>0</v>
      </c>
      <c r="I979" s="81" t="str">
        <f t="shared" si="426"/>
        <v>-</v>
      </c>
      <c r="J979" s="138">
        <v>0</v>
      </c>
      <c r="K979" s="138">
        <f t="shared" si="429"/>
        <v>0</v>
      </c>
      <c r="L979" s="138">
        <v>0</v>
      </c>
      <c r="M979" s="80">
        <v>0</v>
      </c>
      <c r="N979" s="81" t="str">
        <f t="shared" si="427"/>
        <v>-</v>
      </c>
      <c r="O979" s="405"/>
    </row>
    <row r="980" spans="1:15" s="95" customFormat="1" ht="11.1" customHeight="1" outlineLevel="1" x14ac:dyDescent="0.2">
      <c r="A980" s="117"/>
      <c r="C980" s="95" t="s">
        <v>430</v>
      </c>
      <c r="D980" s="108"/>
      <c r="E980" s="108"/>
      <c r="F980" s="79" t="s">
        <v>45</v>
      </c>
      <c r="G980" s="138">
        <v>89535</v>
      </c>
      <c r="H980" s="243">
        <f t="shared" si="428"/>
        <v>84535</v>
      </c>
      <c r="I980" s="81">
        <f t="shared" si="426"/>
        <v>94.415591668062774</v>
      </c>
      <c r="J980" s="138">
        <v>51660</v>
      </c>
      <c r="K980" s="138">
        <f t="shared" si="429"/>
        <v>32875</v>
      </c>
      <c r="L980" s="138">
        <v>84535</v>
      </c>
      <c r="M980" s="80">
        <v>84534.55</v>
      </c>
      <c r="N980" s="81">
        <f t="shared" si="427"/>
        <v>99.999467676110484</v>
      </c>
      <c r="O980" s="405"/>
    </row>
    <row r="981" spans="1:15" s="95" customFormat="1" ht="11.1" customHeight="1" outlineLevel="1" x14ac:dyDescent="0.2">
      <c r="A981" s="117"/>
      <c r="B981" s="76" t="s">
        <v>23</v>
      </c>
      <c r="C981" s="82" t="s">
        <v>423</v>
      </c>
      <c r="D981" s="108"/>
      <c r="E981" s="108"/>
      <c r="F981" s="79" t="s">
        <v>359</v>
      </c>
      <c r="G981" s="138">
        <v>0</v>
      </c>
      <c r="H981" s="243">
        <f t="shared" si="428"/>
        <v>0</v>
      </c>
      <c r="I981" s="81" t="str">
        <f t="shared" si="426"/>
        <v>-</v>
      </c>
      <c r="J981" s="138">
        <v>0</v>
      </c>
      <c r="K981" s="138">
        <f t="shared" si="429"/>
        <v>0</v>
      </c>
      <c r="L981" s="138">
        <v>0</v>
      </c>
      <c r="M981" s="80">
        <v>0</v>
      </c>
      <c r="N981" s="81" t="str">
        <f t="shared" si="427"/>
        <v>-</v>
      </c>
      <c r="O981" s="405"/>
    </row>
    <row r="982" spans="1:15" s="95" customFormat="1" ht="3.95" customHeight="1" outlineLevel="1" x14ac:dyDescent="0.2">
      <c r="A982" s="118"/>
      <c r="B982" s="85"/>
      <c r="C982" s="86"/>
      <c r="D982" s="84"/>
      <c r="E982" s="84"/>
      <c r="F982" s="85"/>
      <c r="G982" s="140"/>
      <c r="H982" s="140"/>
      <c r="I982" s="88"/>
      <c r="J982" s="140"/>
      <c r="K982" s="140"/>
      <c r="L982" s="141"/>
      <c r="M982" s="87"/>
      <c r="N982" s="88"/>
      <c r="O982" s="341"/>
    </row>
    <row r="983" spans="1:15" s="95" customFormat="1" ht="3.95" customHeight="1" outlineLevel="1" x14ac:dyDescent="0.2">
      <c r="A983" s="152"/>
      <c r="B983" s="72"/>
      <c r="C983" s="73"/>
      <c r="D983" s="71"/>
      <c r="E983" s="71"/>
      <c r="F983" s="72"/>
      <c r="G983" s="135"/>
      <c r="H983" s="135"/>
      <c r="I983" s="75"/>
      <c r="J983" s="135"/>
      <c r="K983" s="135"/>
      <c r="L983" s="136"/>
      <c r="M983" s="74"/>
      <c r="N983" s="75"/>
      <c r="O983" s="384"/>
    </row>
    <row r="984" spans="1:15" s="95" customFormat="1" ht="11.1" customHeight="1" outlineLevel="1" x14ac:dyDescent="0.2">
      <c r="A984" s="409" t="s">
        <v>474</v>
      </c>
      <c r="B984" s="76" t="s">
        <v>9</v>
      </c>
      <c r="C984" s="77" t="s">
        <v>416</v>
      </c>
      <c r="D984" s="410" t="s">
        <v>586</v>
      </c>
      <c r="E984" s="410" t="s">
        <v>154</v>
      </c>
      <c r="F984" s="78" t="s">
        <v>28</v>
      </c>
      <c r="G984" s="137">
        <f>SUM(G985:G990)</f>
        <v>2834000</v>
      </c>
      <c r="H984" s="137">
        <f>SUM(H985:H990)</f>
        <v>0</v>
      </c>
      <c r="I984" s="39">
        <f t="shared" ref="I984:I990" si="430">IF(G984&gt;0,H984/G984*100,"-")</f>
        <v>0</v>
      </c>
      <c r="J984" s="137">
        <f>SUM(J985:J990)</f>
        <v>0</v>
      </c>
      <c r="K984" s="137">
        <f>SUM(K985:K990)</f>
        <v>0</v>
      </c>
      <c r="L984" s="137">
        <f>SUM(L985:L990)</f>
        <v>0</v>
      </c>
      <c r="M984" s="38">
        <f>SUM(M985:M990)</f>
        <v>0</v>
      </c>
      <c r="N984" s="39" t="str">
        <f t="shared" ref="N984:N990" si="431">IF(L984&gt;0,M984/L984*100,"-")</f>
        <v>-</v>
      </c>
      <c r="O984" s="405" t="s">
        <v>648</v>
      </c>
    </row>
    <row r="985" spans="1:15" s="95" customFormat="1" ht="11.1" customHeight="1" outlineLevel="1" x14ac:dyDescent="0.2">
      <c r="A985" s="409"/>
      <c r="B985" s="76" t="s">
        <v>10</v>
      </c>
      <c r="C985" s="77" t="s">
        <v>91</v>
      </c>
      <c r="D985" s="410"/>
      <c r="E985" s="410"/>
      <c r="F985" s="79" t="s">
        <v>15</v>
      </c>
      <c r="G985" s="138">
        <v>529000</v>
      </c>
      <c r="H985" s="243">
        <f t="shared" ref="H985:H990" si="432">ROUNDUP(0+M985,0)</f>
        <v>0</v>
      </c>
      <c r="I985" s="81">
        <f t="shared" si="430"/>
        <v>0</v>
      </c>
      <c r="J985" s="138">
        <v>0</v>
      </c>
      <c r="K985" s="138">
        <f t="shared" ref="K985:K990" si="433">L985-J985</f>
        <v>0</v>
      </c>
      <c r="L985" s="138">
        <v>0</v>
      </c>
      <c r="M985" s="80">
        <v>0</v>
      </c>
      <c r="N985" s="81" t="str">
        <f t="shared" si="431"/>
        <v>-</v>
      </c>
      <c r="O985" s="405"/>
    </row>
    <row r="986" spans="1:15" s="95" customFormat="1" ht="11.1" customHeight="1" outlineLevel="1" x14ac:dyDescent="0.2">
      <c r="A986" s="409"/>
      <c r="B986" s="76" t="s">
        <v>11</v>
      </c>
      <c r="C986" s="82" t="s">
        <v>92</v>
      </c>
      <c r="D986" s="410"/>
      <c r="E986" s="410"/>
      <c r="F986" s="79" t="s">
        <v>7</v>
      </c>
      <c r="G986" s="138">
        <v>2300000</v>
      </c>
      <c r="H986" s="243">
        <f t="shared" si="432"/>
        <v>0</v>
      </c>
      <c r="I986" s="81">
        <f t="shared" si="430"/>
        <v>0</v>
      </c>
      <c r="J986" s="138">
        <v>0</v>
      </c>
      <c r="K986" s="138">
        <f t="shared" si="433"/>
        <v>0</v>
      </c>
      <c r="L986" s="138">
        <v>0</v>
      </c>
      <c r="M986" s="80">
        <v>0</v>
      </c>
      <c r="N986" s="81" t="str">
        <f t="shared" si="431"/>
        <v>-</v>
      </c>
      <c r="O986" s="405"/>
    </row>
    <row r="987" spans="1:15" s="95" customFormat="1" ht="11.1" customHeight="1" outlineLevel="1" x14ac:dyDescent="0.2">
      <c r="A987" s="117"/>
      <c r="B987" s="76" t="s">
        <v>12</v>
      </c>
      <c r="C987" s="82" t="s">
        <v>205</v>
      </c>
      <c r="D987" s="108"/>
      <c r="E987" s="108"/>
      <c r="F987" s="79" t="s">
        <v>8</v>
      </c>
      <c r="G987" s="138">
        <v>0</v>
      </c>
      <c r="H987" s="243">
        <f t="shared" si="432"/>
        <v>0</v>
      </c>
      <c r="I987" s="81" t="str">
        <f t="shared" si="430"/>
        <v>-</v>
      </c>
      <c r="J987" s="138">
        <v>0</v>
      </c>
      <c r="K987" s="138">
        <f t="shared" si="433"/>
        <v>0</v>
      </c>
      <c r="L987" s="138">
        <v>0</v>
      </c>
      <c r="M987" s="80">
        <v>0</v>
      </c>
      <c r="N987" s="81" t="str">
        <f t="shared" si="431"/>
        <v>-</v>
      </c>
      <c r="O987" s="405"/>
    </row>
    <row r="988" spans="1:15" s="95" customFormat="1" ht="11.1" customHeight="1" outlineLevel="1" x14ac:dyDescent="0.2">
      <c r="A988" s="117"/>
      <c r="B988" s="76"/>
      <c r="C988" s="82" t="s">
        <v>587</v>
      </c>
      <c r="D988" s="108"/>
      <c r="E988" s="108"/>
      <c r="F988" s="79" t="s">
        <v>22</v>
      </c>
      <c r="G988" s="138">
        <v>0</v>
      </c>
      <c r="H988" s="243">
        <f t="shared" si="432"/>
        <v>0</v>
      </c>
      <c r="I988" s="81" t="str">
        <f t="shared" si="430"/>
        <v>-</v>
      </c>
      <c r="J988" s="138">
        <v>0</v>
      </c>
      <c r="K988" s="138">
        <f t="shared" si="433"/>
        <v>0</v>
      </c>
      <c r="L988" s="138">
        <v>0</v>
      </c>
      <c r="M988" s="80">
        <v>0</v>
      </c>
      <c r="N988" s="81" t="str">
        <f t="shared" si="431"/>
        <v>-</v>
      </c>
      <c r="O988" s="405"/>
    </row>
    <row r="989" spans="1:15" s="95" customFormat="1" ht="11.1" customHeight="1" outlineLevel="1" x14ac:dyDescent="0.2">
      <c r="A989" s="117"/>
      <c r="C989" s="387" t="s">
        <v>588</v>
      </c>
      <c r="D989" s="108"/>
      <c r="E989" s="108"/>
      <c r="F989" s="79" t="s">
        <v>45</v>
      </c>
      <c r="G989" s="138">
        <v>5000</v>
      </c>
      <c r="H989" s="243">
        <f t="shared" si="432"/>
        <v>0</v>
      </c>
      <c r="I989" s="81">
        <f t="shared" si="430"/>
        <v>0</v>
      </c>
      <c r="J989" s="138">
        <v>0</v>
      </c>
      <c r="K989" s="138">
        <f t="shared" si="433"/>
        <v>0</v>
      </c>
      <c r="L989" s="138">
        <v>0</v>
      </c>
      <c r="M989" s="80">
        <v>0</v>
      </c>
      <c r="N989" s="81" t="str">
        <f t="shared" si="431"/>
        <v>-</v>
      </c>
      <c r="O989" s="405"/>
    </row>
    <row r="990" spans="1:15" s="95" customFormat="1" ht="11.1" customHeight="1" outlineLevel="1" x14ac:dyDescent="0.2">
      <c r="A990" s="117"/>
      <c r="B990" s="76"/>
      <c r="C990" s="82" t="s">
        <v>589</v>
      </c>
      <c r="D990" s="108"/>
      <c r="E990" s="108"/>
      <c r="F990" s="79" t="s">
        <v>359</v>
      </c>
      <c r="G990" s="138">
        <v>0</v>
      </c>
      <c r="H990" s="243">
        <f t="shared" si="432"/>
        <v>0</v>
      </c>
      <c r="I990" s="81" t="str">
        <f t="shared" si="430"/>
        <v>-</v>
      </c>
      <c r="J990" s="138">
        <v>0</v>
      </c>
      <c r="K990" s="138">
        <f t="shared" si="433"/>
        <v>0</v>
      </c>
      <c r="L990" s="138">
        <v>0</v>
      </c>
      <c r="M990" s="80">
        <v>0</v>
      </c>
      <c r="N990" s="81" t="str">
        <f t="shared" si="431"/>
        <v>-</v>
      </c>
      <c r="O990" s="405"/>
    </row>
    <row r="991" spans="1:15" s="95" customFormat="1" ht="11.1" customHeight="1" outlineLevel="1" x14ac:dyDescent="0.2">
      <c r="A991" s="117"/>
      <c r="B991" s="76" t="s">
        <v>23</v>
      </c>
      <c r="C991" s="82" t="s">
        <v>423</v>
      </c>
      <c r="D991" s="108"/>
      <c r="E991" s="108"/>
      <c r="F991" s="106"/>
      <c r="G991" s="139"/>
      <c r="H991" s="366"/>
      <c r="I991" s="81"/>
      <c r="J991" s="139"/>
      <c r="K991" s="139"/>
      <c r="L991" s="138"/>
      <c r="M991" s="107"/>
      <c r="N991" s="81"/>
      <c r="O991" s="383"/>
    </row>
    <row r="992" spans="1:15" s="95" customFormat="1" ht="3.95" customHeight="1" outlineLevel="1" x14ac:dyDescent="0.2">
      <c r="A992" s="118"/>
      <c r="B992" s="85"/>
      <c r="C992" s="86"/>
      <c r="D992" s="84"/>
      <c r="E992" s="84"/>
      <c r="F992" s="85"/>
      <c r="G992" s="140"/>
      <c r="H992" s="140"/>
      <c r="I992" s="88"/>
      <c r="J992" s="140"/>
      <c r="K992" s="140"/>
      <c r="L992" s="141"/>
      <c r="M992" s="87"/>
      <c r="N992" s="88"/>
      <c r="O992" s="385"/>
    </row>
    <row r="993" spans="1:15" s="95" customFormat="1" ht="3.95" customHeight="1" outlineLevel="1" x14ac:dyDescent="0.2">
      <c r="A993" s="152"/>
      <c r="B993" s="72"/>
      <c r="C993" s="73"/>
      <c r="D993" s="71"/>
      <c r="E993" s="71"/>
      <c r="F993" s="72"/>
      <c r="G993" s="135"/>
      <c r="H993" s="135"/>
      <c r="I993" s="75"/>
      <c r="J993" s="135"/>
      <c r="K993" s="135"/>
      <c r="L993" s="136"/>
      <c r="M993" s="74"/>
      <c r="N993" s="75"/>
      <c r="O993" s="340"/>
    </row>
    <row r="994" spans="1:15" s="95" customFormat="1" ht="11.1" customHeight="1" outlineLevel="1" x14ac:dyDescent="0.2">
      <c r="A994" s="409" t="s">
        <v>475</v>
      </c>
      <c r="B994" s="76" t="s">
        <v>9</v>
      </c>
      <c r="C994" s="77" t="s">
        <v>416</v>
      </c>
      <c r="D994" s="410" t="s">
        <v>291</v>
      </c>
      <c r="E994" s="410" t="s">
        <v>154</v>
      </c>
      <c r="F994" s="78" t="s">
        <v>28</v>
      </c>
      <c r="G994" s="137">
        <f>SUM(G995:G1000)</f>
        <v>5030700</v>
      </c>
      <c r="H994" s="137">
        <f>SUM(H995:H1000)</f>
        <v>5030700</v>
      </c>
      <c r="I994" s="39">
        <f t="shared" ref="I994:I1000" si="434">IF(G994&gt;0,H994/G994*100,"-")</f>
        <v>100</v>
      </c>
      <c r="J994" s="137">
        <f>SUM(J995:J1000)</f>
        <v>5030700</v>
      </c>
      <c r="K994" s="137">
        <f>SUM(K995:K1000)</f>
        <v>0</v>
      </c>
      <c r="L994" s="137">
        <f>SUM(L995:L1000)</f>
        <v>5030700</v>
      </c>
      <c r="M994" s="38">
        <f>SUM(M995:M1000)</f>
        <v>5030700</v>
      </c>
      <c r="N994" s="39">
        <f t="shared" ref="N994:N1000" si="435">IF(L994&gt;0,M994/L994*100,"-")</f>
        <v>100</v>
      </c>
      <c r="O994" s="405" t="s">
        <v>646</v>
      </c>
    </row>
    <row r="995" spans="1:15" s="95" customFormat="1" ht="11.1" customHeight="1" outlineLevel="1" x14ac:dyDescent="0.2">
      <c r="A995" s="409"/>
      <c r="B995" s="76" t="s">
        <v>10</v>
      </c>
      <c r="C995" s="77" t="s">
        <v>91</v>
      </c>
      <c r="D995" s="410"/>
      <c r="E995" s="410"/>
      <c r="F995" s="79" t="s">
        <v>15</v>
      </c>
      <c r="G995" s="138">
        <v>5030700</v>
      </c>
      <c r="H995" s="243">
        <f t="shared" ref="H995:H1000" si="436">ROUNDUP(0+M995,0)</f>
        <v>5030700</v>
      </c>
      <c r="I995" s="81">
        <f t="shared" si="434"/>
        <v>100</v>
      </c>
      <c r="J995" s="138">
        <v>5030700</v>
      </c>
      <c r="K995" s="138">
        <f t="shared" ref="K995:K1000" si="437">L995-J995</f>
        <v>0</v>
      </c>
      <c r="L995" s="138">
        <v>5030700</v>
      </c>
      <c r="M995" s="80">
        <v>5030700</v>
      </c>
      <c r="N995" s="81">
        <f t="shared" si="435"/>
        <v>100</v>
      </c>
      <c r="O995" s="405"/>
    </row>
    <row r="996" spans="1:15" s="95" customFormat="1" ht="11.1" customHeight="1" outlineLevel="1" x14ac:dyDescent="0.2">
      <c r="A996" s="409"/>
      <c r="B996" s="76" t="s">
        <v>11</v>
      </c>
      <c r="C996" s="82" t="s">
        <v>92</v>
      </c>
      <c r="D996" s="410"/>
      <c r="E996" s="410"/>
      <c r="F996" s="79" t="s">
        <v>7</v>
      </c>
      <c r="G996" s="138">
        <v>0</v>
      </c>
      <c r="H996" s="243">
        <f t="shared" si="436"/>
        <v>0</v>
      </c>
      <c r="I996" s="81" t="str">
        <f t="shared" si="434"/>
        <v>-</v>
      </c>
      <c r="J996" s="138">
        <v>0</v>
      </c>
      <c r="K996" s="138">
        <f t="shared" si="437"/>
        <v>0</v>
      </c>
      <c r="L996" s="138">
        <v>0</v>
      </c>
      <c r="M996" s="80">
        <v>0</v>
      </c>
      <c r="N996" s="81" t="str">
        <f t="shared" si="435"/>
        <v>-</v>
      </c>
      <c r="O996" s="405"/>
    </row>
    <row r="997" spans="1:15" s="95" customFormat="1" ht="11.1" customHeight="1" outlineLevel="1" x14ac:dyDescent="0.2">
      <c r="A997" s="117"/>
      <c r="B997" s="76" t="s">
        <v>12</v>
      </c>
      <c r="C997" s="82" t="s">
        <v>205</v>
      </c>
      <c r="D997" s="108"/>
      <c r="E997" s="108"/>
      <c r="F997" s="79" t="s">
        <v>8</v>
      </c>
      <c r="G997" s="138">
        <v>0</v>
      </c>
      <c r="H997" s="243">
        <f t="shared" si="436"/>
        <v>0</v>
      </c>
      <c r="I997" s="81" t="str">
        <f t="shared" si="434"/>
        <v>-</v>
      </c>
      <c r="J997" s="138">
        <v>0</v>
      </c>
      <c r="K997" s="138">
        <f t="shared" si="437"/>
        <v>0</v>
      </c>
      <c r="L997" s="138">
        <v>0</v>
      </c>
      <c r="M997" s="80">
        <v>0</v>
      </c>
      <c r="N997" s="81" t="str">
        <f t="shared" si="435"/>
        <v>-</v>
      </c>
      <c r="O997" s="405"/>
    </row>
    <row r="998" spans="1:15" s="95" customFormat="1" ht="11.1" customHeight="1" outlineLevel="1" x14ac:dyDescent="0.2">
      <c r="A998" s="117"/>
      <c r="B998" s="76"/>
      <c r="C998" s="82" t="s">
        <v>301</v>
      </c>
      <c r="D998" s="108"/>
      <c r="E998" s="108"/>
      <c r="F998" s="79" t="s">
        <v>22</v>
      </c>
      <c r="G998" s="138">
        <v>0</v>
      </c>
      <c r="H998" s="243">
        <f t="shared" si="436"/>
        <v>0</v>
      </c>
      <c r="I998" s="81" t="str">
        <f t="shared" si="434"/>
        <v>-</v>
      </c>
      <c r="J998" s="138">
        <v>0</v>
      </c>
      <c r="K998" s="138">
        <f t="shared" si="437"/>
        <v>0</v>
      </c>
      <c r="L998" s="138">
        <v>0</v>
      </c>
      <c r="M998" s="80">
        <v>0</v>
      </c>
      <c r="N998" s="81" t="str">
        <f t="shared" si="435"/>
        <v>-</v>
      </c>
      <c r="O998" s="405"/>
    </row>
    <row r="999" spans="1:15" s="95" customFormat="1" ht="11.1" customHeight="1" outlineLevel="1" x14ac:dyDescent="0.2">
      <c r="A999" s="117"/>
      <c r="B999" s="76" t="s">
        <v>23</v>
      </c>
      <c r="C999" s="82" t="s">
        <v>153</v>
      </c>
      <c r="D999" s="108"/>
      <c r="E999" s="108"/>
      <c r="F999" s="79" t="s">
        <v>45</v>
      </c>
      <c r="G999" s="138">
        <v>0</v>
      </c>
      <c r="H999" s="243">
        <f t="shared" si="436"/>
        <v>0</v>
      </c>
      <c r="I999" s="81" t="str">
        <f t="shared" si="434"/>
        <v>-</v>
      </c>
      <c r="J999" s="138">
        <v>0</v>
      </c>
      <c r="K999" s="138">
        <f t="shared" si="437"/>
        <v>0</v>
      </c>
      <c r="L999" s="138">
        <v>0</v>
      </c>
      <c r="M999" s="80">
        <v>0</v>
      </c>
      <c r="N999" s="81" t="str">
        <f t="shared" si="435"/>
        <v>-</v>
      </c>
      <c r="O999" s="405"/>
    </row>
    <row r="1000" spans="1:15" s="95" customFormat="1" ht="11.1" customHeight="1" outlineLevel="1" x14ac:dyDescent="0.2">
      <c r="A1000" s="117"/>
      <c r="B1000" s="76"/>
      <c r="C1000" s="82"/>
      <c r="D1000" s="108"/>
      <c r="E1000" s="108"/>
      <c r="F1000" s="79" t="s">
        <v>359</v>
      </c>
      <c r="G1000" s="138">
        <v>0</v>
      </c>
      <c r="H1000" s="243">
        <f t="shared" si="436"/>
        <v>0</v>
      </c>
      <c r="I1000" s="81" t="str">
        <f t="shared" si="434"/>
        <v>-</v>
      </c>
      <c r="J1000" s="138">
        <v>0</v>
      </c>
      <c r="K1000" s="138">
        <f t="shared" si="437"/>
        <v>0</v>
      </c>
      <c r="L1000" s="138">
        <v>0</v>
      </c>
      <c r="M1000" s="80">
        <v>0</v>
      </c>
      <c r="N1000" s="81" t="str">
        <f t="shared" si="435"/>
        <v>-</v>
      </c>
      <c r="O1000" s="405"/>
    </row>
    <row r="1001" spans="1:15" s="95" customFormat="1" ht="3.95" customHeight="1" outlineLevel="1" x14ac:dyDescent="0.2">
      <c r="A1001" s="118"/>
      <c r="B1001" s="85"/>
      <c r="C1001" s="86"/>
      <c r="D1001" s="84"/>
      <c r="E1001" s="84"/>
      <c r="F1001" s="85"/>
      <c r="G1001" s="140"/>
      <c r="H1001" s="140"/>
      <c r="I1001" s="88"/>
      <c r="J1001" s="140"/>
      <c r="K1001" s="140"/>
      <c r="L1001" s="141"/>
      <c r="M1001" s="87"/>
      <c r="N1001" s="88"/>
      <c r="O1001" s="341"/>
    </row>
    <row r="1002" spans="1:15" ht="3.95" customHeight="1" x14ac:dyDescent="0.2">
      <c r="A1002" s="59"/>
      <c r="B1002" s="60"/>
      <c r="C1002" s="61"/>
      <c r="D1002" s="62"/>
      <c r="E1002" s="62"/>
      <c r="F1002" s="59"/>
      <c r="G1002" s="131"/>
      <c r="H1002" s="131"/>
      <c r="I1002" s="59"/>
      <c r="J1002" s="131"/>
      <c r="K1002" s="131"/>
      <c r="L1002" s="131"/>
      <c r="M1002" s="63"/>
      <c r="N1002" s="64"/>
      <c r="O1002" s="320"/>
    </row>
    <row r="1003" spans="1:15" ht="11.45" customHeight="1" x14ac:dyDescent="0.2">
      <c r="A1003" s="28" t="s">
        <v>79</v>
      </c>
      <c r="B1003" s="411" t="s">
        <v>155</v>
      </c>
      <c r="C1003" s="412"/>
      <c r="D1003" s="29"/>
      <c r="E1003" s="29"/>
      <c r="F1003" s="30"/>
      <c r="G1003" s="132">
        <f>SUM(G1004:G1009)</f>
        <v>2390552</v>
      </c>
      <c r="H1003" s="132">
        <f>SUM(H1004:H1009)</f>
        <v>374350</v>
      </c>
      <c r="I1003" s="32">
        <f>IF(G1003&gt;0,H1003/G1003*100,"-")</f>
        <v>15.659563146921714</v>
      </c>
      <c r="J1003" s="132">
        <f>SUM(J1004:J1009)</f>
        <v>0</v>
      </c>
      <c r="K1003" s="132">
        <f>SUM(K1004:K1009)</f>
        <v>388753</v>
      </c>
      <c r="L1003" s="132">
        <f>SUM(L1004:L1009)</f>
        <v>388753</v>
      </c>
      <c r="M1003" s="31">
        <f>SUM(M1004:M1009)</f>
        <v>374348.87000000005</v>
      </c>
      <c r="N1003" s="32">
        <f t="shared" ref="N1003:N1009" si="438">IF(L1003&gt;0,M1003/L1003*100,"-")</f>
        <v>96.294786149560281</v>
      </c>
      <c r="O1003" s="321"/>
    </row>
    <row r="1004" spans="1:15" ht="11.45" customHeight="1" x14ac:dyDescent="0.2">
      <c r="A1004" s="30"/>
      <c r="B1004" s="33"/>
      <c r="C1004" s="34"/>
      <c r="D1004" s="29"/>
      <c r="E1004" s="29"/>
      <c r="F1004" s="35" t="s">
        <v>15</v>
      </c>
      <c r="G1004" s="133">
        <f t="shared" ref="G1004:H1009" si="439">G1013+G1028</f>
        <v>370826</v>
      </c>
      <c r="H1004" s="133">
        <f t="shared" si="439"/>
        <v>56153</v>
      </c>
      <c r="I1004" s="37">
        <f t="shared" ref="I1004:I1009" si="440">IF(G1004&gt;0,H1004/G1004*100,"-")</f>
        <v>15.142681473251606</v>
      </c>
      <c r="J1004" s="133">
        <f t="shared" ref="J1004:M1009" si="441">J1013+J1028</f>
        <v>0</v>
      </c>
      <c r="K1004" s="133">
        <f t="shared" si="441"/>
        <v>70556</v>
      </c>
      <c r="L1004" s="133">
        <f t="shared" si="441"/>
        <v>70556</v>
      </c>
      <c r="M1004" s="36">
        <f t="shared" si="441"/>
        <v>56152.33</v>
      </c>
      <c r="N1004" s="37">
        <f t="shared" si="438"/>
        <v>79.585478201712121</v>
      </c>
      <c r="O1004" s="321"/>
    </row>
    <row r="1005" spans="1:15" ht="11.45" customHeight="1" x14ac:dyDescent="0.2">
      <c r="A1005" s="30"/>
      <c r="B1005" s="33"/>
      <c r="C1005" s="34"/>
      <c r="D1005" s="29"/>
      <c r="E1005" s="29"/>
      <c r="F1005" s="35" t="s">
        <v>7</v>
      </c>
      <c r="G1005" s="133">
        <f t="shared" si="439"/>
        <v>2019726</v>
      </c>
      <c r="H1005" s="133">
        <f t="shared" si="439"/>
        <v>318197</v>
      </c>
      <c r="I1005" s="37">
        <f t="shared" si="440"/>
        <v>15.754463724287355</v>
      </c>
      <c r="J1005" s="133">
        <f t="shared" si="441"/>
        <v>0</v>
      </c>
      <c r="K1005" s="133">
        <f t="shared" si="441"/>
        <v>318197</v>
      </c>
      <c r="L1005" s="133">
        <f t="shared" si="441"/>
        <v>318197</v>
      </c>
      <c r="M1005" s="36">
        <f t="shared" si="441"/>
        <v>318196.54000000004</v>
      </c>
      <c r="N1005" s="37">
        <f t="shared" si="438"/>
        <v>99.999855435469229</v>
      </c>
      <c r="O1005" s="321"/>
    </row>
    <row r="1006" spans="1:15" ht="11.45" customHeight="1" x14ac:dyDescent="0.2">
      <c r="A1006" s="30"/>
      <c r="B1006" s="33"/>
      <c r="C1006" s="34"/>
      <c r="D1006" s="29"/>
      <c r="E1006" s="29"/>
      <c r="F1006" s="35" t="s">
        <v>8</v>
      </c>
      <c r="G1006" s="133">
        <f t="shared" si="439"/>
        <v>0</v>
      </c>
      <c r="H1006" s="133">
        <f t="shared" si="439"/>
        <v>0</v>
      </c>
      <c r="I1006" s="37" t="str">
        <f t="shared" si="440"/>
        <v>-</v>
      </c>
      <c r="J1006" s="133">
        <f t="shared" si="441"/>
        <v>0</v>
      </c>
      <c r="K1006" s="133">
        <f t="shared" si="441"/>
        <v>0</v>
      </c>
      <c r="L1006" s="133">
        <f t="shared" si="441"/>
        <v>0</v>
      </c>
      <c r="M1006" s="36">
        <f t="shared" si="441"/>
        <v>0</v>
      </c>
      <c r="N1006" s="37" t="str">
        <f t="shared" si="438"/>
        <v>-</v>
      </c>
      <c r="O1006" s="321"/>
    </row>
    <row r="1007" spans="1:15" ht="11.45" customHeight="1" x14ac:dyDescent="0.2">
      <c r="A1007" s="30"/>
      <c r="B1007" s="33"/>
      <c r="C1007" s="34"/>
      <c r="D1007" s="29"/>
      <c r="E1007" s="29"/>
      <c r="F1007" s="35" t="s">
        <v>22</v>
      </c>
      <c r="G1007" s="133">
        <f t="shared" si="439"/>
        <v>0</v>
      </c>
      <c r="H1007" s="133">
        <f t="shared" si="439"/>
        <v>0</v>
      </c>
      <c r="I1007" s="37" t="str">
        <f t="shared" si="440"/>
        <v>-</v>
      </c>
      <c r="J1007" s="133">
        <f t="shared" si="441"/>
        <v>0</v>
      </c>
      <c r="K1007" s="133">
        <f t="shared" si="441"/>
        <v>0</v>
      </c>
      <c r="L1007" s="133">
        <f t="shared" si="441"/>
        <v>0</v>
      </c>
      <c r="M1007" s="36">
        <f t="shared" si="441"/>
        <v>0</v>
      </c>
      <c r="N1007" s="37" t="str">
        <f t="shared" si="438"/>
        <v>-</v>
      </c>
      <c r="O1007" s="321"/>
    </row>
    <row r="1008" spans="1:15" ht="11.45" customHeight="1" x14ac:dyDescent="0.2">
      <c r="A1008" s="30"/>
      <c r="B1008" s="33"/>
      <c r="C1008" s="34"/>
      <c r="D1008" s="29"/>
      <c r="E1008" s="29"/>
      <c r="F1008" s="35" t="s">
        <v>45</v>
      </c>
      <c r="G1008" s="133">
        <f t="shared" si="439"/>
        <v>0</v>
      </c>
      <c r="H1008" s="133">
        <f t="shared" si="439"/>
        <v>0</v>
      </c>
      <c r="I1008" s="37" t="str">
        <f t="shared" si="440"/>
        <v>-</v>
      </c>
      <c r="J1008" s="133">
        <f t="shared" si="441"/>
        <v>0</v>
      </c>
      <c r="K1008" s="133">
        <f t="shared" si="441"/>
        <v>0</v>
      </c>
      <c r="L1008" s="133">
        <f t="shared" si="441"/>
        <v>0</v>
      </c>
      <c r="M1008" s="36">
        <f t="shared" si="441"/>
        <v>0</v>
      </c>
      <c r="N1008" s="37" t="str">
        <f t="shared" si="438"/>
        <v>-</v>
      </c>
      <c r="O1008" s="321"/>
    </row>
    <row r="1009" spans="1:15" ht="11.45" customHeight="1" x14ac:dyDescent="0.2">
      <c r="A1009" s="30"/>
      <c r="B1009" s="33"/>
      <c r="C1009" s="34"/>
      <c r="D1009" s="29"/>
      <c r="E1009" s="29"/>
      <c r="F1009" s="35" t="s">
        <v>359</v>
      </c>
      <c r="G1009" s="133">
        <f t="shared" si="439"/>
        <v>0</v>
      </c>
      <c r="H1009" s="133">
        <f t="shared" si="439"/>
        <v>0</v>
      </c>
      <c r="I1009" s="37" t="str">
        <f t="shared" si="440"/>
        <v>-</v>
      </c>
      <c r="J1009" s="133">
        <f t="shared" si="441"/>
        <v>0</v>
      </c>
      <c r="K1009" s="133">
        <f t="shared" si="441"/>
        <v>0</v>
      </c>
      <c r="L1009" s="133">
        <f t="shared" si="441"/>
        <v>0</v>
      </c>
      <c r="M1009" s="36">
        <f t="shared" si="441"/>
        <v>0</v>
      </c>
      <c r="N1009" s="37" t="str">
        <f t="shared" si="438"/>
        <v>-</v>
      </c>
      <c r="O1009" s="321"/>
    </row>
    <row r="1010" spans="1:15" ht="3.2" customHeight="1" x14ac:dyDescent="0.2">
      <c r="A1010" s="65"/>
      <c r="B1010" s="66"/>
      <c r="C1010" s="67"/>
      <c r="D1010" s="68"/>
      <c r="E1010" s="68"/>
      <c r="F1010" s="65"/>
      <c r="G1010" s="134"/>
      <c r="H1010" s="134"/>
      <c r="I1010" s="70"/>
      <c r="J1010" s="134"/>
      <c r="K1010" s="134"/>
      <c r="L1010" s="134"/>
      <c r="M1010" s="69"/>
      <c r="N1010" s="70"/>
      <c r="O1010" s="322"/>
    </row>
    <row r="1011" spans="1:15" s="95" customFormat="1" ht="3.2" customHeight="1" outlineLevel="1" x14ac:dyDescent="0.2">
      <c r="A1011" s="152"/>
      <c r="B1011" s="72"/>
      <c r="C1011" s="73"/>
      <c r="D1011" s="71"/>
      <c r="E1011" s="71"/>
      <c r="F1011" s="72"/>
      <c r="G1011" s="135"/>
      <c r="H1011" s="135"/>
      <c r="I1011" s="75"/>
      <c r="J1011" s="135"/>
      <c r="K1011" s="135"/>
      <c r="L1011" s="136"/>
      <c r="M1011" s="74"/>
      <c r="N1011" s="75"/>
      <c r="O1011" s="408" t="s">
        <v>617</v>
      </c>
    </row>
    <row r="1012" spans="1:15" s="95" customFormat="1" ht="11.1" customHeight="1" outlineLevel="1" x14ac:dyDescent="0.2">
      <c r="A1012" s="409" t="s">
        <v>476</v>
      </c>
      <c r="B1012" s="76" t="s">
        <v>9</v>
      </c>
      <c r="C1012" s="77" t="s">
        <v>504</v>
      </c>
      <c r="D1012" s="410" t="s">
        <v>383</v>
      </c>
      <c r="E1012" s="410" t="s">
        <v>515</v>
      </c>
      <c r="F1012" s="78" t="s">
        <v>28</v>
      </c>
      <c r="G1012" s="241">
        <f>SUM(G1013:G1018)</f>
        <v>697408</v>
      </c>
      <c r="H1012" s="241">
        <f>SUM(H1013:H1018)</f>
        <v>219240</v>
      </c>
      <c r="I1012" s="39">
        <f t="shared" ref="I1012:I1018" si="442">IF(G1012&gt;0,H1012/G1012*100,"-")</f>
        <v>31.436404515004128</v>
      </c>
      <c r="J1012" s="137">
        <f>SUM(J1013:J1018)</f>
        <v>0</v>
      </c>
      <c r="K1012" s="137">
        <f>SUM(K1013:K1018)</f>
        <v>221991</v>
      </c>
      <c r="L1012" s="137">
        <f>SUM(L1013:L1018)</f>
        <v>221991</v>
      </c>
      <c r="M1012" s="38">
        <f>SUM(M1013:M1018)</f>
        <v>219240</v>
      </c>
      <c r="N1012" s="39">
        <f t="shared" ref="N1012:N1018" si="443">IF(L1012&gt;0,M1012/L1012*100,"-")</f>
        <v>98.760760571374519</v>
      </c>
      <c r="O1012" s="406"/>
    </row>
    <row r="1013" spans="1:15" s="95" customFormat="1" ht="11.1" customHeight="1" outlineLevel="1" x14ac:dyDescent="0.2">
      <c r="A1013" s="409"/>
      <c r="B1013" s="76" t="s">
        <v>10</v>
      </c>
      <c r="C1013" s="77" t="s">
        <v>505</v>
      </c>
      <c r="D1013" s="410"/>
      <c r="E1013" s="410"/>
      <c r="F1013" s="79" t="s">
        <v>15</v>
      </c>
      <c r="G1013" s="138">
        <v>106950</v>
      </c>
      <c r="H1013" s="138">
        <f>ROUNDUP(0+M1013,0)</f>
        <v>32886</v>
      </c>
      <c r="I1013" s="81">
        <f t="shared" si="442"/>
        <v>30.748948106591868</v>
      </c>
      <c r="J1013" s="138">
        <v>0</v>
      </c>
      <c r="K1013" s="138">
        <f t="shared" ref="K1013:K1018" si="444">L1013-J1013</f>
        <v>35637</v>
      </c>
      <c r="L1013" s="138">
        <v>35637</v>
      </c>
      <c r="M1013" s="80">
        <v>32886</v>
      </c>
      <c r="N1013" s="81">
        <f t="shared" si="443"/>
        <v>92.280494991160879</v>
      </c>
      <c r="O1013" s="406"/>
    </row>
    <row r="1014" spans="1:15" s="95" customFormat="1" ht="11.1" customHeight="1" outlineLevel="1" x14ac:dyDescent="0.2">
      <c r="A1014" s="409"/>
      <c r="B1014" s="76" t="s">
        <v>11</v>
      </c>
      <c r="C1014" s="82" t="s">
        <v>512</v>
      </c>
      <c r="D1014" s="410"/>
      <c r="E1014" s="410"/>
      <c r="F1014" s="79" t="s">
        <v>7</v>
      </c>
      <c r="G1014" s="138">
        <v>590458</v>
      </c>
      <c r="H1014" s="138">
        <f t="shared" ref="H1014:H1017" si="445">ROUNDUP(0+M1014,0)</f>
        <v>186354</v>
      </c>
      <c r="I1014" s="81">
        <f t="shared" si="442"/>
        <v>31.560923892977993</v>
      </c>
      <c r="J1014" s="138">
        <v>0</v>
      </c>
      <c r="K1014" s="138">
        <f t="shared" si="444"/>
        <v>186354</v>
      </c>
      <c r="L1014" s="138">
        <v>186354</v>
      </c>
      <c r="M1014" s="80">
        <v>186354</v>
      </c>
      <c r="N1014" s="81">
        <f t="shared" si="443"/>
        <v>100</v>
      </c>
      <c r="O1014" s="406"/>
    </row>
    <row r="1015" spans="1:15" s="95" customFormat="1" ht="11.1" customHeight="1" outlineLevel="1" x14ac:dyDescent="0.2">
      <c r="A1015" s="117"/>
      <c r="B1015" s="76"/>
      <c r="C1015" s="82" t="s">
        <v>513</v>
      </c>
      <c r="D1015" s="108"/>
      <c r="E1015" s="108"/>
      <c r="F1015" s="79" t="s">
        <v>8</v>
      </c>
      <c r="G1015" s="138">
        <v>0</v>
      </c>
      <c r="H1015" s="138">
        <f t="shared" si="445"/>
        <v>0</v>
      </c>
      <c r="I1015" s="81" t="str">
        <f t="shared" si="442"/>
        <v>-</v>
      </c>
      <c r="J1015" s="138">
        <v>0</v>
      </c>
      <c r="K1015" s="138">
        <f t="shared" si="444"/>
        <v>0</v>
      </c>
      <c r="L1015" s="138">
        <v>0</v>
      </c>
      <c r="M1015" s="80">
        <v>0</v>
      </c>
      <c r="N1015" s="81" t="str">
        <f t="shared" si="443"/>
        <v>-</v>
      </c>
      <c r="O1015" s="406"/>
    </row>
    <row r="1016" spans="1:15" s="95" customFormat="1" ht="11.1" customHeight="1" outlineLevel="1" x14ac:dyDescent="0.2">
      <c r="A1016" s="117"/>
      <c r="B1016" s="76"/>
      <c r="C1016" s="82" t="s">
        <v>514</v>
      </c>
      <c r="D1016" s="108"/>
      <c r="E1016" s="108"/>
      <c r="F1016" s="79" t="s">
        <v>22</v>
      </c>
      <c r="G1016" s="138">
        <v>0</v>
      </c>
      <c r="H1016" s="138">
        <f t="shared" si="445"/>
        <v>0</v>
      </c>
      <c r="I1016" s="81" t="str">
        <f t="shared" si="442"/>
        <v>-</v>
      </c>
      <c r="J1016" s="138">
        <v>0</v>
      </c>
      <c r="K1016" s="138">
        <f t="shared" si="444"/>
        <v>0</v>
      </c>
      <c r="L1016" s="138">
        <v>0</v>
      </c>
      <c r="M1016" s="80">
        <v>0</v>
      </c>
      <c r="N1016" s="81" t="str">
        <f t="shared" si="443"/>
        <v>-</v>
      </c>
      <c r="O1016" s="406"/>
    </row>
    <row r="1017" spans="1:15" s="95" customFormat="1" ht="11.1" customHeight="1" outlineLevel="1" x14ac:dyDescent="0.2">
      <c r="A1017" s="117"/>
      <c r="B1017" s="76" t="s">
        <v>12</v>
      </c>
      <c r="C1017" s="82" t="s">
        <v>509</v>
      </c>
      <c r="D1017" s="108"/>
      <c r="E1017" s="108"/>
      <c r="F1017" s="79" t="s">
        <v>45</v>
      </c>
      <c r="G1017" s="139">
        <v>0</v>
      </c>
      <c r="H1017" s="138">
        <f t="shared" si="445"/>
        <v>0</v>
      </c>
      <c r="I1017" s="81" t="str">
        <f t="shared" si="442"/>
        <v>-</v>
      </c>
      <c r="J1017" s="138">
        <v>0</v>
      </c>
      <c r="K1017" s="138">
        <f t="shared" si="444"/>
        <v>0</v>
      </c>
      <c r="L1017" s="138">
        <v>0</v>
      </c>
      <c r="M1017" s="80">
        <v>0</v>
      </c>
      <c r="N1017" s="81" t="str">
        <f t="shared" si="443"/>
        <v>-</v>
      </c>
      <c r="O1017" s="406"/>
    </row>
    <row r="1018" spans="1:15" s="95" customFormat="1" ht="11.1" customHeight="1" outlineLevel="1" x14ac:dyDescent="0.2">
      <c r="A1018" s="117"/>
      <c r="B1018" s="76"/>
      <c r="C1018" s="82" t="s">
        <v>510</v>
      </c>
      <c r="D1018" s="108"/>
      <c r="E1018" s="108"/>
      <c r="F1018" s="79" t="s">
        <v>359</v>
      </c>
      <c r="G1018" s="139">
        <v>0</v>
      </c>
      <c r="H1018" s="138">
        <f>ROUNDUP(0+M1018,0)</f>
        <v>0</v>
      </c>
      <c r="I1018" s="81" t="str">
        <f t="shared" si="442"/>
        <v>-</v>
      </c>
      <c r="J1018" s="138">
        <v>0</v>
      </c>
      <c r="K1018" s="138">
        <f t="shared" si="444"/>
        <v>0</v>
      </c>
      <c r="L1018" s="138">
        <v>0</v>
      </c>
      <c r="M1018" s="80">
        <v>0</v>
      </c>
      <c r="N1018" s="81" t="str">
        <f t="shared" si="443"/>
        <v>-</v>
      </c>
      <c r="O1018" s="406"/>
    </row>
    <row r="1019" spans="1:15" s="95" customFormat="1" ht="11.1" customHeight="1" outlineLevel="1" x14ac:dyDescent="0.2">
      <c r="A1019" s="117"/>
      <c r="B1019" s="76"/>
      <c r="C1019" s="82" t="s">
        <v>511</v>
      </c>
      <c r="D1019" s="108"/>
      <c r="E1019" s="108"/>
      <c r="F1019" s="106"/>
      <c r="G1019" s="139"/>
      <c r="H1019" s="139"/>
      <c r="I1019" s="81"/>
      <c r="J1019" s="139"/>
      <c r="K1019" s="139"/>
      <c r="L1019" s="138"/>
      <c r="M1019" s="89"/>
      <c r="N1019" s="81"/>
      <c r="O1019" s="406"/>
    </row>
    <row r="1020" spans="1:15" s="95" customFormat="1" ht="11.1" customHeight="1" outlineLevel="1" x14ac:dyDescent="0.2">
      <c r="A1020" s="117"/>
      <c r="B1020" s="76"/>
      <c r="C1020" s="82" t="s">
        <v>579</v>
      </c>
      <c r="D1020" s="108"/>
      <c r="E1020" s="108"/>
      <c r="F1020" s="106"/>
      <c r="G1020" s="139"/>
      <c r="H1020" s="139"/>
      <c r="I1020" s="81"/>
      <c r="J1020" s="139"/>
      <c r="K1020" s="139"/>
      <c r="L1020" s="138"/>
      <c r="M1020" s="89"/>
      <c r="N1020" s="81"/>
      <c r="O1020" s="406"/>
    </row>
    <row r="1021" spans="1:15" s="95" customFormat="1" ht="11.1" customHeight="1" outlineLevel="1" x14ac:dyDescent="0.2">
      <c r="A1021" s="117"/>
      <c r="B1021" s="76"/>
      <c r="C1021" s="82" t="s">
        <v>580</v>
      </c>
      <c r="D1021" s="108"/>
      <c r="E1021" s="108"/>
      <c r="F1021" s="106"/>
      <c r="G1021" s="139"/>
      <c r="H1021" s="139"/>
      <c r="I1021" s="81"/>
      <c r="J1021" s="139"/>
      <c r="K1021" s="139"/>
      <c r="L1021" s="138"/>
      <c r="M1021" s="89"/>
      <c r="N1021" s="81"/>
      <c r="O1021" s="406"/>
    </row>
    <row r="1022" spans="1:15" s="95" customFormat="1" ht="11.1" customHeight="1" outlineLevel="1" x14ac:dyDescent="0.2">
      <c r="A1022" s="117"/>
      <c r="B1022" s="76" t="s">
        <v>23</v>
      </c>
      <c r="C1022" s="82" t="s">
        <v>506</v>
      </c>
      <c r="D1022" s="108"/>
      <c r="E1022" s="108"/>
      <c r="F1022" s="106"/>
      <c r="G1022" s="139"/>
      <c r="H1022" s="139"/>
      <c r="I1022" s="81"/>
      <c r="J1022" s="139"/>
      <c r="K1022" s="139"/>
      <c r="L1022" s="138"/>
      <c r="M1022" s="89"/>
      <c r="N1022" s="81"/>
      <c r="O1022" s="406"/>
    </row>
    <row r="1023" spans="1:15" s="95" customFormat="1" ht="11.1" customHeight="1" outlineLevel="1" x14ac:dyDescent="0.2">
      <c r="A1023" s="117"/>
      <c r="B1023" s="76"/>
      <c r="C1023" s="82" t="s">
        <v>507</v>
      </c>
      <c r="D1023" s="108"/>
      <c r="E1023" s="108"/>
      <c r="F1023" s="106"/>
      <c r="G1023" s="139"/>
      <c r="H1023" s="139"/>
      <c r="I1023" s="81"/>
      <c r="J1023" s="139"/>
      <c r="K1023" s="139"/>
      <c r="L1023" s="138"/>
      <c r="M1023" s="89"/>
      <c r="N1023" s="81"/>
      <c r="O1023" s="406"/>
    </row>
    <row r="1024" spans="1:15" s="95" customFormat="1" ht="11.1" customHeight="1" outlineLevel="1" x14ac:dyDescent="0.2">
      <c r="A1024" s="117"/>
      <c r="B1024" s="76"/>
      <c r="C1024" s="82" t="s">
        <v>508</v>
      </c>
      <c r="D1024" s="108"/>
      <c r="E1024" s="108"/>
      <c r="F1024" s="106"/>
      <c r="G1024" s="139"/>
      <c r="H1024" s="139"/>
      <c r="I1024" s="81"/>
      <c r="J1024" s="139"/>
      <c r="K1024" s="139"/>
      <c r="L1024" s="138"/>
      <c r="M1024" s="89"/>
      <c r="N1024" s="81"/>
      <c r="O1024" s="406"/>
    </row>
    <row r="1025" spans="1:15" s="95" customFormat="1" ht="3.2" customHeight="1" outlineLevel="1" x14ac:dyDescent="0.2">
      <c r="A1025" s="118"/>
      <c r="B1025" s="85"/>
      <c r="C1025" s="86"/>
      <c r="D1025" s="84"/>
      <c r="E1025" s="84"/>
      <c r="F1025" s="85"/>
      <c r="G1025" s="140"/>
      <c r="H1025" s="140"/>
      <c r="I1025" s="88"/>
      <c r="J1025" s="140"/>
      <c r="K1025" s="140"/>
      <c r="L1025" s="141"/>
      <c r="M1025" s="87"/>
      <c r="N1025" s="88"/>
      <c r="O1025" s="407"/>
    </row>
    <row r="1026" spans="1:15" s="95" customFormat="1" ht="3.2" customHeight="1" outlineLevel="1" x14ac:dyDescent="0.2">
      <c r="A1026" s="152"/>
      <c r="B1026" s="72"/>
      <c r="C1026" s="73"/>
      <c r="D1026" s="71"/>
      <c r="E1026" s="71"/>
      <c r="F1026" s="72"/>
      <c r="G1026" s="135"/>
      <c r="H1026" s="135"/>
      <c r="I1026" s="75"/>
      <c r="J1026" s="135"/>
      <c r="K1026" s="135"/>
      <c r="L1026" s="136"/>
      <c r="M1026" s="74"/>
      <c r="N1026" s="75"/>
      <c r="O1026" s="408" t="s">
        <v>618</v>
      </c>
    </row>
    <row r="1027" spans="1:15" s="95" customFormat="1" ht="11.1" customHeight="1" outlineLevel="1" x14ac:dyDescent="0.2">
      <c r="A1027" s="409" t="s">
        <v>477</v>
      </c>
      <c r="B1027" s="76" t="s">
        <v>9</v>
      </c>
      <c r="C1027" s="77" t="s">
        <v>504</v>
      </c>
      <c r="D1027" s="410" t="s">
        <v>383</v>
      </c>
      <c r="E1027" s="410" t="s">
        <v>519</v>
      </c>
      <c r="F1027" s="78" t="s">
        <v>28</v>
      </c>
      <c r="G1027" s="241">
        <f>SUM(G1028:G1033)</f>
        <v>1693144</v>
      </c>
      <c r="H1027" s="241">
        <f>SUM(H1028:H1033)</f>
        <v>155110</v>
      </c>
      <c r="I1027" s="39">
        <f t="shared" ref="I1027:I1033" si="446">IF(G1027&gt;0,H1027/G1027*100,"-")</f>
        <v>9.1610636779860428</v>
      </c>
      <c r="J1027" s="137">
        <f>SUM(J1028:J1033)</f>
        <v>0</v>
      </c>
      <c r="K1027" s="137">
        <f>SUM(K1028:K1033)</f>
        <v>166762</v>
      </c>
      <c r="L1027" s="137">
        <f>SUM(L1028:L1033)</f>
        <v>166762</v>
      </c>
      <c r="M1027" s="38">
        <f>SUM(M1028:M1033)</f>
        <v>155108.87</v>
      </c>
      <c r="N1027" s="39">
        <f t="shared" ref="N1027:N1033" si="447">IF(L1027&gt;0,M1027/L1027*100,"-")</f>
        <v>93.012119067893167</v>
      </c>
      <c r="O1027" s="406"/>
    </row>
    <row r="1028" spans="1:15" s="95" customFormat="1" ht="11.1" customHeight="1" outlineLevel="1" x14ac:dyDescent="0.2">
      <c r="A1028" s="409"/>
      <c r="B1028" s="76" t="s">
        <v>10</v>
      </c>
      <c r="C1028" s="77" t="s">
        <v>505</v>
      </c>
      <c r="D1028" s="410"/>
      <c r="E1028" s="410"/>
      <c r="F1028" s="79" t="s">
        <v>15</v>
      </c>
      <c r="G1028" s="138">
        <v>263876</v>
      </c>
      <c r="H1028" s="138">
        <f t="shared" ref="H1028:H1032" si="448">ROUNDUP(0+M1028,0)</f>
        <v>23267</v>
      </c>
      <c r="I1028" s="81">
        <f t="shared" si="446"/>
        <v>8.8173990813867125</v>
      </c>
      <c r="J1028" s="138">
        <v>0</v>
      </c>
      <c r="K1028" s="138">
        <f t="shared" ref="K1028:K1033" si="449">L1028-J1028</f>
        <v>34919</v>
      </c>
      <c r="L1028" s="138">
        <v>34919</v>
      </c>
      <c r="M1028" s="80">
        <v>23266.33</v>
      </c>
      <c r="N1028" s="81">
        <f t="shared" si="447"/>
        <v>66.629428105043104</v>
      </c>
      <c r="O1028" s="406"/>
    </row>
    <row r="1029" spans="1:15" s="95" customFormat="1" ht="11.1" customHeight="1" outlineLevel="1" x14ac:dyDescent="0.2">
      <c r="A1029" s="409"/>
      <c r="B1029" s="76" t="s">
        <v>11</v>
      </c>
      <c r="C1029" s="82" t="s">
        <v>512</v>
      </c>
      <c r="D1029" s="410"/>
      <c r="E1029" s="410"/>
      <c r="F1029" s="79" t="s">
        <v>7</v>
      </c>
      <c r="G1029" s="138">
        <v>1429268</v>
      </c>
      <c r="H1029" s="138">
        <f t="shared" si="448"/>
        <v>131843</v>
      </c>
      <c r="I1029" s="81">
        <f t="shared" si="446"/>
        <v>9.2245121278864435</v>
      </c>
      <c r="J1029" s="138">
        <v>0</v>
      </c>
      <c r="K1029" s="138">
        <f t="shared" si="449"/>
        <v>131843</v>
      </c>
      <c r="L1029" s="138">
        <v>131843</v>
      </c>
      <c r="M1029" s="80">
        <v>131842.54</v>
      </c>
      <c r="N1029" s="81">
        <f t="shared" si="447"/>
        <v>99.999651100172187</v>
      </c>
      <c r="O1029" s="406"/>
    </row>
    <row r="1030" spans="1:15" s="95" customFormat="1" ht="11.1" customHeight="1" outlineLevel="1" x14ac:dyDescent="0.2">
      <c r="A1030" s="117"/>
      <c r="B1030" s="76"/>
      <c r="C1030" s="82" t="s">
        <v>513</v>
      </c>
      <c r="D1030" s="108"/>
      <c r="E1030" s="108"/>
      <c r="F1030" s="79" t="s">
        <v>8</v>
      </c>
      <c r="G1030" s="138">
        <v>0</v>
      </c>
      <c r="H1030" s="138">
        <f t="shared" si="448"/>
        <v>0</v>
      </c>
      <c r="I1030" s="81" t="str">
        <f t="shared" si="446"/>
        <v>-</v>
      </c>
      <c r="J1030" s="138">
        <v>0</v>
      </c>
      <c r="K1030" s="138">
        <f t="shared" si="449"/>
        <v>0</v>
      </c>
      <c r="L1030" s="138">
        <v>0</v>
      </c>
      <c r="M1030" s="80">
        <v>0</v>
      </c>
      <c r="N1030" s="81" t="str">
        <f t="shared" si="447"/>
        <v>-</v>
      </c>
      <c r="O1030" s="406"/>
    </row>
    <row r="1031" spans="1:15" s="95" customFormat="1" ht="11.1" customHeight="1" outlineLevel="1" x14ac:dyDescent="0.2">
      <c r="A1031" s="117"/>
      <c r="B1031" s="76"/>
      <c r="C1031" s="82" t="s">
        <v>514</v>
      </c>
      <c r="D1031" s="108"/>
      <c r="E1031" s="108"/>
      <c r="F1031" s="79" t="s">
        <v>22</v>
      </c>
      <c r="G1031" s="138">
        <v>0</v>
      </c>
      <c r="H1031" s="138">
        <f t="shared" si="448"/>
        <v>0</v>
      </c>
      <c r="I1031" s="81" t="str">
        <f t="shared" si="446"/>
        <v>-</v>
      </c>
      <c r="J1031" s="138">
        <v>0</v>
      </c>
      <c r="K1031" s="138">
        <f t="shared" si="449"/>
        <v>0</v>
      </c>
      <c r="L1031" s="138">
        <v>0</v>
      </c>
      <c r="M1031" s="80">
        <v>0</v>
      </c>
      <c r="N1031" s="81" t="str">
        <f t="shared" si="447"/>
        <v>-</v>
      </c>
      <c r="O1031" s="406"/>
    </row>
    <row r="1032" spans="1:15" s="95" customFormat="1" ht="11.1" customHeight="1" outlineLevel="1" x14ac:dyDescent="0.2">
      <c r="A1032" s="117"/>
      <c r="B1032" s="76" t="s">
        <v>12</v>
      </c>
      <c r="C1032" s="82" t="s">
        <v>516</v>
      </c>
      <c r="D1032" s="108"/>
      <c r="E1032" s="108"/>
      <c r="F1032" s="79" t="s">
        <v>45</v>
      </c>
      <c r="G1032" s="139">
        <v>0</v>
      </c>
      <c r="H1032" s="138">
        <f t="shared" si="448"/>
        <v>0</v>
      </c>
      <c r="I1032" s="81" t="str">
        <f t="shared" si="446"/>
        <v>-</v>
      </c>
      <c r="J1032" s="138">
        <v>0</v>
      </c>
      <c r="K1032" s="138">
        <f t="shared" si="449"/>
        <v>0</v>
      </c>
      <c r="L1032" s="138">
        <v>0</v>
      </c>
      <c r="M1032" s="80">
        <v>0</v>
      </c>
      <c r="N1032" s="81" t="str">
        <f t="shared" si="447"/>
        <v>-</v>
      </c>
      <c r="O1032" s="406"/>
    </row>
    <row r="1033" spans="1:15" s="95" customFormat="1" ht="11.1" customHeight="1" outlineLevel="1" x14ac:dyDescent="0.2">
      <c r="A1033" s="117"/>
      <c r="B1033" s="76"/>
      <c r="C1033" s="82" t="s">
        <v>517</v>
      </c>
      <c r="D1033" s="108"/>
      <c r="E1033" s="108"/>
      <c r="F1033" s="79" t="s">
        <v>359</v>
      </c>
      <c r="G1033" s="139">
        <v>0</v>
      </c>
      <c r="H1033" s="138">
        <f>ROUNDUP(0+M1033,0)</f>
        <v>0</v>
      </c>
      <c r="I1033" s="81" t="str">
        <f t="shared" si="446"/>
        <v>-</v>
      </c>
      <c r="J1033" s="138">
        <v>0</v>
      </c>
      <c r="K1033" s="138">
        <f t="shared" si="449"/>
        <v>0</v>
      </c>
      <c r="L1033" s="138">
        <v>0</v>
      </c>
      <c r="M1033" s="80">
        <v>0</v>
      </c>
      <c r="N1033" s="81" t="str">
        <f t="shared" si="447"/>
        <v>-</v>
      </c>
      <c r="O1033" s="406"/>
    </row>
    <row r="1034" spans="1:15" s="95" customFormat="1" ht="11.1" customHeight="1" outlineLevel="1" x14ac:dyDescent="0.2">
      <c r="A1034" s="117"/>
      <c r="B1034" s="76"/>
      <c r="C1034" s="82" t="s">
        <v>518</v>
      </c>
      <c r="D1034" s="108"/>
      <c r="E1034" s="108"/>
      <c r="F1034" s="106"/>
      <c r="G1034" s="139"/>
      <c r="H1034" s="139"/>
      <c r="I1034" s="81"/>
      <c r="J1034" s="139"/>
      <c r="K1034" s="139"/>
      <c r="L1034" s="138"/>
      <c r="M1034" s="89"/>
      <c r="N1034" s="81"/>
      <c r="O1034" s="406"/>
    </row>
    <row r="1035" spans="1:15" s="95" customFormat="1" ht="11.1" customHeight="1" outlineLevel="1" x14ac:dyDescent="0.2">
      <c r="A1035" s="117"/>
      <c r="B1035" s="76"/>
      <c r="C1035" s="82" t="s">
        <v>581</v>
      </c>
      <c r="D1035" s="108"/>
      <c r="E1035" s="108"/>
      <c r="F1035" s="106"/>
      <c r="G1035" s="139"/>
      <c r="H1035" s="139"/>
      <c r="I1035" s="81"/>
      <c r="J1035" s="139"/>
      <c r="K1035" s="139"/>
      <c r="L1035" s="138"/>
      <c r="M1035" s="89"/>
      <c r="N1035" s="81"/>
      <c r="O1035" s="406"/>
    </row>
    <row r="1036" spans="1:15" s="95" customFormat="1" ht="11.1" customHeight="1" outlineLevel="1" x14ac:dyDescent="0.2">
      <c r="A1036" s="117"/>
      <c r="B1036" s="76"/>
      <c r="C1036" s="82" t="s">
        <v>582</v>
      </c>
      <c r="D1036" s="108"/>
      <c r="E1036" s="108"/>
      <c r="F1036" s="106"/>
      <c r="G1036" s="139"/>
      <c r="H1036" s="139"/>
      <c r="I1036" s="81"/>
      <c r="J1036" s="139"/>
      <c r="K1036" s="139"/>
      <c r="L1036" s="138"/>
      <c r="M1036" s="89"/>
      <c r="N1036" s="81"/>
      <c r="O1036" s="406"/>
    </row>
    <row r="1037" spans="1:15" s="95" customFormat="1" ht="11.1" customHeight="1" outlineLevel="1" x14ac:dyDescent="0.2">
      <c r="A1037" s="117"/>
      <c r="B1037" s="76" t="s">
        <v>23</v>
      </c>
      <c r="C1037" s="82" t="s">
        <v>506</v>
      </c>
      <c r="D1037" s="108"/>
      <c r="E1037" s="108"/>
      <c r="F1037" s="106"/>
      <c r="G1037" s="139"/>
      <c r="H1037" s="139"/>
      <c r="I1037" s="81"/>
      <c r="J1037" s="139"/>
      <c r="K1037" s="139"/>
      <c r="L1037" s="138"/>
      <c r="M1037" s="89"/>
      <c r="N1037" s="81"/>
      <c r="O1037" s="406"/>
    </row>
    <row r="1038" spans="1:15" s="95" customFormat="1" ht="11.1" customHeight="1" outlineLevel="1" x14ac:dyDescent="0.2">
      <c r="A1038" s="117"/>
      <c r="B1038" s="76"/>
      <c r="C1038" s="82" t="s">
        <v>507</v>
      </c>
      <c r="D1038" s="108"/>
      <c r="E1038" s="108"/>
      <c r="F1038" s="106"/>
      <c r="G1038" s="139"/>
      <c r="H1038" s="139"/>
      <c r="I1038" s="81"/>
      <c r="J1038" s="139"/>
      <c r="K1038" s="139"/>
      <c r="L1038" s="138"/>
      <c r="M1038" s="89"/>
      <c r="N1038" s="81"/>
      <c r="O1038" s="406"/>
    </row>
    <row r="1039" spans="1:15" s="95" customFormat="1" ht="11.1" customHeight="1" outlineLevel="1" x14ac:dyDescent="0.2">
      <c r="A1039" s="117"/>
      <c r="B1039" s="76"/>
      <c r="C1039" s="82" t="s">
        <v>508</v>
      </c>
      <c r="D1039" s="108"/>
      <c r="E1039" s="108"/>
      <c r="F1039" s="106"/>
      <c r="G1039" s="139"/>
      <c r="H1039" s="139"/>
      <c r="I1039" s="81"/>
      <c r="J1039" s="139"/>
      <c r="K1039" s="139"/>
      <c r="L1039" s="138"/>
      <c r="M1039" s="89"/>
      <c r="N1039" s="81"/>
      <c r="O1039" s="406"/>
    </row>
    <row r="1040" spans="1:15" s="95" customFormat="1" ht="3.2" customHeight="1" outlineLevel="1" x14ac:dyDescent="0.2">
      <c r="A1040" s="118"/>
      <c r="B1040" s="85"/>
      <c r="C1040" s="86"/>
      <c r="D1040" s="84"/>
      <c r="E1040" s="84"/>
      <c r="F1040" s="85"/>
      <c r="G1040" s="140"/>
      <c r="H1040" s="140"/>
      <c r="I1040" s="88"/>
      <c r="J1040" s="140"/>
      <c r="K1040" s="140"/>
      <c r="L1040" s="141"/>
      <c r="M1040" s="87"/>
      <c r="N1040" s="88"/>
      <c r="O1040" s="407"/>
    </row>
  </sheetData>
  <mergeCells count="363">
    <mergeCell ref="O856:O862"/>
    <mergeCell ref="O884:O893"/>
    <mergeCell ref="O895:O904"/>
    <mergeCell ref="A664:A666"/>
    <mergeCell ref="D664:D666"/>
    <mergeCell ref="E664:E666"/>
    <mergeCell ref="O664:O672"/>
    <mergeCell ref="A677:A679"/>
    <mergeCell ref="D677:D679"/>
    <mergeCell ref="E677:E679"/>
    <mergeCell ref="O677:O683"/>
    <mergeCell ref="B704:C704"/>
    <mergeCell ref="A748:A750"/>
    <mergeCell ref="B699:C699"/>
    <mergeCell ref="A713:A715"/>
    <mergeCell ref="B801:C801"/>
    <mergeCell ref="B772:C772"/>
    <mergeCell ref="A781:A783"/>
    <mergeCell ref="B698:C698"/>
    <mergeCell ref="O828:O834"/>
    <mergeCell ref="D713:D715"/>
    <mergeCell ref="E713:E715"/>
    <mergeCell ref="D847:D849"/>
    <mergeCell ref="O780:O789"/>
    <mergeCell ref="O37:O47"/>
    <mergeCell ref="O48:O56"/>
    <mergeCell ref="O57:O69"/>
    <mergeCell ref="O89:O99"/>
    <mergeCell ref="O100:O108"/>
    <mergeCell ref="O725:O737"/>
    <mergeCell ref="O232:O244"/>
    <mergeCell ref="O712:O724"/>
    <mergeCell ref="O153:O167"/>
    <mergeCell ref="O615:O621"/>
    <mergeCell ref="O637:O645"/>
    <mergeCell ref="O70:O79"/>
    <mergeCell ref="O255:O261"/>
    <mergeCell ref="O533:O539"/>
    <mergeCell ref="O651:O659"/>
    <mergeCell ref="O129:O142"/>
    <mergeCell ref="O219:O231"/>
    <mergeCell ref="O551:O564"/>
    <mergeCell ref="O583:O596"/>
    <mergeCell ref="O626:O634"/>
    <mergeCell ref="A366:A368"/>
    <mergeCell ref="D366:D368"/>
    <mergeCell ref="E366:E368"/>
    <mergeCell ref="O366:O372"/>
    <mergeCell ref="O574:O580"/>
    <mergeCell ref="A506:A508"/>
    <mergeCell ref="A440:A442"/>
    <mergeCell ref="D440:D442"/>
    <mergeCell ref="E440:E442"/>
    <mergeCell ref="O440:O446"/>
    <mergeCell ref="A431:A433"/>
    <mergeCell ref="A413:A415"/>
    <mergeCell ref="D413:D415"/>
    <mergeCell ref="E413:E415"/>
    <mergeCell ref="O413:O419"/>
    <mergeCell ref="E431:E433"/>
    <mergeCell ref="A377:A379"/>
    <mergeCell ref="D431:D433"/>
    <mergeCell ref="O431:O437"/>
    <mergeCell ref="A386:A388"/>
    <mergeCell ref="D386:D388"/>
    <mergeCell ref="D506:D508"/>
    <mergeCell ref="E515:E517"/>
    <mergeCell ref="O515:O521"/>
    <mergeCell ref="A341:A343"/>
    <mergeCell ref="O293:O300"/>
    <mergeCell ref="D293:D295"/>
    <mergeCell ref="E293:E295"/>
    <mergeCell ref="A233:A235"/>
    <mergeCell ref="D233:D235"/>
    <mergeCell ref="E233:E235"/>
    <mergeCell ref="A275:A277"/>
    <mergeCell ref="A293:A295"/>
    <mergeCell ref="A255:A257"/>
    <mergeCell ref="D255:D257"/>
    <mergeCell ref="E255:E257"/>
    <mergeCell ref="A153:A155"/>
    <mergeCell ref="D275:D277"/>
    <mergeCell ref="E275:E277"/>
    <mergeCell ref="O275:O281"/>
    <mergeCell ref="A304:A306"/>
    <mergeCell ref="D304:D306"/>
    <mergeCell ref="E304:E306"/>
    <mergeCell ref="O304:O310"/>
    <mergeCell ref="A314:A316"/>
    <mergeCell ref="D314:D316"/>
    <mergeCell ref="E314:E316"/>
    <mergeCell ref="O314:O320"/>
    <mergeCell ref="O198:O207"/>
    <mergeCell ref="A199:A201"/>
    <mergeCell ref="D199:D201"/>
    <mergeCell ref="E184:E186"/>
    <mergeCell ref="E191:E193"/>
    <mergeCell ref="E199:E201"/>
    <mergeCell ref="O208:O218"/>
    <mergeCell ref="A209:A211"/>
    <mergeCell ref="D209:D211"/>
    <mergeCell ref="E209:E211"/>
    <mergeCell ref="D153:D155"/>
    <mergeCell ref="B246:C246"/>
    <mergeCell ref="A38:A40"/>
    <mergeCell ref="D38:D40"/>
    <mergeCell ref="E38:E40"/>
    <mergeCell ref="A264:A266"/>
    <mergeCell ref="D264:D266"/>
    <mergeCell ref="E264:E266"/>
    <mergeCell ref="O264:O270"/>
    <mergeCell ref="A284:A286"/>
    <mergeCell ref="D284:D286"/>
    <mergeCell ref="E284:E286"/>
    <mergeCell ref="O284:O290"/>
    <mergeCell ref="E129:E133"/>
    <mergeCell ref="A49:A51"/>
    <mergeCell ref="A58:A60"/>
    <mergeCell ref="A90:A92"/>
    <mergeCell ref="A101:A103"/>
    <mergeCell ref="D101:D103"/>
    <mergeCell ref="D58:D60"/>
    <mergeCell ref="E58:E60"/>
    <mergeCell ref="D90:D92"/>
    <mergeCell ref="E101:E103"/>
    <mergeCell ref="E162:E164"/>
    <mergeCell ref="E170:E172"/>
    <mergeCell ref="E177:E179"/>
    <mergeCell ref="B12:C12"/>
    <mergeCell ref="B13:C13"/>
    <mergeCell ref="B14:C14"/>
    <mergeCell ref="B15:C15"/>
    <mergeCell ref="B20:C20"/>
    <mergeCell ref="B110:C110"/>
    <mergeCell ref="E137:E139"/>
    <mergeCell ref="D129:D131"/>
    <mergeCell ref="B29:C29"/>
    <mergeCell ref="B23:C23"/>
    <mergeCell ref="D49:D51"/>
    <mergeCell ref="E49:E51"/>
    <mergeCell ref="E90:E92"/>
    <mergeCell ref="J7:O7"/>
    <mergeCell ref="A4:O4"/>
    <mergeCell ref="A5:O5"/>
    <mergeCell ref="B9:C9"/>
    <mergeCell ref="B11:C11"/>
    <mergeCell ref="A7:A8"/>
    <mergeCell ref="F7:I7"/>
    <mergeCell ref="E7:E8"/>
    <mergeCell ref="B7:C8"/>
    <mergeCell ref="D7:D8"/>
    <mergeCell ref="O935:O941"/>
    <mergeCell ref="B926:C926"/>
    <mergeCell ref="O810:O816"/>
    <mergeCell ref="O865:O871"/>
    <mergeCell ref="A838:A840"/>
    <mergeCell ref="A847:A849"/>
    <mergeCell ref="A865:A867"/>
    <mergeCell ref="A935:A937"/>
    <mergeCell ref="D935:D937"/>
    <mergeCell ref="E935:E937"/>
    <mergeCell ref="A884:A886"/>
    <mergeCell ref="A895:A897"/>
    <mergeCell ref="E856:E858"/>
    <mergeCell ref="D874:D876"/>
    <mergeCell ref="E874:E876"/>
    <mergeCell ref="D865:D867"/>
    <mergeCell ref="E865:E867"/>
    <mergeCell ref="A874:A876"/>
    <mergeCell ref="D856:D858"/>
    <mergeCell ref="A856:A858"/>
    <mergeCell ref="A810:A812"/>
    <mergeCell ref="A828:A830"/>
    <mergeCell ref="A819:A821"/>
    <mergeCell ref="O837:O845"/>
    <mergeCell ref="O846:O854"/>
    <mergeCell ref="D726:D728"/>
    <mergeCell ref="O819:O825"/>
    <mergeCell ref="D828:D830"/>
    <mergeCell ref="E828:E830"/>
    <mergeCell ref="D781:D783"/>
    <mergeCell ref="D838:D840"/>
    <mergeCell ref="E756:E758"/>
    <mergeCell ref="E764:E766"/>
    <mergeCell ref="D810:D812"/>
    <mergeCell ref="E810:E812"/>
    <mergeCell ref="O790:O799"/>
    <mergeCell ref="O748:O770"/>
    <mergeCell ref="A686:A688"/>
    <mergeCell ref="A524:A526"/>
    <mergeCell ref="D524:D526"/>
    <mergeCell ref="E524:E526"/>
    <mergeCell ref="A542:A544"/>
    <mergeCell ref="D542:D544"/>
    <mergeCell ref="E542:E544"/>
    <mergeCell ref="A533:A535"/>
    <mergeCell ref="E686:E688"/>
    <mergeCell ref="E615:E617"/>
    <mergeCell ref="D574:D576"/>
    <mergeCell ref="E533:E535"/>
    <mergeCell ref="D686:D688"/>
    <mergeCell ref="A551:A553"/>
    <mergeCell ref="D551:D553"/>
    <mergeCell ref="E551:E555"/>
    <mergeCell ref="E559:E561"/>
    <mergeCell ref="E566:E568"/>
    <mergeCell ref="E583:E587"/>
    <mergeCell ref="E591:E593"/>
    <mergeCell ref="E598:E600"/>
    <mergeCell ref="A651:A653"/>
    <mergeCell ref="D651:D653"/>
    <mergeCell ref="E651:E653"/>
    <mergeCell ref="A129:A131"/>
    <mergeCell ref="E145:E147"/>
    <mergeCell ref="E153:E157"/>
    <mergeCell ref="A955:A957"/>
    <mergeCell ref="D955:D957"/>
    <mergeCell ref="E955:E957"/>
    <mergeCell ref="O955:O961"/>
    <mergeCell ref="A71:A73"/>
    <mergeCell ref="D71:D73"/>
    <mergeCell ref="E71:E73"/>
    <mergeCell ref="O80:O88"/>
    <mergeCell ref="A81:A83"/>
    <mergeCell ref="D81:D83"/>
    <mergeCell ref="E81:E83"/>
    <mergeCell ref="O118:O127"/>
    <mergeCell ref="A119:A121"/>
    <mergeCell ref="D119:D121"/>
    <mergeCell ref="E119:E121"/>
    <mergeCell ref="D895:D897"/>
    <mergeCell ref="E895:E897"/>
    <mergeCell ref="D884:D886"/>
    <mergeCell ref="E884:E886"/>
    <mergeCell ref="A626:A628"/>
    <mergeCell ref="D626:D628"/>
    <mergeCell ref="E626:E628"/>
    <mergeCell ref="O506:O512"/>
    <mergeCell ref="E574:E576"/>
    <mergeCell ref="A637:A639"/>
    <mergeCell ref="D637:D639"/>
    <mergeCell ref="D533:D535"/>
    <mergeCell ref="A574:A576"/>
    <mergeCell ref="O524:O530"/>
    <mergeCell ref="O542:O548"/>
    <mergeCell ref="A583:A585"/>
    <mergeCell ref="D583:D585"/>
    <mergeCell ref="A515:A517"/>
    <mergeCell ref="D515:D517"/>
    <mergeCell ref="E506:E508"/>
    <mergeCell ref="A404:A406"/>
    <mergeCell ref="D404:D406"/>
    <mergeCell ref="E404:E406"/>
    <mergeCell ref="O404:O410"/>
    <mergeCell ref="A422:A424"/>
    <mergeCell ref="D422:D424"/>
    <mergeCell ref="E422:E424"/>
    <mergeCell ref="O422:O428"/>
    <mergeCell ref="A975:A977"/>
    <mergeCell ref="D975:D977"/>
    <mergeCell ref="E975:E977"/>
    <mergeCell ref="O975:O981"/>
    <mergeCell ref="O686:O692"/>
    <mergeCell ref="B906:C906"/>
    <mergeCell ref="A915:A917"/>
    <mergeCell ref="D915:D917"/>
    <mergeCell ref="E915:E917"/>
    <mergeCell ref="O915:O921"/>
    <mergeCell ref="E637:E639"/>
    <mergeCell ref="B606:C606"/>
    <mergeCell ref="A615:A617"/>
    <mergeCell ref="D615:D617"/>
    <mergeCell ref="B696:C696"/>
    <mergeCell ref="D458:D460"/>
    <mergeCell ref="A220:A222"/>
    <mergeCell ref="D220:D222"/>
    <mergeCell ref="E220:E222"/>
    <mergeCell ref="A354:A356"/>
    <mergeCell ref="D354:D356"/>
    <mergeCell ref="E354:E356"/>
    <mergeCell ref="O354:O360"/>
    <mergeCell ref="A395:A397"/>
    <mergeCell ref="D395:D397"/>
    <mergeCell ref="E395:E397"/>
    <mergeCell ref="O395:O401"/>
    <mergeCell ref="E386:E388"/>
    <mergeCell ref="O386:O392"/>
    <mergeCell ref="D341:D343"/>
    <mergeCell ref="D377:D379"/>
    <mergeCell ref="E377:E379"/>
    <mergeCell ref="O377:O383"/>
    <mergeCell ref="E341:E343"/>
    <mergeCell ref="O341:O347"/>
    <mergeCell ref="A323:A325"/>
    <mergeCell ref="D323:D325"/>
    <mergeCell ref="E323:E325"/>
    <mergeCell ref="O323:O329"/>
    <mergeCell ref="B332:C332"/>
    <mergeCell ref="O994:O1000"/>
    <mergeCell ref="E497:E499"/>
    <mergeCell ref="O497:O503"/>
    <mergeCell ref="A449:A451"/>
    <mergeCell ref="D449:D451"/>
    <mergeCell ref="E449:E451"/>
    <mergeCell ref="O449:O455"/>
    <mergeCell ref="A467:A469"/>
    <mergeCell ref="D467:D469"/>
    <mergeCell ref="E467:E469"/>
    <mergeCell ref="O467:O473"/>
    <mergeCell ref="A479:A481"/>
    <mergeCell ref="D479:D481"/>
    <mergeCell ref="E479:E481"/>
    <mergeCell ref="O479:O485"/>
    <mergeCell ref="E458:E460"/>
    <mergeCell ref="A488:A490"/>
    <mergeCell ref="D488:D490"/>
    <mergeCell ref="A458:A460"/>
    <mergeCell ref="O458:O464"/>
    <mergeCell ref="E488:E490"/>
    <mergeCell ref="O488:O494"/>
    <mergeCell ref="A497:A499"/>
    <mergeCell ref="D497:D499"/>
    <mergeCell ref="E994:E996"/>
    <mergeCell ref="B739:C739"/>
    <mergeCell ref="A726:A728"/>
    <mergeCell ref="B695:C695"/>
    <mergeCell ref="B697:C697"/>
    <mergeCell ref="D694:D702"/>
    <mergeCell ref="D748:D750"/>
    <mergeCell ref="E748:E752"/>
    <mergeCell ref="E847:E849"/>
    <mergeCell ref="E838:E840"/>
    <mergeCell ref="D819:D821"/>
    <mergeCell ref="A791:A793"/>
    <mergeCell ref="D791:D793"/>
    <mergeCell ref="E791:E793"/>
    <mergeCell ref="E819:E821"/>
    <mergeCell ref="E726:E728"/>
    <mergeCell ref="E781:E783"/>
    <mergeCell ref="O874:O882"/>
    <mergeCell ref="O1026:O1040"/>
    <mergeCell ref="A1027:A1029"/>
    <mergeCell ref="D1027:D1029"/>
    <mergeCell ref="E1027:E1029"/>
    <mergeCell ref="A945:A947"/>
    <mergeCell ref="D945:D947"/>
    <mergeCell ref="E945:E947"/>
    <mergeCell ref="O945:O951"/>
    <mergeCell ref="A966:A968"/>
    <mergeCell ref="D966:D968"/>
    <mergeCell ref="E966:E968"/>
    <mergeCell ref="O966:O972"/>
    <mergeCell ref="A984:A986"/>
    <mergeCell ref="D984:D986"/>
    <mergeCell ref="E984:E986"/>
    <mergeCell ref="O984:O990"/>
    <mergeCell ref="B1003:C1003"/>
    <mergeCell ref="O1011:O1025"/>
    <mergeCell ref="A1012:A1014"/>
    <mergeCell ref="D1012:D1014"/>
    <mergeCell ref="E1012:E1014"/>
    <mergeCell ref="A994:A996"/>
    <mergeCell ref="D994:D996"/>
  </mergeCells>
  <printOptions horizontalCentered="1"/>
  <pageMargins left="0.35433070866141736" right="0.35433070866141736" top="0.39370078740157483" bottom="0.51181102362204722" header="0.31496062992125984" footer="0.23622047244094491"/>
  <pageSetup paperSize="9" scale="67" firstPageNumber="115" orientation="landscape" useFirstPageNumber="1" r:id="rId1"/>
  <headerFooter>
    <oddFooter>&amp;C&amp;P</oddFooter>
  </headerFooter>
  <rowBreaks count="13" manualBreakCount="13">
    <brk id="69" max="14" man="1"/>
    <brk id="143" max="14" man="1"/>
    <brk id="218" max="14" man="1"/>
    <brk id="291" max="14" man="1"/>
    <brk id="364" max="14" man="1"/>
    <brk id="438" max="14" man="1"/>
    <brk id="513" max="14" man="1"/>
    <brk id="581" max="14" man="1"/>
    <brk id="649" max="14" man="1"/>
    <brk id="799" max="14" man="1"/>
    <brk id="872" max="14" man="1"/>
    <brk id="943" max="14" man="1"/>
    <brk id="1010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I17"/>
  <sheetViews>
    <sheetView topLeftCell="A16" zoomScale="130" zoomScaleNormal="130" workbookViewId="0">
      <selection activeCell="B12" sqref="B12:I17"/>
    </sheetView>
  </sheetViews>
  <sheetFormatPr defaultRowHeight="11.25" x14ac:dyDescent="0.2"/>
  <cols>
    <col min="1" max="1" width="15.28515625" style="259" customWidth="1"/>
    <col min="2" max="2" width="7.42578125" style="262" customWidth="1"/>
    <col min="3" max="3" width="12.28515625" style="259" customWidth="1"/>
    <col min="4" max="4" width="10.7109375" style="259" customWidth="1"/>
    <col min="5" max="5" width="12.28515625" style="259" customWidth="1"/>
    <col min="6" max="6" width="11.7109375" style="259" customWidth="1"/>
    <col min="7" max="7" width="10.7109375" style="259" customWidth="1"/>
    <col min="8" max="8" width="10.28515625" style="259" customWidth="1"/>
    <col min="9" max="9" width="10.7109375" style="259" customWidth="1"/>
    <col min="10" max="16384" width="9.140625" style="259"/>
  </cols>
  <sheetData>
    <row r="10" spans="1:9" s="263" customFormat="1" ht="21" customHeight="1" x14ac:dyDescent="0.2">
      <c r="A10" s="462"/>
      <c r="B10" s="458" t="s">
        <v>249</v>
      </c>
      <c r="C10" s="463" t="s">
        <v>242</v>
      </c>
      <c r="D10" s="460" t="s">
        <v>241</v>
      </c>
      <c r="E10" s="460"/>
      <c r="F10" s="460"/>
      <c r="G10" s="460"/>
      <c r="H10" s="460"/>
      <c r="I10" s="461"/>
    </row>
    <row r="11" spans="1:9" s="264" customFormat="1" ht="29.25" customHeight="1" x14ac:dyDescent="0.2">
      <c r="A11" s="462"/>
      <c r="B11" s="459"/>
      <c r="C11" s="464"/>
      <c r="D11" s="280" t="s">
        <v>259</v>
      </c>
      <c r="E11" s="280" t="s">
        <v>260</v>
      </c>
      <c r="F11" s="280" t="s">
        <v>234</v>
      </c>
      <c r="G11" s="280" t="s">
        <v>261</v>
      </c>
      <c r="H11" s="280" t="s">
        <v>262</v>
      </c>
      <c r="I11" s="280" t="s">
        <v>263</v>
      </c>
    </row>
    <row r="12" spans="1:9" ht="33.75" x14ac:dyDescent="0.2">
      <c r="A12" s="265" t="s">
        <v>245</v>
      </c>
      <c r="B12" s="266">
        <f>SUM(B13:B17)</f>
        <v>31</v>
      </c>
      <c r="C12" s="267">
        <f t="shared" ref="C12" si="0">SUM(D12:I12)</f>
        <v>125997528.25999999</v>
      </c>
      <c r="D12" s="279">
        <f t="shared" ref="D12:I12" si="1">SUM(D13:D17)</f>
        <v>14672333.460000001</v>
      </c>
      <c r="E12" s="279">
        <f t="shared" si="1"/>
        <v>71413836.730000004</v>
      </c>
      <c r="F12" s="279">
        <f t="shared" si="1"/>
        <v>32871257.280000001</v>
      </c>
      <c r="G12" s="279">
        <f t="shared" si="1"/>
        <v>5723.22</v>
      </c>
      <c r="H12" s="279">
        <f t="shared" si="1"/>
        <v>7034377.5699999984</v>
      </c>
      <c r="I12" s="279">
        <f t="shared" si="1"/>
        <v>0</v>
      </c>
    </row>
    <row r="13" spans="1:9" ht="33.75" x14ac:dyDescent="0.2">
      <c r="A13" s="268" t="s">
        <v>90</v>
      </c>
      <c r="B13" s="291">
        <v>14</v>
      </c>
      <c r="C13" s="269">
        <f>SUM(D13:I13)</f>
        <v>62923306.32</v>
      </c>
      <c r="D13" s="269">
        <f>Arkusz2!D13</f>
        <v>8741283.4000000004</v>
      </c>
      <c r="E13" s="269">
        <f>Arkusz2!E13</f>
        <v>32156969.039999999</v>
      </c>
      <c r="F13" s="269">
        <f>Arkusz2!F13</f>
        <v>18504585</v>
      </c>
      <c r="G13" s="269">
        <f>Arkusz2!G13</f>
        <v>0</v>
      </c>
      <c r="H13" s="269">
        <f>Arkusz2!H13</f>
        <v>3520468.8799999994</v>
      </c>
      <c r="I13" s="269">
        <f>Arkusz2!I13</f>
        <v>0</v>
      </c>
    </row>
    <row r="14" spans="1:9" ht="45" x14ac:dyDescent="0.2">
      <c r="A14" s="268" t="s">
        <v>86</v>
      </c>
      <c r="B14" s="291">
        <v>8</v>
      </c>
      <c r="C14" s="269">
        <f>SUM(D14:I14)</f>
        <v>53196942.120000005</v>
      </c>
      <c r="D14" s="269">
        <f>Arkusz2!D14</f>
        <v>5874897.7300000004</v>
      </c>
      <c r="E14" s="269">
        <f>Arkusz2!E14</f>
        <v>32825894.409999996</v>
      </c>
      <c r="F14" s="269">
        <f>Arkusz2!F14</f>
        <v>11730225.310000001</v>
      </c>
      <c r="G14" s="269">
        <f>Arkusz2!G14</f>
        <v>738</v>
      </c>
      <c r="H14" s="269">
        <f>Arkusz2!H14</f>
        <v>2765186.67</v>
      </c>
      <c r="I14" s="269">
        <f>Arkusz2!I14</f>
        <v>0</v>
      </c>
    </row>
    <row r="15" spans="1:9" ht="33.75" x14ac:dyDescent="0.2">
      <c r="A15" s="268" t="s">
        <v>246</v>
      </c>
      <c r="B15" s="291">
        <v>1</v>
      </c>
      <c r="C15" s="269">
        <f>SUM(D15:I15)</f>
        <v>9433648.5700000003</v>
      </c>
      <c r="D15" s="269">
        <f>Arkusz2!D16</f>
        <v>0</v>
      </c>
      <c r="E15" s="269">
        <f>Arkusz2!E16</f>
        <v>6055169.5800000001</v>
      </c>
      <c r="F15" s="269">
        <f>Arkusz2!F16</f>
        <v>2636446.9700000002</v>
      </c>
      <c r="G15" s="269">
        <f>Arkusz2!G16</f>
        <v>0</v>
      </c>
      <c r="H15" s="269">
        <f>Arkusz2!H16</f>
        <v>742032.02</v>
      </c>
      <c r="I15" s="269">
        <f>Arkusz2!I16</f>
        <v>0</v>
      </c>
    </row>
    <row r="16" spans="1:9" x14ac:dyDescent="0.2">
      <c r="A16" s="268" t="s">
        <v>336</v>
      </c>
      <c r="B16" s="291">
        <v>3</v>
      </c>
      <c r="C16" s="269">
        <f>SUM(D16:I16)</f>
        <v>381038.87000000005</v>
      </c>
      <c r="D16" s="269">
        <f>Arkusz2!D15</f>
        <v>56152.33</v>
      </c>
      <c r="E16" s="269">
        <f>Arkusz2!E15</f>
        <v>318196.54000000004</v>
      </c>
      <c r="F16" s="269">
        <f>Arkusz2!F15</f>
        <v>0</v>
      </c>
      <c r="G16" s="269">
        <f>Arkusz2!G15</f>
        <v>0</v>
      </c>
      <c r="H16" s="269">
        <f>Arkusz2!H15</f>
        <v>6690</v>
      </c>
      <c r="I16" s="269">
        <f>Arkusz2!I15</f>
        <v>0</v>
      </c>
    </row>
    <row r="17" spans="1:9" ht="22.5" x14ac:dyDescent="0.2">
      <c r="A17" s="268" t="s">
        <v>55</v>
      </c>
      <c r="B17" s="291">
        <v>5</v>
      </c>
      <c r="C17" s="269">
        <f>SUM(D17:I17)</f>
        <v>62592.380000000005</v>
      </c>
      <c r="D17" s="269">
        <f>Arkusz2!D17</f>
        <v>0</v>
      </c>
      <c r="E17" s="269">
        <f>Arkusz2!E17</f>
        <v>57607.16</v>
      </c>
      <c r="F17" s="269">
        <f>Arkusz2!F17</f>
        <v>0</v>
      </c>
      <c r="G17" s="269">
        <f>Arkusz2!G17</f>
        <v>4985.22</v>
      </c>
      <c r="H17" s="269">
        <f>Arkusz2!H17</f>
        <v>0</v>
      </c>
      <c r="I17" s="269">
        <f>Arkusz2!I17</f>
        <v>0</v>
      </c>
    </row>
  </sheetData>
  <sortState ref="A13:I17">
    <sortCondition descending="1" ref="C13:C17"/>
  </sortState>
  <mergeCells count="4">
    <mergeCell ref="A10:A11"/>
    <mergeCell ref="B10:B11"/>
    <mergeCell ref="C10:C11"/>
    <mergeCell ref="D10:I1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6" sqref="B6"/>
    </sheetView>
  </sheetViews>
  <sheetFormatPr defaultRowHeight="12.75" x14ac:dyDescent="0.2"/>
  <cols>
    <col min="1" max="1" width="57.28515625" style="293" customWidth="1"/>
    <col min="2" max="2" width="14.28515625" style="293" customWidth="1"/>
    <col min="3" max="16384" width="9.140625" style="293"/>
  </cols>
  <sheetData>
    <row r="1" spans="1:2" x14ac:dyDescent="0.2">
      <c r="A1" s="273" t="s">
        <v>346</v>
      </c>
      <c r="B1" s="273" t="s">
        <v>337</v>
      </c>
    </row>
    <row r="2" spans="1:2" ht="33" customHeight="1" x14ac:dyDescent="0.2">
      <c r="A2" s="294" t="s">
        <v>338</v>
      </c>
      <c r="B2" s="295">
        <f>B3+B9</f>
        <v>90529115</v>
      </c>
    </row>
    <row r="3" spans="1:2" ht="18" customHeight="1" x14ac:dyDescent="0.2">
      <c r="A3" s="296" t="s">
        <v>339</v>
      </c>
      <c r="B3" s="297">
        <f>SUM(B4:B8)</f>
        <v>9645189.5999999996</v>
      </c>
    </row>
    <row r="4" spans="1:2" ht="15.95" customHeight="1" x14ac:dyDescent="0.2">
      <c r="A4" s="298" t="s">
        <v>340</v>
      </c>
      <c r="B4" s="299">
        <f>6469993.96+1065266.71</f>
        <v>7535260.6699999999</v>
      </c>
    </row>
    <row r="5" spans="1:2" ht="42" customHeight="1" x14ac:dyDescent="0.2">
      <c r="A5" s="298" t="s">
        <v>344</v>
      </c>
      <c r="B5" s="299">
        <f>698346.34+37809.07</f>
        <v>736155.40999999992</v>
      </c>
    </row>
    <row r="6" spans="1:2" ht="30" customHeight="1" x14ac:dyDescent="0.2">
      <c r="A6" s="298" t="s">
        <v>341</v>
      </c>
      <c r="B6" s="299">
        <f>1343901.08-(3376+2376+14878.8)</f>
        <v>1323270.28</v>
      </c>
    </row>
    <row r="7" spans="1:2" ht="30" customHeight="1" x14ac:dyDescent="0.2">
      <c r="A7" s="298" t="s">
        <v>342</v>
      </c>
      <c r="B7" s="299">
        <v>29872.44</v>
      </c>
    </row>
    <row r="8" spans="1:2" ht="15.95" customHeight="1" x14ac:dyDescent="0.2">
      <c r="A8" s="298" t="s">
        <v>345</v>
      </c>
      <c r="B8" s="299">
        <f>3376+2376+14878.8</f>
        <v>20630.8</v>
      </c>
    </row>
    <row r="9" spans="1:2" ht="18" customHeight="1" x14ac:dyDescent="0.2">
      <c r="A9" s="296" t="s">
        <v>343</v>
      </c>
      <c r="B9" s="297">
        <f>SUM(B10:B11)</f>
        <v>80883925.400000006</v>
      </c>
    </row>
    <row r="10" spans="1:2" ht="15.95" customHeight="1" x14ac:dyDescent="0.2">
      <c r="A10" s="298" t="s">
        <v>340</v>
      </c>
      <c r="B10" s="299">
        <v>80279931.090000004</v>
      </c>
    </row>
    <row r="11" spans="1:2" ht="42" customHeight="1" x14ac:dyDescent="0.2">
      <c r="A11" s="298" t="s">
        <v>344</v>
      </c>
      <c r="B11" s="299">
        <v>603994.31000000006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R20" sqref="R20"/>
    </sheetView>
  </sheetViews>
  <sheetFormatPr defaultRowHeight="12.75" x14ac:dyDescent="0.2"/>
  <cols>
    <col min="1" max="1" width="59.42578125" style="1" customWidth="1"/>
    <col min="2" max="2" width="13.5703125" style="199" customWidth="1"/>
    <col min="3" max="16384" width="9.140625" style="1"/>
  </cols>
  <sheetData>
    <row r="1" spans="1:2" s="300" customFormat="1" ht="15.95" customHeight="1" x14ac:dyDescent="0.2">
      <c r="A1" s="302" t="s">
        <v>346</v>
      </c>
      <c r="B1" s="303" t="s">
        <v>337</v>
      </c>
    </row>
    <row r="2" spans="1:2" ht="18" customHeight="1" x14ac:dyDescent="0.2">
      <c r="A2" s="255" t="s">
        <v>55</v>
      </c>
      <c r="B2" s="256">
        <f>484695.3+5673238.96+81590.86+578777.79+1065266.71+37809.07</f>
        <v>7921378.6900000004</v>
      </c>
    </row>
    <row r="3" spans="1:2" ht="18" customHeight="1" x14ac:dyDescent="0.2">
      <c r="A3" s="255" t="s">
        <v>347</v>
      </c>
      <c r="B3" s="256">
        <f>215206.87+37977.69</f>
        <v>253184.56</v>
      </c>
    </row>
    <row r="4" spans="1:2" ht="18" customHeight="1" x14ac:dyDescent="0.2">
      <c r="A4" s="255" t="s">
        <v>86</v>
      </c>
      <c r="B4" s="256">
        <f>53600.7</f>
        <v>53600.7</v>
      </c>
    </row>
    <row r="5" spans="1:2" ht="18" customHeight="1" x14ac:dyDescent="0.2">
      <c r="A5" s="255" t="s">
        <v>90</v>
      </c>
      <c r="B5" s="256">
        <f>43252.13</f>
        <v>43252.13</v>
      </c>
    </row>
    <row r="6" spans="1:2" s="200" customFormat="1" ht="21" customHeight="1" x14ac:dyDescent="0.2">
      <c r="A6" s="253" t="s">
        <v>231</v>
      </c>
      <c r="B6" s="254">
        <f>SUM(B2:B5)</f>
        <v>8271416.0800000001</v>
      </c>
    </row>
    <row r="9" spans="1:2" s="300" customFormat="1" ht="15.95" customHeight="1" x14ac:dyDescent="0.2">
      <c r="A9" s="302" t="s">
        <v>346</v>
      </c>
      <c r="B9" s="303" t="s">
        <v>337</v>
      </c>
    </row>
    <row r="10" spans="1:2" s="293" customFormat="1" ht="30" customHeight="1" x14ac:dyDescent="0.2">
      <c r="A10" s="304" t="s">
        <v>348</v>
      </c>
      <c r="B10" s="305">
        <f>1343901.08-(3376+2376+14878.8)</f>
        <v>1323270.28</v>
      </c>
    </row>
    <row r="11" spans="1:2" s="293" customFormat="1" ht="30" customHeight="1" x14ac:dyDescent="0.2">
      <c r="A11" s="304" t="s">
        <v>349</v>
      </c>
      <c r="B11" s="305">
        <f>29872.44</f>
        <v>29872.44</v>
      </c>
    </row>
    <row r="12" spans="1:2" s="293" customFormat="1" ht="30" customHeight="1" x14ac:dyDescent="0.2">
      <c r="A12" s="306" t="s">
        <v>350</v>
      </c>
      <c r="B12" s="305">
        <f>3376+2376+14878.8</f>
        <v>20630.8</v>
      </c>
    </row>
    <row r="13" spans="1:2" s="200" customFormat="1" ht="21" customHeight="1" x14ac:dyDescent="0.2">
      <c r="A13" s="253" t="s">
        <v>231</v>
      </c>
      <c r="B13" s="254">
        <f>SUM(B10:B12)</f>
        <v>1373773.52</v>
      </c>
    </row>
    <row r="15" spans="1:2" s="200" customFormat="1" x14ac:dyDescent="0.2">
      <c r="B15" s="301">
        <f>B13+B6</f>
        <v>9645189.5999999996</v>
      </c>
    </row>
  </sheetData>
  <sortState ref="A10:B12">
    <sortCondition descending="1" ref="B10:B12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sqref="A1:B6"/>
    </sheetView>
  </sheetViews>
  <sheetFormatPr defaultRowHeight="12.75" x14ac:dyDescent="0.2"/>
  <cols>
    <col min="1" max="1" width="58.7109375" customWidth="1"/>
    <col min="2" max="2" width="16.7109375" customWidth="1"/>
  </cols>
  <sheetData>
    <row r="1" spans="1:2" s="300" customFormat="1" ht="15.95" customHeight="1" x14ac:dyDescent="0.2">
      <c r="A1" s="302" t="s">
        <v>346</v>
      </c>
      <c r="B1" s="303" t="s">
        <v>337</v>
      </c>
    </row>
    <row r="2" spans="1:2" s="1" customFormat="1" ht="18" customHeight="1" x14ac:dyDescent="0.2">
      <c r="A2" s="255" t="s">
        <v>90</v>
      </c>
      <c r="B2" s="256">
        <f>41681717.77+1367729.83+70073.44+4725122.19+3936.03</f>
        <v>47848579.259999998</v>
      </c>
    </row>
    <row r="3" spans="1:2" s="1" customFormat="1" ht="18" customHeight="1" x14ac:dyDescent="0.2">
      <c r="A3" s="255" t="s">
        <v>86</v>
      </c>
      <c r="B3" s="256">
        <f>10111047.22+12729641.16+61596.27+2215542.18+35599.07+329445.27+925271.76+462831.92+892559.56+788.19+1745273.05+187787.75+308945.25+1331998.08+7902.99+160749.03</f>
        <v>31506978.750000004</v>
      </c>
    </row>
    <row r="4" spans="1:2" s="1" customFormat="1" ht="18" customHeight="1" x14ac:dyDescent="0.2">
      <c r="A4" s="255" t="s">
        <v>347</v>
      </c>
      <c r="B4" s="256">
        <f>767399.22+340490.66+233969.64</f>
        <v>1341859.52</v>
      </c>
    </row>
    <row r="5" spans="1:2" s="1" customFormat="1" ht="18" customHeight="1" x14ac:dyDescent="0.2">
      <c r="A5" s="255" t="s">
        <v>55</v>
      </c>
      <c r="B5" s="256">
        <f>113900+3400+35700+3973.86+20100+600+2570.61+6240+23.4</f>
        <v>186507.86999999997</v>
      </c>
    </row>
    <row r="6" spans="1:2" s="200" customFormat="1" ht="21" customHeight="1" x14ac:dyDescent="0.2">
      <c r="A6" s="253" t="s">
        <v>231</v>
      </c>
      <c r="B6" s="254">
        <f>SUM(B2:B5)</f>
        <v>80883925.400000006</v>
      </c>
    </row>
    <row r="7" spans="1:2" s="1" customFormat="1" x14ac:dyDescent="0.2">
      <c r="B7" s="199"/>
    </row>
  </sheetData>
  <sortState ref="A2:B5">
    <sortCondition descending="1" ref="B2:B5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B21" sqref="B21"/>
    </sheetView>
  </sheetViews>
  <sheetFormatPr defaultRowHeight="12.75" x14ac:dyDescent="0.2"/>
  <cols>
    <col min="1" max="1" width="45.7109375" style="293" customWidth="1"/>
    <col min="2" max="2" width="14.7109375" style="293" customWidth="1"/>
    <col min="3" max="16384" width="9.140625" style="293"/>
  </cols>
  <sheetData>
    <row r="1" spans="1:2" ht="18" customHeight="1" x14ac:dyDescent="0.2">
      <c r="A1" s="307" t="s">
        <v>346</v>
      </c>
      <c r="B1" s="307" t="s">
        <v>351</v>
      </c>
    </row>
    <row r="2" spans="1:2" ht="33" customHeight="1" x14ac:dyDescent="0.2">
      <c r="A2" s="308" t="s">
        <v>352</v>
      </c>
      <c r="B2" s="309">
        <f>SUM(B3:B7)</f>
        <v>193249832</v>
      </c>
    </row>
    <row r="3" spans="1:2" ht="18" customHeight="1" x14ac:dyDescent="0.2">
      <c r="A3" s="311" t="s">
        <v>353</v>
      </c>
      <c r="B3" s="310">
        <v>11412776</v>
      </c>
    </row>
    <row r="4" spans="1:2" ht="18" customHeight="1" x14ac:dyDescent="0.2">
      <c r="A4" s="311" t="s">
        <v>354</v>
      </c>
      <c r="B4" s="310">
        <v>121828246</v>
      </c>
    </row>
    <row r="5" spans="1:2" ht="18" customHeight="1" x14ac:dyDescent="0.2">
      <c r="A5" s="311" t="s">
        <v>355</v>
      </c>
      <c r="B5" s="310">
        <v>48204297</v>
      </c>
    </row>
    <row r="6" spans="1:2" ht="18" customHeight="1" x14ac:dyDescent="0.2">
      <c r="A6" s="311" t="s">
        <v>261</v>
      </c>
      <c r="B6" s="310">
        <v>4012207</v>
      </c>
    </row>
    <row r="7" spans="1:2" ht="18" customHeight="1" x14ac:dyDescent="0.2">
      <c r="A7" s="311" t="s">
        <v>356</v>
      </c>
      <c r="B7" s="310">
        <v>7792306</v>
      </c>
    </row>
    <row r="11" spans="1:2" ht="18" customHeight="1" x14ac:dyDescent="0.2">
      <c r="A11" s="307" t="s">
        <v>346</v>
      </c>
      <c r="B11" s="307" t="s">
        <v>351</v>
      </c>
    </row>
    <row r="12" spans="1:2" ht="21" customHeight="1" x14ac:dyDescent="0.2">
      <c r="A12" s="308" t="s">
        <v>254</v>
      </c>
      <c r="B12" s="309">
        <f>SUM(B13:B15)</f>
        <v>10735396</v>
      </c>
    </row>
    <row r="13" spans="1:2" ht="18" customHeight="1" x14ac:dyDescent="0.2">
      <c r="A13" s="311" t="s">
        <v>353</v>
      </c>
      <c r="B13" s="310">
        <v>495142</v>
      </c>
    </row>
    <row r="14" spans="1:2" ht="18" customHeight="1" x14ac:dyDescent="0.2">
      <c r="A14" s="311" t="s">
        <v>354</v>
      </c>
      <c r="B14" s="310">
        <v>9149758</v>
      </c>
    </row>
    <row r="15" spans="1:2" ht="18" customHeight="1" x14ac:dyDescent="0.2">
      <c r="A15" s="311" t="s">
        <v>261</v>
      </c>
      <c r="B15" s="310">
        <v>1090496</v>
      </c>
    </row>
    <row r="18" spans="1:2" ht="18" customHeight="1" x14ac:dyDescent="0.2">
      <c r="A18" s="307" t="s">
        <v>346</v>
      </c>
      <c r="B18" s="307" t="s">
        <v>351</v>
      </c>
    </row>
    <row r="19" spans="1:2" ht="21" customHeight="1" x14ac:dyDescent="0.2">
      <c r="A19" s="308" t="s">
        <v>244</v>
      </c>
      <c r="B19" s="309">
        <f>SUM(B20:B24)</f>
        <v>182514436</v>
      </c>
    </row>
    <row r="20" spans="1:2" ht="18" customHeight="1" x14ac:dyDescent="0.2">
      <c r="A20" s="311" t="s">
        <v>353</v>
      </c>
      <c r="B20" s="310">
        <v>10917634</v>
      </c>
    </row>
    <row r="21" spans="1:2" ht="18" customHeight="1" x14ac:dyDescent="0.2">
      <c r="A21" s="311" t="s">
        <v>354</v>
      </c>
      <c r="B21" s="310">
        <v>112678488</v>
      </c>
    </row>
    <row r="22" spans="1:2" ht="18" customHeight="1" x14ac:dyDescent="0.2">
      <c r="A22" s="311" t="s">
        <v>355</v>
      </c>
      <c r="B22" s="310">
        <v>48204297</v>
      </c>
    </row>
    <row r="23" spans="1:2" ht="18" customHeight="1" x14ac:dyDescent="0.2">
      <c r="A23" s="311" t="s">
        <v>261</v>
      </c>
      <c r="B23" s="310">
        <v>2921711</v>
      </c>
    </row>
    <row r="24" spans="1:2" ht="18" customHeight="1" x14ac:dyDescent="0.2">
      <c r="A24" s="311" t="s">
        <v>356</v>
      </c>
      <c r="B24" s="310">
        <v>7792306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="130" zoomScaleNormal="130" workbookViewId="0">
      <selection activeCell="B3" sqref="B3:I5"/>
    </sheetView>
  </sheetViews>
  <sheetFormatPr defaultRowHeight="12.75" x14ac:dyDescent="0.2"/>
  <cols>
    <col min="1" max="1" width="11.85546875" style="1" customWidth="1"/>
    <col min="2" max="2" width="6.85546875" style="1" customWidth="1"/>
    <col min="3" max="3" width="10.7109375" style="1" customWidth="1"/>
    <col min="4" max="4" width="9.7109375" style="1" customWidth="1"/>
    <col min="5" max="5" width="10.7109375" style="1" customWidth="1"/>
    <col min="6" max="6" width="10.28515625" style="1" customWidth="1"/>
    <col min="7" max="9" width="9.7109375" style="1" customWidth="1"/>
    <col min="10" max="16384" width="9.140625" style="1"/>
  </cols>
  <sheetData>
    <row r="1" spans="1:9" x14ac:dyDescent="0.2">
      <c r="A1" s="462"/>
      <c r="B1" s="467" t="s">
        <v>249</v>
      </c>
      <c r="C1" s="468" t="s">
        <v>242</v>
      </c>
      <c r="D1" s="461" t="s">
        <v>241</v>
      </c>
      <c r="E1" s="462"/>
      <c r="F1" s="462"/>
      <c r="G1" s="462"/>
      <c r="H1" s="462"/>
      <c r="I1" s="462"/>
    </row>
    <row r="2" spans="1:9" ht="21.75" customHeight="1" x14ac:dyDescent="0.2">
      <c r="A2" s="462"/>
      <c r="B2" s="467"/>
      <c r="C2" s="467"/>
      <c r="D2" s="280" t="s">
        <v>232</v>
      </c>
      <c r="E2" s="280" t="s">
        <v>233</v>
      </c>
      <c r="F2" s="280" t="s">
        <v>234</v>
      </c>
      <c r="G2" s="280" t="s">
        <v>237</v>
      </c>
      <c r="H2" s="280" t="s">
        <v>248</v>
      </c>
      <c r="I2" s="280" t="s">
        <v>247</v>
      </c>
    </row>
    <row r="3" spans="1:9" ht="29.25" x14ac:dyDescent="0.2">
      <c r="A3" s="399" t="s">
        <v>254</v>
      </c>
      <c r="B3" s="400">
        <v>55</v>
      </c>
      <c r="C3" s="401">
        <f>SUM(D3:I3)</f>
        <v>13449404.829999998</v>
      </c>
      <c r="D3" s="401">
        <f>Arkusz2!D2</f>
        <v>389061.61</v>
      </c>
      <c r="E3" s="401">
        <f>Arkusz2!E2</f>
        <v>11707749.079999998</v>
      </c>
      <c r="F3" s="401">
        <f>Arkusz2!F2</f>
        <v>0</v>
      </c>
      <c r="G3" s="401">
        <f>Arkusz2!G2</f>
        <v>1345072.71</v>
      </c>
      <c r="H3" s="401">
        <f>Arkusz2!H2</f>
        <v>7521.43</v>
      </c>
      <c r="I3" s="401">
        <f>Arkusz2!I2</f>
        <v>0</v>
      </c>
    </row>
    <row r="4" spans="1:9" ht="29.25" x14ac:dyDescent="0.2">
      <c r="A4" s="399" t="s">
        <v>244</v>
      </c>
      <c r="B4" s="400">
        <v>31</v>
      </c>
      <c r="C4" s="401">
        <f>SUM(D4:I4)</f>
        <v>125997528.25999999</v>
      </c>
      <c r="D4" s="401">
        <f>Arkusz2!D12</f>
        <v>14672333.460000001</v>
      </c>
      <c r="E4" s="401">
        <f>Arkusz2!E12</f>
        <v>71413836.729999989</v>
      </c>
      <c r="F4" s="401">
        <f>Arkusz2!F12</f>
        <v>32871257.280000001</v>
      </c>
      <c r="G4" s="401">
        <f>Arkusz2!G12</f>
        <v>5723.22</v>
      </c>
      <c r="H4" s="401">
        <f>Arkusz2!H12</f>
        <v>7034377.5699999984</v>
      </c>
      <c r="I4" s="401">
        <f>Arkusz2!I12</f>
        <v>0</v>
      </c>
    </row>
    <row r="5" spans="1:9" ht="15.75" customHeight="1" x14ac:dyDescent="0.2">
      <c r="A5" s="402" t="s">
        <v>357</v>
      </c>
      <c r="B5" s="403">
        <f>SUM(B3:B4)</f>
        <v>86</v>
      </c>
      <c r="C5" s="404">
        <f>SUM(C3:C4)</f>
        <v>139446933.08999997</v>
      </c>
      <c r="D5" s="404">
        <f t="shared" ref="D5:I5" si="0">SUM(D3:D4)</f>
        <v>15061395.07</v>
      </c>
      <c r="E5" s="404">
        <f t="shared" si="0"/>
        <v>83121585.809999987</v>
      </c>
      <c r="F5" s="404">
        <f t="shared" si="0"/>
        <v>32871257.280000001</v>
      </c>
      <c r="G5" s="404">
        <f t="shared" si="0"/>
        <v>1350795.93</v>
      </c>
      <c r="H5" s="404">
        <f t="shared" si="0"/>
        <v>7041898.9999999981</v>
      </c>
      <c r="I5" s="404">
        <f t="shared" si="0"/>
        <v>0</v>
      </c>
    </row>
  </sheetData>
  <mergeCells count="4">
    <mergeCell ref="A1:A2"/>
    <mergeCell ref="B1:B2"/>
    <mergeCell ref="C1:C2"/>
    <mergeCell ref="D1:I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activeCell="F30" sqref="F30"/>
    </sheetView>
  </sheetViews>
  <sheetFormatPr defaultRowHeight="12.75" outlineLevelCol="1" x14ac:dyDescent="0.2"/>
  <cols>
    <col min="1" max="1" width="16.42578125" style="245" customWidth="1"/>
    <col min="2" max="2" width="20.28515625" style="245" customWidth="1"/>
    <col min="5" max="5" width="12.7109375" style="245" customWidth="1" outlineLevel="1"/>
    <col min="6" max="7" width="12.7109375" style="245" customWidth="1"/>
    <col min="8" max="8" width="12.7109375" style="245" customWidth="1" outlineLevel="1"/>
    <col min="9" max="10" width="12.7109375" style="245" customWidth="1"/>
    <col min="11" max="11" width="13.85546875" style="245" customWidth="1" outlineLevel="1"/>
    <col min="12" max="13" width="13.85546875" style="245" customWidth="1"/>
    <col min="14" max="14" width="13.7109375" style="245" customWidth="1" outlineLevel="1"/>
    <col min="15" max="15" width="13.7109375" style="245" customWidth="1"/>
    <col min="16" max="16" width="13.7109375" customWidth="1"/>
  </cols>
  <sheetData>
    <row r="1" spans="1:16" x14ac:dyDescent="0.2">
      <c r="A1" s="245">
        <f>'przedsiewziecia UE'!L21+'przedsiewziecia UE'!L22+'przedsiewziecia UE'!L23+'przedsiewziecia UE'!L24+'[1]Załącznik 9'!$G$18+'[1]Załącznik 9'!$G$19+'[1]Załącznik 9'!$G$20</f>
        <v>18000635</v>
      </c>
      <c r="B1" s="245">
        <f>'przedsiewziecia UE'!M21+'przedsiewziecia UE'!M22+'przedsiewziecia UE'!M23+'przedsiewziecia UE'!M24+'[1]Załącznik 9'!$H$18+'[1]Załącznik 9'!$H$19+'[1]Załącznik 9'!$H$20</f>
        <v>13441883.399999999</v>
      </c>
    </row>
    <row r="3" spans="1:16" x14ac:dyDescent="0.2">
      <c r="A3" s="245">
        <v>18001846</v>
      </c>
      <c r="B3" s="245">
        <v>13443059.4</v>
      </c>
    </row>
    <row r="5" spans="1:16" x14ac:dyDescent="0.2">
      <c r="A5" s="245">
        <f>A1-A3</f>
        <v>-1211</v>
      </c>
      <c r="B5" s="245">
        <f>B1-B3</f>
        <v>-1176.0000000018626</v>
      </c>
    </row>
    <row r="10" spans="1:16" x14ac:dyDescent="0.2">
      <c r="A10" s="245">
        <f>'przedsiewziecia UE'!L696+'przedsiewziecia UE'!L697+'przedsiewziecia UE'!L698+'przedsiewziecia UE'!L699+'[1]Załącznik 9'!$G$46+'[1]Załącznik 9'!$G$47+'[1]Załącznik 9'!$G$48</f>
        <v>127700139</v>
      </c>
      <c r="B10" s="245">
        <f>'przedsiewziecia UE'!M696+'przedsiewziecia UE'!M697+'przedsiewziecia UE'!M698+'przedsiewziecia UE'!M699+'[1]Załącznik 9'!$H$46+'[1]Załącznik 9'!$H$47+'[1]Załącznik 9'!$H$48</f>
        <v>118963150.69</v>
      </c>
    </row>
    <row r="12" spans="1:16" x14ac:dyDescent="0.2">
      <c r="A12" s="245">
        <v>127700139</v>
      </c>
      <c r="B12" s="245">
        <v>118963150.69</v>
      </c>
    </row>
    <row r="14" spans="1:16" x14ac:dyDescent="0.2">
      <c r="A14" s="245">
        <f>A10-A12</f>
        <v>0</v>
      </c>
      <c r="B14" s="245">
        <f>B10-B12</f>
        <v>0</v>
      </c>
    </row>
    <row r="15" spans="1:16" x14ac:dyDescent="0.2">
      <c r="E15" s="246" t="s">
        <v>223</v>
      </c>
      <c r="F15" s="246"/>
      <c r="G15" s="246"/>
      <c r="K15" s="246" t="s">
        <v>228</v>
      </c>
      <c r="L15" s="246"/>
      <c r="M15" s="246"/>
    </row>
    <row r="16" spans="1:16" x14ac:dyDescent="0.2">
      <c r="E16" s="246" t="s">
        <v>654</v>
      </c>
      <c r="F16" s="246" t="s">
        <v>656</v>
      </c>
      <c r="G16" s="246" t="s">
        <v>658</v>
      </c>
      <c r="H16" s="246" t="s">
        <v>655</v>
      </c>
      <c r="I16" s="246" t="s">
        <v>657</v>
      </c>
      <c r="J16" s="246" t="s">
        <v>658</v>
      </c>
      <c r="K16" s="246" t="s">
        <v>654</v>
      </c>
      <c r="L16" s="246" t="s">
        <v>656</v>
      </c>
      <c r="M16" s="246" t="s">
        <v>658</v>
      </c>
      <c r="N16" s="246" t="s">
        <v>655</v>
      </c>
      <c r="O16" s="246" t="s">
        <v>657</v>
      </c>
      <c r="P16" s="246" t="s">
        <v>658</v>
      </c>
    </row>
    <row r="18" spans="3:16" x14ac:dyDescent="0.2">
      <c r="C18">
        <v>150</v>
      </c>
      <c r="D18">
        <v>15011</v>
      </c>
      <c r="E18" s="245">
        <v>344080</v>
      </c>
      <c r="F18" s="245">
        <f>'przedsiewziecia UE'!L677+'przedsiewziecia UE'!L81+'przedsiewziecia UE'!L101</f>
        <v>344080</v>
      </c>
      <c r="G18" s="245">
        <f>E18-F18</f>
        <v>0</v>
      </c>
      <c r="H18" s="245">
        <v>293184.94</v>
      </c>
      <c r="I18" s="245">
        <f>'przedsiewziecia UE'!M677+'przedsiewziecia UE'!M81+'przedsiewziecia UE'!M101</f>
        <v>293184.94</v>
      </c>
      <c r="J18" s="245">
        <f>H18-I18</f>
        <v>0</v>
      </c>
      <c r="M18" s="245">
        <f>K18-L18</f>
        <v>0</v>
      </c>
      <c r="P18" s="245">
        <f>N18-O18</f>
        <v>0</v>
      </c>
    </row>
    <row r="19" spans="3:16" x14ac:dyDescent="0.2">
      <c r="D19">
        <v>15013</v>
      </c>
      <c r="E19" s="245">
        <v>1368150</v>
      </c>
      <c r="F19" s="245">
        <f>'przedsiewziecia UE'!L58+'przedsiewziecia UE'!L71+'przedsiewziecia UE'!L90+'przedsiewziecia UE'!L686</f>
        <v>1368150</v>
      </c>
      <c r="G19" s="245">
        <f t="shared" ref="G19:G38" si="0">E19-F19</f>
        <v>0</v>
      </c>
      <c r="H19" s="245">
        <v>890661.09</v>
      </c>
      <c r="I19" s="245">
        <f>'przedsiewziecia UE'!M58+'przedsiewziecia UE'!M71+'przedsiewziecia UE'!M90+'przedsiewziecia UE'!M686</f>
        <v>890661.09</v>
      </c>
      <c r="J19" s="245">
        <f t="shared" ref="J19:J38" si="1">H19-I19</f>
        <v>0</v>
      </c>
      <c r="K19" s="245">
        <v>135764</v>
      </c>
      <c r="L19" s="245">
        <f>'[1]Załącznik 9'!$G$59+'[1]Załącznik 9'!$G$73</f>
        <v>135764</v>
      </c>
      <c r="M19" s="245">
        <f t="shared" ref="M19:M38" si="2">K19-L19</f>
        <v>0</v>
      </c>
      <c r="N19" s="245">
        <v>31946.79</v>
      </c>
      <c r="O19" s="245">
        <f>'[1]Załącznik 9'!$H$59+'[1]Załącznik 9'!$H$73</f>
        <v>31946.790000000005</v>
      </c>
      <c r="P19" s="245">
        <f t="shared" ref="P19:P38" si="3">N19-O19</f>
        <v>0</v>
      </c>
    </row>
    <row r="20" spans="3:16" x14ac:dyDescent="0.2">
      <c r="C20">
        <v>600</v>
      </c>
      <c r="D20">
        <v>60004</v>
      </c>
      <c r="G20" s="245">
        <f t="shared" si="0"/>
        <v>0</v>
      </c>
      <c r="J20" s="245">
        <f t="shared" si="1"/>
        <v>0</v>
      </c>
      <c r="K20" s="245">
        <v>5030700</v>
      </c>
      <c r="L20" s="245">
        <f>'przedsiewziecia UE'!L994</f>
        <v>5030700</v>
      </c>
      <c r="M20" s="245">
        <f t="shared" si="2"/>
        <v>0</v>
      </c>
      <c r="N20" s="245">
        <v>5030700</v>
      </c>
      <c r="O20" s="245">
        <f>'przedsiewziecia UE'!M994</f>
        <v>5030700</v>
      </c>
      <c r="P20" s="245">
        <f t="shared" si="3"/>
        <v>0</v>
      </c>
    </row>
    <row r="21" spans="3:16" x14ac:dyDescent="0.2">
      <c r="D21">
        <v>60015</v>
      </c>
      <c r="G21" s="245">
        <f t="shared" si="0"/>
        <v>0</v>
      </c>
      <c r="J21" s="245">
        <f t="shared" si="1"/>
        <v>0</v>
      </c>
      <c r="K21" s="245">
        <v>87929363</v>
      </c>
      <c r="L21" s="245">
        <f>'przedsiewziecia UE'!L812+'przedsiewziecia UE'!L813+'przedsiewziecia UE'!L829+'przedsiewziecia UE'!L858+'przedsiewziecia UE'!L859+'przedsiewziecia UE'!L867+'przedsiewziecia UE'!L868+'przedsiewziecia UE'!L876+'przedsiewziecia UE'!L877+'przedsiewziecia UE'!L886+'przedsiewziecia UE'!L887+'przedsiewziecia UE'!L888+'przedsiewziecia UE'!L896+'przedsiewziecia UE'!L897</f>
        <v>87929363</v>
      </c>
      <c r="M21" s="245">
        <f t="shared" si="2"/>
        <v>0</v>
      </c>
      <c r="N21" s="245">
        <v>84439106.390000001</v>
      </c>
      <c r="O21" s="245">
        <f>'przedsiewziecia UE'!M812+'przedsiewziecia UE'!M813+'przedsiewziecia UE'!M829+'przedsiewziecia UE'!M858+'przedsiewziecia UE'!M859+'przedsiewziecia UE'!M867+'przedsiewziecia UE'!M868+'przedsiewziecia UE'!M876+'przedsiewziecia UE'!M877+'przedsiewziecia UE'!M886+'przedsiewziecia UE'!M887+'przedsiewziecia UE'!M888+'przedsiewziecia UE'!M896+'przedsiewziecia UE'!M897</f>
        <v>84439106.389999986</v>
      </c>
      <c r="P21" s="245">
        <f t="shared" si="3"/>
        <v>0</v>
      </c>
    </row>
    <row r="22" spans="3:16" x14ac:dyDescent="0.2">
      <c r="D22">
        <v>60016</v>
      </c>
      <c r="G22" s="245">
        <f t="shared" si="0"/>
        <v>0</v>
      </c>
      <c r="J22" s="245">
        <f t="shared" si="1"/>
        <v>0</v>
      </c>
      <c r="K22" s="245">
        <v>62054</v>
      </c>
      <c r="L22" s="245">
        <f>'przedsiewziecia UE'!L848</f>
        <v>62054</v>
      </c>
      <c r="M22" s="245">
        <f t="shared" si="2"/>
        <v>0</v>
      </c>
      <c r="N22" s="245">
        <v>0</v>
      </c>
      <c r="O22" s="245">
        <f>'przedsiewziecia UE'!M848</f>
        <v>0</v>
      </c>
      <c r="P22" s="245">
        <f t="shared" si="3"/>
        <v>0</v>
      </c>
    </row>
    <row r="23" spans="3:16" x14ac:dyDescent="0.2">
      <c r="D23">
        <v>60095</v>
      </c>
      <c r="E23" s="245">
        <v>309310</v>
      </c>
      <c r="F23" s="245">
        <f>'przedsiewziecia UE'!L615+'przedsiewziecia UE'!L637+'przedsiewziecia UE'!L651+'przedsiewziecia UE'!L664</f>
        <v>309310</v>
      </c>
      <c r="G23" s="245">
        <f t="shared" si="0"/>
        <v>0</v>
      </c>
      <c r="H23" s="245">
        <v>6642</v>
      </c>
      <c r="I23" s="245">
        <f>'przedsiewziecia UE'!M615+'przedsiewziecia UE'!M637+'przedsiewziecia UE'!M651+'przedsiewziecia UE'!M664</f>
        <v>6642</v>
      </c>
      <c r="J23" s="245">
        <f t="shared" si="1"/>
        <v>0</v>
      </c>
      <c r="M23" s="245">
        <f t="shared" si="2"/>
        <v>0</v>
      </c>
      <c r="P23" s="245">
        <f t="shared" si="3"/>
        <v>0</v>
      </c>
    </row>
    <row r="24" spans="3:16" x14ac:dyDescent="0.2">
      <c r="C24">
        <v>710</v>
      </c>
      <c r="D24">
        <v>71095</v>
      </c>
      <c r="E24" s="245">
        <v>113480</v>
      </c>
      <c r="F24" s="245">
        <f>'przedsiewziecia UE'!L49</f>
        <v>113480</v>
      </c>
      <c r="G24" s="245">
        <f t="shared" si="0"/>
        <v>0</v>
      </c>
      <c r="H24" s="245">
        <v>63053.67</v>
      </c>
      <c r="I24" s="245">
        <f>'przedsiewziecia UE'!M49</f>
        <v>63053.67</v>
      </c>
      <c r="J24" s="245">
        <f t="shared" si="1"/>
        <v>0</v>
      </c>
      <c r="K24" s="245">
        <v>5855854</v>
      </c>
      <c r="L24" s="245">
        <f>'przedsiewziecia UE'!L781+'przedsiewziecia UE'!L791+'przedsiewziecia UE'!L764+'[1]Załącznik 9'!$G$66</f>
        <v>5855854</v>
      </c>
      <c r="M24" s="245">
        <f t="shared" si="2"/>
        <v>0</v>
      </c>
      <c r="N24" s="245">
        <v>2558633.81</v>
      </c>
      <c r="O24" s="245">
        <f>'przedsiewziecia UE'!M781+'przedsiewziecia UE'!M791+'przedsiewziecia UE'!M764+'[1]Załącznik 9'!$H$66</f>
        <v>2558633.8099999996</v>
      </c>
      <c r="P24" s="245">
        <f t="shared" si="3"/>
        <v>0</v>
      </c>
    </row>
    <row r="25" spans="3:16" x14ac:dyDescent="0.2">
      <c r="C25">
        <v>720</v>
      </c>
      <c r="D25">
        <v>72095</v>
      </c>
      <c r="G25" s="245">
        <f t="shared" si="0"/>
        <v>0</v>
      </c>
      <c r="J25" s="245">
        <f t="shared" si="1"/>
        <v>0</v>
      </c>
      <c r="K25" s="245">
        <v>454978</v>
      </c>
      <c r="L25" s="245">
        <f>'przedsiewziecia UE'!L726</f>
        <v>454978</v>
      </c>
      <c r="M25" s="245">
        <f t="shared" si="2"/>
        <v>0</v>
      </c>
      <c r="N25" s="245">
        <v>454977</v>
      </c>
      <c r="O25" s="245">
        <f>'przedsiewziecia UE'!M726</f>
        <v>454977</v>
      </c>
      <c r="P25" s="245">
        <f t="shared" si="3"/>
        <v>0</v>
      </c>
    </row>
    <row r="26" spans="3:16" x14ac:dyDescent="0.2">
      <c r="C26">
        <v>750</v>
      </c>
      <c r="D26">
        <v>75023</v>
      </c>
      <c r="G26" s="245">
        <f t="shared" si="0"/>
        <v>0</v>
      </c>
      <c r="J26" s="245">
        <f t="shared" si="1"/>
        <v>0</v>
      </c>
      <c r="K26" s="245">
        <v>22711229</v>
      </c>
      <c r="L26" s="245">
        <f>'przedsiewziecia UE'!L714+'przedsiewziecia UE'!L715+'przedsiewziecia UE'!L716</f>
        <v>22711229</v>
      </c>
      <c r="M26" s="245">
        <f t="shared" si="2"/>
        <v>0</v>
      </c>
      <c r="N26" s="245">
        <v>20953938.050000001</v>
      </c>
      <c r="O26" s="245">
        <f>'przedsiewziecia UE'!M714+'przedsiewziecia UE'!M715+'przedsiewziecia UE'!M716</f>
        <v>20953938.049999997</v>
      </c>
      <c r="P26" s="245">
        <f t="shared" si="3"/>
        <v>0</v>
      </c>
    </row>
    <row r="27" spans="3:16" x14ac:dyDescent="0.2">
      <c r="D27">
        <v>75075</v>
      </c>
      <c r="E27" s="245">
        <v>1264618</v>
      </c>
      <c r="F27" s="245">
        <f>'przedsiewziecia UE'!L626+'przedsiewziecia UE'!L38</f>
        <v>1264618</v>
      </c>
      <c r="G27" s="245">
        <f t="shared" si="0"/>
        <v>0</v>
      </c>
      <c r="H27" s="245">
        <v>844157.29</v>
      </c>
      <c r="I27" s="245">
        <f>'przedsiewziecia UE'!M626+'przedsiewziecia UE'!M38</f>
        <v>844157.29</v>
      </c>
      <c r="J27" s="245">
        <f t="shared" si="1"/>
        <v>0</v>
      </c>
      <c r="M27" s="245">
        <f t="shared" si="2"/>
        <v>0</v>
      </c>
      <c r="P27" s="245">
        <f t="shared" si="3"/>
        <v>0</v>
      </c>
    </row>
    <row r="28" spans="3:16" x14ac:dyDescent="0.2">
      <c r="C28">
        <v>801</v>
      </c>
      <c r="D28">
        <v>80101</v>
      </c>
      <c r="E28" s="245">
        <v>250831</v>
      </c>
      <c r="F28" s="245">
        <f>'przedsiewziecia UE'!L467+'przedsiewziecia UE'!L479+'przedsiewziecia UE'!L488+'przedsiewziecia UE'!L524+'przedsiewziecia UE'!L533</f>
        <v>250831</v>
      </c>
      <c r="G28" s="245">
        <f t="shared" si="0"/>
        <v>0</v>
      </c>
      <c r="H28" s="245">
        <v>118123.22</v>
      </c>
      <c r="I28" s="245">
        <f>'przedsiewziecia UE'!M467+'przedsiewziecia UE'!M479+'przedsiewziecia UE'!M488+'przedsiewziecia UE'!M524+'przedsiewziecia UE'!M533</f>
        <v>118123.22</v>
      </c>
      <c r="J28" s="245">
        <f t="shared" si="1"/>
        <v>0</v>
      </c>
      <c r="M28" s="245">
        <f t="shared" si="2"/>
        <v>0</v>
      </c>
      <c r="P28" s="245">
        <f t="shared" si="3"/>
        <v>0</v>
      </c>
    </row>
    <row r="29" spans="3:16" x14ac:dyDescent="0.2">
      <c r="D29">
        <v>80110</v>
      </c>
      <c r="E29" s="245">
        <v>213879</v>
      </c>
      <c r="F29" s="245">
        <f>'przedsiewziecia UE'!L431+'przedsiewziecia UE'!L449+'przedsiewziecia UE'!L497+'przedsiewziecia UE'!L506</f>
        <v>213879</v>
      </c>
      <c r="G29" s="245">
        <f t="shared" si="0"/>
        <v>0</v>
      </c>
      <c r="H29" s="245">
        <v>112730.07</v>
      </c>
      <c r="I29" s="245">
        <f>'przedsiewziecia UE'!M431+'przedsiewziecia UE'!M449+'przedsiewziecia UE'!M497+'przedsiewziecia UE'!M506</f>
        <v>112730.07</v>
      </c>
      <c r="J29" s="245">
        <f t="shared" si="1"/>
        <v>0</v>
      </c>
      <c r="M29" s="245">
        <f t="shared" si="2"/>
        <v>0</v>
      </c>
      <c r="P29" s="245">
        <f t="shared" si="3"/>
        <v>0</v>
      </c>
    </row>
    <row r="30" spans="3:16" x14ac:dyDescent="0.2">
      <c r="D30">
        <v>80120</v>
      </c>
      <c r="E30" s="245">
        <v>91135</v>
      </c>
      <c r="F30" s="245">
        <f>'przedsiewziecia UE'!L440+'przedsiewziecia UE'!L458</f>
        <v>89924</v>
      </c>
      <c r="G30" s="245">
        <f t="shared" si="0"/>
        <v>1211</v>
      </c>
      <c r="H30" s="245">
        <v>85704.79</v>
      </c>
      <c r="I30" s="245">
        <f>'przedsiewziecia UE'!M440+'przedsiewziecia UE'!M458</f>
        <v>84528.79</v>
      </c>
      <c r="J30" s="245">
        <f t="shared" si="1"/>
        <v>1176</v>
      </c>
      <c r="M30" s="245">
        <f t="shared" si="2"/>
        <v>0</v>
      </c>
      <c r="P30" s="245">
        <f t="shared" si="3"/>
        <v>0</v>
      </c>
    </row>
    <row r="31" spans="3:16" x14ac:dyDescent="0.2">
      <c r="D31">
        <v>80130</v>
      </c>
      <c r="E31" s="245">
        <v>69472</v>
      </c>
      <c r="F31" s="245">
        <f>'przedsiewziecia UE'!L515+'[1]Załącznik 9'!$G$31</f>
        <v>69472</v>
      </c>
      <c r="G31" s="245">
        <f t="shared" si="0"/>
        <v>0</v>
      </c>
      <c r="H31" s="245">
        <v>42933.64</v>
      </c>
      <c r="I31" s="245">
        <f>'przedsiewziecia UE'!M515+'[1]Załącznik 9'!$H$31</f>
        <v>42933.64</v>
      </c>
      <c r="J31" s="245">
        <f t="shared" si="1"/>
        <v>0</v>
      </c>
      <c r="M31" s="245">
        <f t="shared" si="2"/>
        <v>0</v>
      </c>
      <c r="P31" s="245">
        <f t="shared" si="3"/>
        <v>0</v>
      </c>
    </row>
    <row r="32" spans="3:16" x14ac:dyDescent="0.2">
      <c r="C32">
        <v>852</v>
      </c>
      <c r="D32">
        <v>85201</v>
      </c>
      <c r="E32" s="245">
        <v>18466</v>
      </c>
      <c r="F32" s="245">
        <f>'przedsiewziecia UE'!L162+'przedsiewziecia UE'!L220</f>
        <v>18466</v>
      </c>
      <c r="G32" s="245">
        <f t="shared" si="0"/>
        <v>0</v>
      </c>
      <c r="H32" s="245">
        <v>4334.1000000000004</v>
      </c>
      <c r="I32" s="245">
        <f>'przedsiewziecia UE'!M162+'przedsiewziecia UE'!M220</f>
        <v>4334.1000000000004</v>
      </c>
      <c r="J32" s="245">
        <f t="shared" si="1"/>
        <v>0</v>
      </c>
      <c r="K32" s="245">
        <v>221991</v>
      </c>
      <c r="L32" s="245">
        <f>'przedsiewziecia UE'!L1012</f>
        <v>221991</v>
      </c>
      <c r="M32" s="245">
        <f t="shared" si="2"/>
        <v>0</v>
      </c>
      <c r="N32" s="245">
        <v>219240</v>
      </c>
      <c r="O32" s="245">
        <f>'przedsiewziecia UE'!M1012</f>
        <v>219240</v>
      </c>
      <c r="P32" s="245">
        <f t="shared" si="3"/>
        <v>0</v>
      </c>
    </row>
    <row r="33" spans="3:16" x14ac:dyDescent="0.2">
      <c r="D33">
        <v>85202</v>
      </c>
      <c r="E33" s="245">
        <v>42198</v>
      </c>
      <c r="F33" s="245">
        <f>'przedsiewziecia UE'!L233</f>
        <v>42198</v>
      </c>
      <c r="G33" s="245">
        <f t="shared" si="0"/>
        <v>0</v>
      </c>
      <c r="H33" s="245">
        <v>35321.599999999999</v>
      </c>
      <c r="I33" s="245">
        <f>'przedsiewziecia UE'!M233</f>
        <v>35321.599999999999</v>
      </c>
      <c r="J33" s="245">
        <f t="shared" si="1"/>
        <v>0</v>
      </c>
      <c r="K33" s="245">
        <v>166762</v>
      </c>
      <c r="L33" s="245">
        <f>'przedsiewziecia UE'!L1027</f>
        <v>166762</v>
      </c>
      <c r="M33" s="245">
        <f t="shared" si="2"/>
        <v>0</v>
      </c>
      <c r="N33" s="245">
        <v>155108.87</v>
      </c>
      <c r="O33" s="245">
        <f>'przedsiewziecia UE'!M1027</f>
        <v>155108.87</v>
      </c>
      <c r="P33" s="245">
        <f t="shared" si="3"/>
        <v>0</v>
      </c>
    </row>
    <row r="34" spans="3:16" x14ac:dyDescent="0.2">
      <c r="D34">
        <v>85204</v>
      </c>
      <c r="E34" s="245">
        <v>71048</v>
      </c>
      <c r="F34" s="245">
        <f>'przedsiewziecia UE'!L170</f>
        <v>71048</v>
      </c>
      <c r="G34" s="245">
        <f t="shared" si="0"/>
        <v>0</v>
      </c>
      <c r="H34" s="245">
        <v>71006.89</v>
      </c>
      <c r="I34" s="245">
        <f>'przedsiewziecia UE'!M170</f>
        <v>71006.89</v>
      </c>
      <c r="J34" s="245">
        <f t="shared" si="1"/>
        <v>0</v>
      </c>
      <c r="M34" s="245">
        <f t="shared" si="2"/>
        <v>0</v>
      </c>
      <c r="P34" s="245">
        <f t="shared" si="3"/>
        <v>0</v>
      </c>
    </row>
    <row r="35" spans="3:16" x14ac:dyDescent="0.2">
      <c r="D35">
        <v>85214</v>
      </c>
      <c r="E35" s="245">
        <v>44814</v>
      </c>
      <c r="F35" s="245">
        <f>'przedsiewziecia UE'!L177</f>
        <v>44814</v>
      </c>
      <c r="G35" s="245">
        <f t="shared" si="0"/>
        <v>0</v>
      </c>
      <c r="H35" s="245">
        <v>0</v>
      </c>
      <c r="I35" s="245">
        <f>'przedsiewziecia UE'!M177</f>
        <v>0</v>
      </c>
      <c r="J35" s="245">
        <f t="shared" si="1"/>
        <v>0</v>
      </c>
      <c r="M35" s="245">
        <f t="shared" si="2"/>
        <v>0</v>
      </c>
      <c r="P35" s="245">
        <f t="shared" si="3"/>
        <v>0</v>
      </c>
    </row>
    <row r="36" spans="3:16" x14ac:dyDescent="0.2">
      <c r="D36">
        <v>85219</v>
      </c>
      <c r="E36" s="245">
        <v>185339</v>
      </c>
      <c r="F36" s="245">
        <f>'przedsiewziecia UE'!L184</f>
        <v>185339</v>
      </c>
      <c r="G36" s="245">
        <f t="shared" si="0"/>
        <v>0</v>
      </c>
      <c r="H36" s="245">
        <v>181360.91</v>
      </c>
      <c r="I36" s="245">
        <f>'przedsiewziecia UE'!M184</f>
        <v>181360.91</v>
      </c>
      <c r="J36" s="245">
        <f t="shared" si="1"/>
        <v>0</v>
      </c>
      <c r="M36" s="245">
        <f t="shared" si="2"/>
        <v>0</v>
      </c>
      <c r="P36" s="245">
        <f t="shared" si="3"/>
        <v>0</v>
      </c>
    </row>
    <row r="37" spans="3:16" x14ac:dyDescent="0.2">
      <c r="D37">
        <v>85395</v>
      </c>
      <c r="E37" s="245">
        <v>13615026</v>
      </c>
      <c r="F37" s="245">
        <f>'przedsiewziecia UE'!L119+'przedsiewziecia UE'!L146+'przedsiewziecia UE'!L148+'przedsiewziecia UE'!L192+'przedsiewziecia UE'!L194+'przedsiewziecia UE'!L199+'przedsiewziecia UE'!L209+'przedsiewziecia UE'!L255+'przedsiewziecia UE'!L264+'przedsiewziecia UE'!L275+'przedsiewziecia UE'!L284+'przedsiewziecia UE'!L293+'przedsiewziecia UE'!L304+'przedsiewziecia UE'!L314+'przedsiewziecia UE'!L323+'przedsiewziecia UE'!L341+'przedsiewziecia UE'!L354+'przedsiewziecia UE'!L366+'przedsiewziecia UE'!L377+'przedsiewziecia UE'!L386+'przedsiewziecia UE'!L395+'przedsiewziecia UE'!L404+'przedsiewziecia UE'!L413+'przedsiewziecia UE'!L422+'przedsiewziecia UE'!L544+'przedsiewziecia UE'!L546+'przedsiewziecia UE'!L567+'przedsiewziecia UE'!L569+'przedsiewziecia UE'!L576+'przedsiewziecia UE'!L578+'przedsiewziecia UE'!L599+'przedsiewziecia UE'!L601</f>
        <v>13615026</v>
      </c>
      <c r="G37" s="245">
        <f t="shared" si="0"/>
        <v>0</v>
      </c>
      <c r="H37" s="245">
        <v>10693845.189999999</v>
      </c>
      <c r="I37" s="245">
        <f>'przedsiewziecia UE'!M119+'przedsiewziecia UE'!M146+'przedsiewziecia UE'!M148+'przedsiewziecia UE'!M192+'przedsiewziecia UE'!M194+'przedsiewziecia UE'!M199+'przedsiewziecia UE'!M209+'przedsiewziecia UE'!M255+'przedsiewziecia UE'!M264+'przedsiewziecia UE'!M275+'przedsiewziecia UE'!M284+'przedsiewziecia UE'!M293+'przedsiewziecia UE'!M304+'przedsiewziecia UE'!M314+'przedsiewziecia UE'!M323+'przedsiewziecia UE'!M341+'przedsiewziecia UE'!M354+'przedsiewziecia UE'!M366+'przedsiewziecia UE'!M377+'przedsiewziecia UE'!M386+'przedsiewziecia UE'!M395+'przedsiewziecia UE'!M404+'przedsiewziecia UE'!M413+'przedsiewziecia UE'!M422+'przedsiewziecia UE'!M544+'przedsiewziecia UE'!M546+'przedsiewziecia UE'!M567+'przedsiewziecia UE'!M569+'przedsiewziecia UE'!M576+'przedsiewziecia UE'!M578+'przedsiewziecia UE'!M599+'przedsiewziecia UE'!M601</f>
        <v>10693845.189999999</v>
      </c>
      <c r="J37" s="245">
        <f t="shared" si="1"/>
        <v>0</v>
      </c>
      <c r="K37" s="245">
        <v>41403</v>
      </c>
      <c r="L37" s="245">
        <f>'[1]Załącznik 9'!$G$95+'[1]Załącznik 9'!$G$101+'[1]Załącznik 9'!$G$87</f>
        <v>41403</v>
      </c>
      <c r="M37" s="245">
        <f t="shared" si="2"/>
        <v>0</v>
      </c>
      <c r="N37" s="245">
        <v>30645.59</v>
      </c>
      <c r="O37" s="245">
        <f>'[1]Załącznik 9'!$H$95+'[1]Załącznik 9'!$H$101+'[1]Załącznik 9'!$H$87</f>
        <v>30645.59</v>
      </c>
      <c r="P37" s="245">
        <f t="shared" si="3"/>
        <v>0</v>
      </c>
    </row>
    <row r="38" spans="3:16" x14ac:dyDescent="0.2">
      <c r="C38">
        <v>921</v>
      </c>
      <c r="D38">
        <v>92110</v>
      </c>
      <c r="G38" s="245">
        <f t="shared" si="0"/>
        <v>0</v>
      </c>
      <c r="J38" s="245">
        <f t="shared" si="1"/>
        <v>0</v>
      </c>
      <c r="K38" s="245">
        <v>5090041</v>
      </c>
      <c r="L38" s="245">
        <f>'przedsiewziecia UE'!L916+'przedsiewziecia UE'!L917</f>
        <v>5090041</v>
      </c>
      <c r="M38" s="245">
        <f t="shared" si="2"/>
        <v>0</v>
      </c>
      <c r="N38" s="245">
        <v>5088854.1900000004</v>
      </c>
      <c r="O38" s="245">
        <f>'przedsiewziecia UE'!M916+'przedsiewziecia UE'!M917</f>
        <v>5088854.1899999995</v>
      </c>
      <c r="P38" s="245">
        <f t="shared" si="3"/>
        <v>0</v>
      </c>
    </row>
    <row r="40" spans="3:16" x14ac:dyDescent="0.2">
      <c r="E40" s="245">
        <f>SUM(E18:E39)</f>
        <v>18001846</v>
      </c>
      <c r="F40" s="245">
        <f t="shared" ref="F40:P40" si="4">SUM(F18:F39)</f>
        <v>18000635</v>
      </c>
      <c r="G40" s="245">
        <f t="shared" si="4"/>
        <v>1211</v>
      </c>
      <c r="H40" s="245">
        <f t="shared" si="4"/>
        <v>13443059.4</v>
      </c>
      <c r="I40" s="245">
        <f t="shared" si="4"/>
        <v>13441883.4</v>
      </c>
      <c r="J40" s="245">
        <f t="shared" si="4"/>
        <v>1176</v>
      </c>
      <c r="K40" s="245">
        <f t="shared" si="4"/>
        <v>127700139</v>
      </c>
      <c r="L40" s="245">
        <f t="shared" si="4"/>
        <v>127700139</v>
      </c>
      <c r="M40" s="245">
        <f t="shared" si="4"/>
        <v>0</v>
      </c>
      <c r="N40" s="245">
        <f t="shared" si="4"/>
        <v>118963150.69000001</v>
      </c>
      <c r="O40" s="245">
        <f t="shared" si="4"/>
        <v>118963150.69</v>
      </c>
      <c r="P40" s="245">
        <f t="shared" si="4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D17" sqref="D17"/>
    </sheetView>
  </sheetViews>
  <sheetFormatPr defaultRowHeight="12.75" x14ac:dyDescent="0.2"/>
  <cols>
    <col min="1" max="1" width="18.85546875" customWidth="1"/>
    <col min="2" max="8" width="14.7109375" style="245" customWidth="1"/>
    <col min="9" max="9" width="12.7109375" style="245" customWidth="1"/>
  </cols>
  <sheetData>
    <row r="1" spans="1:8" x14ac:dyDescent="0.2">
      <c r="B1" s="246" t="s">
        <v>231</v>
      </c>
      <c r="C1" s="246" t="s">
        <v>232</v>
      </c>
      <c r="D1" s="246" t="s">
        <v>233</v>
      </c>
      <c r="E1" s="246" t="s">
        <v>234</v>
      </c>
      <c r="F1" s="246" t="s">
        <v>237</v>
      </c>
      <c r="G1" s="246" t="s">
        <v>236</v>
      </c>
      <c r="H1" s="246" t="s">
        <v>235</v>
      </c>
    </row>
    <row r="2" spans="1:8" x14ac:dyDescent="0.2">
      <c r="A2" s="244" t="s">
        <v>223</v>
      </c>
      <c r="B2" s="245">
        <f>SUM(C2:H2)</f>
        <v>18008157</v>
      </c>
      <c r="C2" s="245">
        <f t="shared" ref="C2:H2" si="0">SUM(C3:C9)</f>
        <v>588381</v>
      </c>
      <c r="D2" s="245">
        <f t="shared" si="0"/>
        <v>15632928</v>
      </c>
      <c r="E2" s="245">
        <f t="shared" si="0"/>
        <v>0</v>
      </c>
      <c r="F2" s="245">
        <f t="shared" si="0"/>
        <v>1779326</v>
      </c>
      <c r="G2" s="245">
        <f t="shared" si="0"/>
        <v>7522</v>
      </c>
      <c r="H2" s="245">
        <f t="shared" si="0"/>
        <v>0</v>
      </c>
    </row>
    <row r="3" spans="1:8" x14ac:dyDescent="0.2">
      <c r="A3" s="244" t="s">
        <v>224</v>
      </c>
      <c r="B3" s="245">
        <f>SUM(C3:H3)</f>
        <v>13062897</v>
      </c>
      <c r="C3" s="245">
        <f>'przedsiewziecia UE'!L59+'przedsiewziecia UE'!L72+'przedsiewziecia UE'!L82+'przedsiewziecia UE'!L91+'przedsiewziecia UE'!L102+'przedsiewziecia UE'!L154+'przedsiewziecia UE'!L200+'przedsiewziecia UE'!L210+'przedsiewziecia UE'!L256+'przedsiewziecia UE'!L265+'przedsiewziecia UE'!L276+'przedsiewziecia UE'!L285+'przedsiewziecia UE'!L294+'przedsiewziecia UE'!L305+'przedsiewziecia UE'!L315+'przedsiewziecia UE'!L324+'przedsiewziecia UE'!L342+'przedsiewziecia UE'!L355+'przedsiewziecia UE'!L367+'przedsiewziecia UE'!L378+'przedsiewziecia UE'!L387+'przedsiewziecia UE'!L396+'przedsiewziecia UE'!L405+'przedsiewziecia UE'!L414+'przedsiewziecia UE'!L423</f>
        <v>326360</v>
      </c>
      <c r="D3" s="245">
        <f>'przedsiewziecia UE'!L60+'przedsiewziecia UE'!L73+'przedsiewziecia UE'!L83+'przedsiewziecia UE'!L92+'przedsiewziecia UE'!L103+'przedsiewziecia UE'!L155+'przedsiewziecia UE'!L201+'przedsiewziecia UE'!L211+'przedsiewziecia UE'!L257+'przedsiewziecia UE'!L266+'przedsiewziecia UE'!L277+'przedsiewziecia UE'!L286+'przedsiewziecia UE'!L295+'przedsiewziecia UE'!L306+'przedsiewziecia UE'!L316+'przedsiewziecia UE'!L325+'przedsiewziecia UE'!L343+'przedsiewziecia UE'!L356+'przedsiewziecia UE'!L368+'przedsiewziecia UE'!L379+'przedsiewziecia UE'!L388+'przedsiewziecia UE'!L397+'przedsiewziecia UE'!L406+'przedsiewziecia UE'!L415+'przedsiewziecia UE'!L424</f>
        <v>11385232</v>
      </c>
      <c r="E3" s="245">
        <f>'przedsiewziecia UE'!L61+'przedsiewziecia UE'!L74+'przedsiewziecia UE'!L84+'przedsiewziecia UE'!L93+'przedsiewziecia UE'!L104+'przedsiewziecia UE'!L156+'przedsiewziecia UE'!L202+'przedsiewziecia UE'!L212+'przedsiewziecia UE'!L258+'przedsiewziecia UE'!L267+'przedsiewziecia UE'!L278+'przedsiewziecia UE'!L287+'przedsiewziecia UE'!L296+'przedsiewziecia UE'!L307+'przedsiewziecia UE'!L317+'przedsiewziecia UE'!L326+'przedsiewziecia UE'!L344+'przedsiewziecia UE'!L357+'przedsiewziecia UE'!L369+'przedsiewziecia UE'!L380+'przedsiewziecia UE'!L389+'przedsiewziecia UE'!L398+'przedsiewziecia UE'!L407+'przedsiewziecia UE'!L416+'przedsiewziecia UE'!L425</f>
        <v>0</v>
      </c>
      <c r="F3" s="245">
        <f>'przedsiewziecia UE'!L62+'przedsiewziecia UE'!L75+'przedsiewziecia UE'!L85+'przedsiewziecia UE'!L94+'przedsiewziecia UE'!L105+'przedsiewziecia UE'!L157+'przedsiewziecia UE'!L203+'przedsiewziecia UE'!L213+'przedsiewziecia UE'!L259+'przedsiewziecia UE'!L268+'przedsiewziecia UE'!L279+'przedsiewziecia UE'!L288+'przedsiewziecia UE'!L297+'przedsiewziecia UE'!L308+'przedsiewziecia UE'!L318+'przedsiewziecia UE'!L327+'przedsiewziecia UE'!L345+'przedsiewziecia UE'!L358+'przedsiewziecia UE'!L370+'przedsiewziecia UE'!L381+'przedsiewziecia UE'!L390+'przedsiewziecia UE'!L399+'przedsiewziecia UE'!L408+'przedsiewziecia UE'!L417+'przedsiewziecia UE'!L426</f>
        <v>1351305</v>
      </c>
      <c r="G3" s="245">
        <f>'przedsiewziecia UE'!L63+'przedsiewziecia UE'!L76+'przedsiewziecia UE'!L86+'przedsiewziecia UE'!L95+'przedsiewziecia UE'!L106+'przedsiewziecia UE'!L158+'przedsiewziecia UE'!L204+'przedsiewziecia UE'!L214+'przedsiewziecia UE'!L260+'przedsiewziecia UE'!L269+'przedsiewziecia UE'!L280+'przedsiewziecia UE'!L289+'przedsiewziecia UE'!L298+'przedsiewziecia UE'!L309+'przedsiewziecia UE'!L319+'przedsiewziecia UE'!L328+'przedsiewziecia UE'!L346+'przedsiewziecia UE'!L359+'przedsiewziecia UE'!L371+'przedsiewziecia UE'!L382+'przedsiewziecia UE'!L391+'przedsiewziecia UE'!L400+'przedsiewziecia UE'!L409+'przedsiewziecia UE'!L418+'przedsiewziecia UE'!L427</f>
        <v>0</v>
      </c>
      <c r="H3" s="245">
        <f>'przedsiewziecia UE'!L64+'przedsiewziecia UE'!L77+'przedsiewziecia UE'!L87+'przedsiewziecia UE'!L96+'przedsiewziecia UE'!L107+'przedsiewziecia UE'!L159+'przedsiewziecia UE'!L205+'przedsiewziecia UE'!L215+'przedsiewziecia UE'!L261+'przedsiewziecia UE'!L270+'przedsiewziecia UE'!L281+'przedsiewziecia UE'!L290+'przedsiewziecia UE'!L299+'przedsiewziecia UE'!L310+'przedsiewziecia UE'!L320+'przedsiewziecia UE'!L329+'przedsiewziecia UE'!L347+'przedsiewziecia UE'!L360+'przedsiewziecia UE'!L372+'przedsiewziecia UE'!L383+'przedsiewziecia UE'!L392+'przedsiewziecia UE'!L401+'przedsiewziecia UE'!L410+'przedsiewziecia UE'!L419+'przedsiewziecia UE'!L428</f>
        <v>0</v>
      </c>
    </row>
    <row r="4" spans="1:8" x14ac:dyDescent="0.2">
      <c r="A4" s="244" t="s">
        <v>225</v>
      </c>
      <c r="B4" s="245">
        <f t="shared" ref="B4:B9" si="1">SUM(C4:H4)</f>
        <v>1030321</v>
      </c>
      <c r="C4" s="245">
        <f>'przedsiewziecia UE'!L50+'przedsiewziecia UE'!L120+'przedsiewziecia UE'!L130</f>
        <v>0</v>
      </c>
      <c r="D4" s="245">
        <f>'przedsiewziecia UE'!L51+'przedsiewziecia UE'!L121+'przedsiewziecia UE'!L131</f>
        <v>875774</v>
      </c>
      <c r="E4" s="245">
        <f>'przedsiewziecia UE'!L52+'przedsiewziecia UE'!L122+'przedsiewziecia UE'!L132</f>
        <v>0</v>
      </c>
      <c r="F4" s="245">
        <f>'przedsiewziecia UE'!L53+'przedsiewziecia UE'!L123+'przedsiewziecia UE'!L133</f>
        <v>154547</v>
      </c>
      <c r="G4" s="245">
        <f>'przedsiewziecia UE'!L54+'przedsiewziecia UE'!L124+'przedsiewziecia UE'!L134</f>
        <v>0</v>
      </c>
      <c r="H4" s="245">
        <f>'przedsiewziecia UE'!L55+'przedsiewziecia UE'!L125+'przedsiewziecia UE'!L135</f>
        <v>0</v>
      </c>
    </row>
    <row r="5" spans="1:8" x14ac:dyDescent="0.2">
      <c r="A5" s="244" t="s">
        <v>226</v>
      </c>
      <c r="B5" s="245">
        <f t="shared" si="1"/>
        <v>629105</v>
      </c>
      <c r="C5" s="245">
        <f>'przedsiewziecia UE'!L616+'przedsiewziecia UE'!L627</f>
        <v>84212</v>
      </c>
      <c r="D5" s="245">
        <f>'przedsiewziecia UE'!L617+'przedsiewziecia UE'!L628</f>
        <v>506693</v>
      </c>
      <c r="E5" s="245">
        <f>'przedsiewziecia UE'!L618+'przedsiewziecia UE'!L629</f>
        <v>0</v>
      </c>
      <c r="F5" s="245">
        <f>'przedsiewziecia UE'!L619+'przedsiewziecia UE'!L630</f>
        <v>38200</v>
      </c>
      <c r="G5" s="245">
        <f>'przedsiewziecia UE'!L620+'przedsiewziecia UE'!L631</f>
        <v>0</v>
      </c>
      <c r="H5" s="245">
        <f>'przedsiewziecia UE'!L621+'przedsiewziecia UE'!L632</f>
        <v>0</v>
      </c>
    </row>
    <row r="6" spans="1:8" x14ac:dyDescent="0.2">
      <c r="A6" s="244" t="s">
        <v>227</v>
      </c>
      <c r="B6" s="245">
        <f t="shared" si="1"/>
        <v>234550</v>
      </c>
      <c r="C6" s="245">
        <f>'przedsiewziecia UE'!L638+'przedsiewziecia UE'!L652+'przedsiewziecia UE'!L665</f>
        <v>39758</v>
      </c>
      <c r="D6" s="245">
        <f>'przedsiewziecia UE'!L639+'przedsiewziecia UE'!L653+'przedsiewziecia UE'!L666</f>
        <v>194792</v>
      </c>
      <c r="E6" s="245">
        <f>'przedsiewziecia UE'!L640+'przedsiewziecia UE'!L654+'przedsiewziecia UE'!L667</f>
        <v>0</v>
      </c>
      <c r="F6" s="245">
        <f>'przedsiewziecia UE'!L641+'przedsiewziecia UE'!L655+'przedsiewziecia UE'!L668</f>
        <v>0</v>
      </c>
      <c r="G6" s="245">
        <f>'przedsiewziecia UE'!L642+'przedsiewziecia UE'!L656+'przedsiewziecia UE'!L669</f>
        <v>0</v>
      </c>
      <c r="H6" s="245">
        <f>'przedsiewziecia UE'!L643+'przedsiewziecia UE'!L657+'przedsiewziecia UE'!L670</f>
        <v>0</v>
      </c>
    </row>
    <row r="7" spans="1:8" x14ac:dyDescent="0.2">
      <c r="A7" s="244" t="s">
        <v>82</v>
      </c>
      <c r="B7" s="245">
        <f t="shared" si="1"/>
        <v>624106</v>
      </c>
      <c r="C7" s="245">
        <f>'przedsiewziecia UE'!L432+'przedsiewziecia UE'!L441+'przedsiewziecia UE'!L450+'przedsiewziecia UE'!L459+'przedsiewziecia UE'!L468+'przedsiewziecia UE'!L480+'przedsiewziecia UE'!L489+'przedsiewziecia UE'!L498+'przedsiewziecia UE'!L507+'przedsiewziecia UE'!L516+'przedsiewziecia UE'!L525+'przedsiewziecia UE'!L534+'[1]Załącznik 9'!$G$32</f>
        <v>0</v>
      </c>
      <c r="D7" s="245">
        <f>'przedsiewziecia UE'!L433+'przedsiewziecia UE'!L442+'przedsiewziecia UE'!L451+'przedsiewziecia UE'!L460+'przedsiewziecia UE'!L469+'przedsiewziecia UE'!L481+'przedsiewziecia UE'!L490+'przedsiewziecia UE'!L499+'przedsiewziecia UE'!L508+'przedsiewziecia UE'!L517+'przedsiewziecia UE'!L526+'przedsiewziecia UE'!L535+'[1]Załącznik 9'!$G$33</f>
        <v>624106</v>
      </c>
      <c r="E7" s="245">
        <f>'przedsiewziecia UE'!L434+'przedsiewziecia UE'!L443+'przedsiewziecia UE'!L452+'przedsiewziecia UE'!L461+'przedsiewziecia UE'!L470+'przedsiewziecia UE'!L482+'przedsiewziecia UE'!L491+'przedsiewziecia UE'!L500+'przedsiewziecia UE'!L509+'przedsiewziecia UE'!L518+'przedsiewziecia UE'!L527+'przedsiewziecia UE'!L536</f>
        <v>0</v>
      </c>
      <c r="F7" s="245">
        <f>'[1]Załącznik 9'!$G$34</f>
        <v>0</v>
      </c>
    </row>
    <row r="8" spans="1:8" x14ac:dyDescent="0.2">
      <c r="A8" s="244" t="s">
        <v>229</v>
      </c>
      <c r="B8" s="245">
        <f t="shared" si="1"/>
        <v>1576017</v>
      </c>
      <c r="C8" s="245">
        <f>'przedsiewziecia UE'!L543+'przedsiewziecia UE'!L552+'przedsiewziecia UE'!L575+'przedsiewziecia UE'!L584</f>
        <v>0</v>
      </c>
      <c r="D8" s="245">
        <f>'przedsiewziecia UE'!L544+'przedsiewziecia UE'!L553+'przedsiewziecia UE'!L576+'przedsiewziecia UE'!L585</f>
        <v>1333221</v>
      </c>
      <c r="E8" s="245">
        <f>'przedsiewziecia UE'!L545+'przedsiewziecia UE'!L554+'przedsiewziecia UE'!L577+'przedsiewziecia UE'!L586</f>
        <v>0</v>
      </c>
      <c r="F8" s="245">
        <f>'przedsiewziecia UE'!L546+'przedsiewziecia UE'!L555+'przedsiewziecia UE'!L578+'przedsiewziecia UE'!L587</f>
        <v>235274</v>
      </c>
      <c r="G8" s="245">
        <f>'przedsiewziecia UE'!L547+'przedsiewziecia UE'!L556+'przedsiewziecia UE'!L579+'przedsiewziecia UE'!L588</f>
        <v>7522</v>
      </c>
    </row>
    <row r="9" spans="1:8" x14ac:dyDescent="0.2">
      <c r="A9" s="244" t="s">
        <v>336</v>
      </c>
      <c r="B9" s="245">
        <f t="shared" si="1"/>
        <v>851161</v>
      </c>
      <c r="C9" s="245">
        <f>'przedsiewziecia UE'!L39+'przedsiewziecia UE'!L221+'przedsiewziecia UE'!L234+'przedsiewziecia UE'!L678+'przedsiewziecia UE'!L687</f>
        <v>138051</v>
      </c>
      <c r="D9" s="245">
        <f>'przedsiewziecia UE'!L40+'przedsiewziecia UE'!L222+'przedsiewziecia UE'!L235+'przedsiewziecia UE'!L679+'przedsiewziecia UE'!L688</f>
        <v>713110</v>
      </c>
      <c r="E9" s="245">
        <f>'przedsiewziecia UE'!L41+'przedsiewziecia UE'!L223+'przedsiewziecia UE'!L236+'przedsiewziecia UE'!L680+'przedsiewziecia UE'!L689</f>
        <v>0</v>
      </c>
      <c r="F9" s="245">
        <f>'przedsiewziecia UE'!L42+'przedsiewziecia UE'!L224+'przedsiewziecia UE'!L237+'przedsiewziecia UE'!L681+'przedsiewziecia UE'!L690</f>
        <v>0</v>
      </c>
    </row>
    <row r="11" spans="1:8" x14ac:dyDescent="0.2">
      <c r="A11" s="244" t="s">
        <v>228</v>
      </c>
      <c r="B11" s="245">
        <f t="shared" ref="B11:B16" si="2">SUM(C11:H11)</f>
        <v>136695603</v>
      </c>
      <c r="C11" s="245">
        <f t="shared" ref="C11:H11" si="3">SUM(C12:C16)</f>
        <v>15890778</v>
      </c>
      <c r="D11" s="245">
        <f t="shared" si="3"/>
        <v>75644443</v>
      </c>
      <c r="E11" s="245">
        <f t="shared" si="3"/>
        <v>36143620</v>
      </c>
      <c r="F11" s="245">
        <f t="shared" si="3"/>
        <v>21298</v>
      </c>
      <c r="G11" s="245">
        <f t="shared" si="3"/>
        <v>8995464</v>
      </c>
      <c r="H11" s="245">
        <f t="shared" si="3"/>
        <v>0</v>
      </c>
    </row>
    <row r="12" spans="1:8" x14ac:dyDescent="0.2">
      <c r="A12" s="244" t="s">
        <v>226</v>
      </c>
      <c r="B12" s="245">
        <f t="shared" si="2"/>
        <v>69566605</v>
      </c>
      <c r="C12" s="245">
        <f>'przedsiewziecia UE'!L782+'przedsiewziecia UE'!L792+'przedsiewziecia UE'!L820+'przedsiewziecia UE'!L829+'przedsiewziecia UE'!L839+'przedsiewziecia UE'!L848+'przedsiewziecia UE'!L857+'przedsiewziecia UE'!L946+'przedsiewziecia UE'!L956+'przedsiewziecia UE'!L967+'przedsiewziecia UE'!L976+'przedsiewziecia UE'!L985+'przedsiewziecia UE'!L995</f>
        <v>9393161</v>
      </c>
      <c r="D12" s="245">
        <f>'przedsiewziecia UE'!L783+'przedsiewziecia UE'!L793+'przedsiewziecia UE'!L821+'przedsiewziecia UE'!L830+'przedsiewziecia UE'!L840+'przedsiewziecia UE'!L849+'przedsiewziecia UE'!L858+'przedsiewziecia UE'!L947+'przedsiewziecia UE'!L957+'przedsiewziecia UE'!L968+'przedsiewziecia UE'!L977+'przedsiewziecia UE'!L986+'przedsiewziecia UE'!L996</f>
        <v>34792671</v>
      </c>
      <c r="E12" s="245">
        <f>'przedsiewziecia UE'!L784+'przedsiewziecia UE'!L794+'przedsiewziecia UE'!L822+'przedsiewziecia UE'!L831+'przedsiewziecia UE'!L841+'przedsiewziecia UE'!L850+'przedsiewziecia UE'!L859+'przedsiewziecia UE'!L948+'przedsiewziecia UE'!L958+'przedsiewziecia UE'!L969+'przedsiewziecia UE'!L978+'przedsiewziecia UE'!L987+'przedsiewziecia UE'!L997</f>
        <v>21646354</v>
      </c>
      <c r="F12" s="245">
        <f>'przedsiewziecia UE'!L785+'przedsiewziecia UE'!L795+'przedsiewziecia UE'!L823+'przedsiewziecia UE'!L832+'przedsiewziecia UE'!L842+'przedsiewziecia UE'!L851+'przedsiewziecia UE'!L860+'przedsiewziecia UE'!L949+'przedsiewziecia UE'!L959+'przedsiewziecia UE'!L970+'przedsiewziecia UE'!L979+'przedsiewziecia UE'!L988+'przedsiewziecia UE'!L998</f>
        <v>0</v>
      </c>
      <c r="G12" s="245">
        <f>'przedsiewziecia UE'!L786+'przedsiewziecia UE'!L796+'przedsiewziecia UE'!L824+'przedsiewziecia UE'!L833+'przedsiewziecia UE'!L843+'przedsiewziecia UE'!L852+'przedsiewziecia UE'!L861+'przedsiewziecia UE'!L950+'przedsiewziecia UE'!L960+'przedsiewziecia UE'!L971+'przedsiewziecia UE'!L980+'przedsiewziecia UE'!L989+'przedsiewziecia UE'!L999</f>
        <v>3734419</v>
      </c>
      <c r="H12" s="245">
        <f>'przedsiewziecia UE'!L787+'przedsiewziecia UE'!L797+'przedsiewziecia UE'!L825+'przedsiewziecia UE'!L834+'przedsiewziecia UE'!L844+'przedsiewziecia UE'!L853+'przedsiewziecia UE'!L862+'przedsiewziecia UE'!L951+'przedsiewziecia UE'!L961+'przedsiewziecia UE'!L972+'przedsiewziecia UE'!L981+'przedsiewziecia UE'!L990+'przedsiewziecia UE'!L1000</f>
        <v>0</v>
      </c>
    </row>
    <row r="13" spans="1:8" x14ac:dyDescent="0.2">
      <c r="A13" s="244" t="s">
        <v>227</v>
      </c>
      <c r="B13" s="245">
        <f t="shared" si="2"/>
        <v>57000201</v>
      </c>
      <c r="C13" s="245">
        <f>'przedsiewziecia UE'!L714+'przedsiewziecia UE'!L727+'przedsiewziecia UE'!L866+'przedsiewziecia UE'!L875+'przedsiewziecia UE'!L885+'przedsiewziecia UE'!L896+'przedsiewziecia UE'!L916+'[1]Załącznik 9'!$G$67</f>
        <v>6427061</v>
      </c>
      <c r="D13" s="245">
        <f>'przedsiewziecia UE'!L715+'przedsiewziecia UE'!L728+'przedsiewziecia UE'!L867+'przedsiewziecia UE'!L876+'przedsiewziecia UE'!L886+'przedsiewziecia UE'!L897+'przedsiewziecia UE'!L917+'[1]Załącznik 9'!$G$68</f>
        <v>34294046</v>
      </c>
      <c r="E13" s="245">
        <f>'przedsiewziecia UE'!L716+'przedsiewziecia UE'!L729+'przedsiewziecia UE'!L868+'przedsiewziecia UE'!L877+'przedsiewziecia UE'!L887+'przedsiewziecia UE'!L898+'przedsiewziecia UE'!L9168</f>
        <v>11800701</v>
      </c>
      <c r="F13" s="245">
        <f>'przedsiewziecia UE'!L717+'przedsiewziecia UE'!L730+'przedsiewziecia UE'!L869+'przedsiewziecia UE'!L878+'przedsiewziecia UE'!L888+'przedsiewziecia UE'!L899+'przedsiewziecia UE'!L919+'[1]Załącznik 9'!$G$69</f>
        <v>738</v>
      </c>
      <c r="G13" s="245">
        <f>'przedsiewziecia UE'!L718+'przedsiewziecia UE'!L731+'przedsiewziecia UE'!L870+'przedsiewziecia UE'!L879+'przedsiewziecia UE'!L889+'przedsiewziecia UE'!L900+'przedsiewziecia UE'!L920</f>
        <v>4477655</v>
      </c>
      <c r="H13" s="245">
        <f>'przedsiewziecia UE'!L719+'przedsiewziecia UE'!L732+'przedsiewziecia UE'!L871+'przedsiewziecia UE'!L880+'przedsiewziecia UE'!L890+'przedsiewziecia UE'!L901+'przedsiewziecia UE'!L921</f>
        <v>0</v>
      </c>
    </row>
    <row r="14" spans="1:8" x14ac:dyDescent="0.2">
      <c r="A14" s="244" t="s">
        <v>336</v>
      </c>
      <c r="B14" s="245">
        <f t="shared" si="2"/>
        <v>395443</v>
      </c>
      <c r="C14" s="245">
        <f>'przedsiewziecia UE'!L749+'przedsiewziecia UE'!L1013+'przedsiewziecia UE'!L1028</f>
        <v>70556</v>
      </c>
      <c r="D14" s="245">
        <f>'przedsiewziecia UE'!L750+'przedsiewziecia UE'!L1014+'przedsiewziecia UE'!L1029</f>
        <v>318197</v>
      </c>
      <c r="E14" s="245">
        <f>'przedsiewziecia UE'!L751+'przedsiewziecia UE'!L1015+'przedsiewziecia UE'!L1030</f>
        <v>0</v>
      </c>
      <c r="F14" s="245">
        <f>'przedsiewziecia UE'!L752+'przedsiewziecia UE'!L1016+'przedsiewziecia UE'!L1031</f>
        <v>0</v>
      </c>
      <c r="G14" s="245">
        <f>'przedsiewziecia UE'!L753+'przedsiewziecia UE'!L1017+'przedsiewziecia UE'!L1032</f>
        <v>6690</v>
      </c>
      <c r="H14" s="245">
        <f>'przedsiewziecia UE'!L754+'przedsiewziecia UE'!L1018+'przedsiewziecia UE'!L1033</f>
        <v>0</v>
      </c>
    </row>
    <row r="15" spans="1:8" x14ac:dyDescent="0.2">
      <c r="A15" s="244" t="s">
        <v>230</v>
      </c>
      <c r="B15" s="245">
        <f t="shared" si="2"/>
        <v>9556187</v>
      </c>
      <c r="C15" s="245">
        <f>'przedsiewziecia UE'!L811</f>
        <v>0</v>
      </c>
      <c r="D15" s="245">
        <f>'przedsiewziecia UE'!L812</f>
        <v>6082922</v>
      </c>
      <c r="E15" s="245">
        <f>'przedsiewziecia UE'!L813</f>
        <v>2696565</v>
      </c>
      <c r="F15" s="245">
        <f>'przedsiewziecia UE'!L814</f>
        <v>0</v>
      </c>
      <c r="G15" s="245">
        <f>'przedsiewziecia UE'!L815</f>
        <v>776700</v>
      </c>
      <c r="H15" s="245">
        <f>'przedsiewziecia UE'!L816</f>
        <v>0</v>
      </c>
    </row>
    <row r="16" spans="1:8" x14ac:dyDescent="0.2">
      <c r="A16" s="244" t="s">
        <v>224</v>
      </c>
      <c r="B16" s="245">
        <f t="shared" si="2"/>
        <v>177167</v>
      </c>
      <c r="C16" s="245">
        <f>'[1]Załącznik 9'!$G$60+'[1]Załącznik 9'!$G$74+'[1]Załącznik 9'!$G$96+'[1]Załącznik 9'!$G$102</f>
        <v>0</v>
      </c>
      <c r="D16" s="245">
        <f>'[1]Załącznik 9'!$G$61+'[1]Załącznik 9'!$G$75+'[1]Załącznik 9'!$G$97+'[1]Załącznik 9'!$G$103+'[1]Załącznik 9'!$G$89</f>
        <v>156607</v>
      </c>
      <c r="F16" s="245">
        <f>'[1]Załącznik 9'!$G$62+'[1]Załącznik 9'!$G$76+'[1]Załącznik 9'!$G$98+'[1]Załącznik 9'!$G$104</f>
        <v>20560</v>
      </c>
    </row>
    <row r="17" spans="1:2" x14ac:dyDescent="0.2">
      <c r="A17" s="244"/>
    </row>
    <row r="20" spans="1:2" x14ac:dyDescent="0.2">
      <c r="B20" s="245">
        <f>'przedsiewziecia UE'!L695+'[1]Załącznik 9'!$G$45</f>
        <v>136695603</v>
      </c>
    </row>
    <row r="21" spans="1:2" x14ac:dyDescent="0.2">
      <c r="B21" s="245">
        <f>B20-B11</f>
        <v>0</v>
      </c>
    </row>
    <row r="24" spans="1:2" x14ac:dyDescent="0.2">
      <c r="B24" s="245">
        <f>'przedsiewziecia UE'!L20+'[1]Załącznik 9'!$G$17</f>
        <v>18008157</v>
      </c>
    </row>
    <row r="25" spans="1:2" x14ac:dyDescent="0.2">
      <c r="B25" s="245">
        <f>B24-B2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D17" sqref="D17"/>
    </sheetView>
  </sheetViews>
  <sheetFormatPr defaultRowHeight="12.75" x14ac:dyDescent="0.2"/>
  <cols>
    <col min="1" max="1" width="18.85546875" customWidth="1"/>
    <col min="2" max="8" width="14.7109375" style="245" customWidth="1"/>
    <col min="9" max="9" width="12.7109375" style="245" customWidth="1"/>
  </cols>
  <sheetData>
    <row r="1" spans="1:8" x14ac:dyDescent="0.2">
      <c r="B1" s="246" t="s">
        <v>231</v>
      </c>
      <c r="C1" s="246" t="s">
        <v>232</v>
      </c>
      <c r="D1" s="246" t="s">
        <v>233</v>
      </c>
      <c r="E1" s="246" t="s">
        <v>234</v>
      </c>
      <c r="F1" s="246" t="s">
        <v>237</v>
      </c>
      <c r="G1" s="246" t="s">
        <v>236</v>
      </c>
      <c r="H1" s="246" t="s">
        <v>235</v>
      </c>
    </row>
    <row r="2" spans="1:8" x14ac:dyDescent="0.2">
      <c r="A2" s="244" t="s">
        <v>223</v>
      </c>
      <c r="B2" s="245">
        <f>SUM(C2:H2)</f>
        <v>13449404.829999998</v>
      </c>
      <c r="C2" s="245">
        <f t="shared" ref="C2:H2" si="0">SUM(C3:C9)</f>
        <v>389061.61</v>
      </c>
      <c r="D2" s="245">
        <f t="shared" si="0"/>
        <v>11707749.079999998</v>
      </c>
      <c r="E2" s="245">
        <f t="shared" si="0"/>
        <v>0</v>
      </c>
      <c r="F2" s="245">
        <f t="shared" si="0"/>
        <v>1345072.71</v>
      </c>
      <c r="G2" s="245">
        <f t="shared" si="0"/>
        <v>7521.43</v>
      </c>
      <c r="H2" s="245">
        <f t="shared" si="0"/>
        <v>0</v>
      </c>
    </row>
    <row r="3" spans="1:8" x14ac:dyDescent="0.2">
      <c r="A3" s="244" t="s">
        <v>224</v>
      </c>
      <c r="B3" s="245">
        <f>SUM(C3:H3)</f>
        <v>10786922.860000001</v>
      </c>
      <c r="C3" s="245">
        <f>'przedsiewziecia UE'!M59+'przedsiewziecia UE'!M72+'przedsiewziecia UE'!M82+'przedsiewziecia UE'!M91+'przedsiewziecia UE'!M102+'przedsiewziecia UE'!M154+'przedsiewziecia UE'!M200+'przedsiewziecia UE'!M210+'przedsiewziecia UE'!M256+'przedsiewziecia UE'!M265+'przedsiewziecia UE'!M276+'przedsiewziecia UE'!M285+'przedsiewziecia UE'!M294+'przedsiewziecia UE'!M305+'przedsiewziecia UE'!M315+'przedsiewziecia UE'!M324+'przedsiewziecia UE'!M342+'przedsiewziecia UE'!M355+'przedsiewziecia UE'!M367+'przedsiewziecia UE'!M378+'przedsiewziecia UE'!M387+'przedsiewziecia UE'!M396+'przedsiewziecia UE'!M405+'przedsiewziecia UE'!M414+'przedsiewziecia UE'!M423</f>
        <v>259011.90000000002</v>
      </c>
      <c r="D3" s="245">
        <f>'przedsiewziecia UE'!M60+'przedsiewziecia UE'!M73+'przedsiewziecia UE'!M83+'przedsiewziecia UE'!M92+'przedsiewziecia UE'!M103+'przedsiewziecia UE'!M155+'przedsiewziecia UE'!M201+'przedsiewziecia UE'!M211+'przedsiewziecia UE'!M257+'przedsiewziecia UE'!M266+'przedsiewziecia UE'!M277+'przedsiewziecia UE'!M286+'przedsiewziecia UE'!M295+'przedsiewziecia UE'!M306+'przedsiewziecia UE'!M316+'przedsiewziecia UE'!M325+'przedsiewziecia UE'!M343+'przedsiewziecia UE'!M356+'przedsiewziecia UE'!M368+'przedsiewziecia UE'!M379+'przedsiewziecia UE'!M388+'przedsiewziecia UE'!M397+'przedsiewziecia UE'!M406+'przedsiewziecia UE'!M415+'przedsiewziecia UE'!M424</f>
        <v>9417343.2000000011</v>
      </c>
      <c r="E3" s="245">
        <f>'przedsiewziecia UE'!M61+'przedsiewziecia UE'!M74+'przedsiewziecia UE'!M84+'przedsiewziecia UE'!M93+'przedsiewziecia UE'!M104+'przedsiewziecia UE'!M156+'przedsiewziecia UE'!M202+'przedsiewziecia UE'!M212+'przedsiewziecia UE'!M258+'przedsiewziecia UE'!M267+'przedsiewziecia UE'!M278+'przedsiewziecia UE'!M287+'przedsiewziecia UE'!M296+'przedsiewziecia UE'!M307+'przedsiewziecia UE'!M317+'przedsiewziecia UE'!M326+'przedsiewziecia UE'!M344+'przedsiewziecia UE'!M357+'przedsiewziecia UE'!M369+'przedsiewziecia UE'!M380+'przedsiewziecia UE'!M389+'przedsiewziecia UE'!M398+'przedsiewziecia UE'!M407+'przedsiewziecia UE'!M416+'przedsiewziecia UE'!M425</f>
        <v>0</v>
      </c>
      <c r="F3" s="245">
        <f>'przedsiewziecia UE'!M62+'przedsiewziecia UE'!M75+'przedsiewziecia UE'!M85+'przedsiewziecia UE'!M94+'przedsiewziecia UE'!M105+'przedsiewziecia UE'!M157+'przedsiewziecia UE'!M203+'przedsiewziecia UE'!M213+'przedsiewziecia UE'!M259+'przedsiewziecia UE'!M268+'przedsiewziecia UE'!M279+'przedsiewziecia UE'!M288+'przedsiewziecia UE'!M297+'przedsiewziecia UE'!M308+'przedsiewziecia UE'!M318+'przedsiewziecia UE'!M327+'przedsiewziecia UE'!M345+'przedsiewziecia UE'!M358+'przedsiewziecia UE'!M370+'przedsiewziecia UE'!M381+'przedsiewziecia UE'!M390+'przedsiewziecia UE'!M399+'przedsiewziecia UE'!M408+'przedsiewziecia UE'!M417+'przedsiewziecia UE'!M426</f>
        <v>1110567.76</v>
      </c>
      <c r="G3" s="245">
        <f>'przedsiewziecia UE'!M63+'przedsiewziecia UE'!M76+'przedsiewziecia UE'!M86+'przedsiewziecia UE'!M95+'przedsiewziecia UE'!M106+'przedsiewziecia UE'!M158+'przedsiewziecia UE'!M204+'przedsiewziecia UE'!M214+'przedsiewziecia UE'!M260+'przedsiewziecia UE'!M269+'przedsiewziecia UE'!M280+'przedsiewziecia UE'!M289+'przedsiewziecia UE'!M298+'przedsiewziecia UE'!M309+'przedsiewziecia UE'!M319+'przedsiewziecia UE'!M328+'przedsiewziecia UE'!M346+'przedsiewziecia UE'!M359+'przedsiewziecia UE'!M371+'przedsiewziecia UE'!M382+'przedsiewziecia UE'!M391+'przedsiewziecia UE'!M400+'przedsiewziecia UE'!M409+'przedsiewziecia UE'!M418+'przedsiewziecia UE'!M427</f>
        <v>0</v>
      </c>
      <c r="H3" s="245">
        <f>'przedsiewziecia UE'!M64+'przedsiewziecia UE'!M77+'przedsiewziecia UE'!M87+'przedsiewziecia UE'!M96+'przedsiewziecia UE'!M107+'przedsiewziecia UE'!M159+'przedsiewziecia UE'!M205+'przedsiewziecia UE'!M215+'przedsiewziecia UE'!M261+'przedsiewziecia UE'!M270+'przedsiewziecia UE'!M281+'przedsiewziecia UE'!M290+'przedsiewziecia UE'!M299+'przedsiewziecia UE'!M310+'przedsiewziecia UE'!M320+'przedsiewziecia UE'!M329+'przedsiewziecia UE'!M347+'przedsiewziecia UE'!M360+'przedsiewziecia UE'!M372+'przedsiewziecia UE'!M383+'przedsiewziecia UE'!M392+'przedsiewziecia UE'!M401+'przedsiewziecia UE'!M410+'przedsiewziecia UE'!M419+'przedsiewziecia UE'!M428</f>
        <v>0</v>
      </c>
    </row>
    <row r="4" spans="1:8" x14ac:dyDescent="0.2">
      <c r="A4" s="244" t="s">
        <v>225</v>
      </c>
      <c r="B4" s="245">
        <f t="shared" ref="B4:B9" si="1">SUM(C4:H4)</f>
        <v>313055.81</v>
      </c>
      <c r="C4" s="245">
        <f>'przedsiewziecia UE'!M50+'przedsiewziecia UE'!M120+'przedsiewziecia UE'!M130</f>
        <v>0</v>
      </c>
      <c r="D4" s="245">
        <f>'przedsiewziecia UE'!M51+'przedsiewziecia UE'!M121+'przedsiewziecia UE'!M131</f>
        <v>266097.44</v>
      </c>
      <c r="E4" s="245">
        <f>'przedsiewziecia UE'!M52+'przedsiewziecia UE'!M122+'przedsiewziecia UE'!M132</f>
        <v>0</v>
      </c>
      <c r="F4" s="245">
        <f>'przedsiewziecia UE'!M53+'przedsiewziecia UE'!M123+'przedsiewziecia UE'!M133</f>
        <v>46958.369999999995</v>
      </c>
      <c r="G4" s="245">
        <f>'przedsiewziecia UE'!M54+'przedsiewziecia UE'!M124+'przedsiewziecia UE'!M134</f>
        <v>0</v>
      </c>
      <c r="H4" s="245">
        <f>'przedsiewziecia UE'!M55+'przedsiewziecia UE'!M125+'przedsiewziecia UE'!M135</f>
        <v>0</v>
      </c>
    </row>
    <row r="5" spans="1:8" x14ac:dyDescent="0.2">
      <c r="A5" s="244" t="s">
        <v>226</v>
      </c>
      <c r="B5" s="245">
        <f t="shared" si="1"/>
        <v>420549.58</v>
      </c>
      <c r="C5" s="245">
        <f>'przedsiewziecia UE'!M616+'przedsiewziecia UE'!M627</f>
        <v>54311.57</v>
      </c>
      <c r="D5" s="245">
        <f>'przedsiewziecia UE'!M617+'przedsiewziecia UE'!M628</f>
        <v>337434.28</v>
      </c>
      <c r="E5" s="245">
        <f>'przedsiewziecia UE'!M618+'przedsiewziecia UE'!M629</f>
        <v>0</v>
      </c>
      <c r="F5" s="245">
        <f>'przedsiewziecia UE'!M619+'przedsiewziecia UE'!M630</f>
        <v>28803.73</v>
      </c>
      <c r="G5" s="245">
        <f>'przedsiewziecia UE'!M620+'przedsiewziecia UE'!M631</f>
        <v>0</v>
      </c>
      <c r="H5" s="245">
        <f>'przedsiewziecia UE'!M621+'przedsiewziecia UE'!M632</f>
        <v>0</v>
      </c>
    </row>
    <row r="6" spans="1:8" x14ac:dyDescent="0.2">
      <c r="A6" s="244" t="s">
        <v>227</v>
      </c>
      <c r="B6" s="245">
        <f t="shared" si="1"/>
        <v>6642</v>
      </c>
      <c r="C6" s="245">
        <f>'przedsiewziecia UE'!M638+'przedsiewziecia UE'!M652+'przedsiewziecia UE'!M665</f>
        <v>996.3</v>
      </c>
      <c r="D6" s="245">
        <f>'przedsiewziecia UE'!M639+'przedsiewziecia UE'!M653+'przedsiewziecia UE'!M666</f>
        <v>5645.7</v>
      </c>
      <c r="E6" s="245">
        <f>'przedsiewziecia UE'!M640+'przedsiewziecia UE'!M654+'przedsiewziecia UE'!M667</f>
        <v>0</v>
      </c>
      <c r="F6" s="245">
        <f>'przedsiewziecia UE'!M641+'przedsiewziecia UE'!M655+'przedsiewziecia UE'!M668</f>
        <v>0</v>
      </c>
      <c r="G6" s="245">
        <f>'przedsiewziecia UE'!M642+'przedsiewziecia UE'!M656+'przedsiewziecia UE'!M669</f>
        <v>0</v>
      </c>
      <c r="H6" s="245">
        <f>'przedsiewziecia UE'!M643+'przedsiewziecia UE'!M657+'przedsiewziecia UE'!M670</f>
        <v>0</v>
      </c>
    </row>
    <row r="7" spans="1:8" x14ac:dyDescent="0.2">
      <c r="A7" s="244" t="s">
        <v>82</v>
      </c>
      <c r="B7" s="245">
        <f t="shared" si="1"/>
        <v>358315.72</v>
      </c>
      <c r="C7" s="245">
        <f>'przedsiewziecia UE'!M432+'przedsiewziecia UE'!M441+'przedsiewziecia UE'!M450+'przedsiewziecia UE'!M459+'przedsiewziecia UE'!M468+'przedsiewziecia UE'!M480+'przedsiewziecia UE'!M489+'przedsiewziecia UE'!M498+'przedsiewziecia UE'!M507+'przedsiewziecia UE'!M516+'przedsiewziecia UE'!M525+'przedsiewziecia UE'!M534+'[1]Załącznik 9'!$H$32</f>
        <v>0</v>
      </c>
      <c r="D7" s="245">
        <f>'przedsiewziecia UE'!M433+'przedsiewziecia UE'!M442+'przedsiewziecia UE'!M451+'przedsiewziecia UE'!M460+'przedsiewziecia UE'!M469+'przedsiewziecia UE'!M481+'przedsiewziecia UE'!M490+'przedsiewziecia UE'!M499+'przedsiewziecia UE'!M508+'przedsiewziecia UE'!M517+'przedsiewziecia UE'!M526+'przedsiewziecia UE'!M535+'[1]Załącznik 9'!$H$33</f>
        <v>358315.72</v>
      </c>
      <c r="E7" s="245">
        <f>'przedsiewziecia UE'!M434+'przedsiewziecia UE'!M443+'przedsiewziecia UE'!M452+'przedsiewziecia UE'!M461+'przedsiewziecia UE'!M470+'przedsiewziecia UE'!M482+'przedsiewziecia UE'!M491+'przedsiewziecia UE'!M500+'przedsiewziecia UE'!M509+'przedsiewziecia UE'!M518+'przedsiewziecia UE'!M527+'przedsiewziecia UE'!M536</f>
        <v>0</v>
      </c>
      <c r="F7" s="245">
        <f>'[1]Załącznik 9'!$H$34</f>
        <v>0</v>
      </c>
    </row>
    <row r="8" spans="1:8" x14ac:dyDescent="0.2">
      <c r="A8" s="244" t="s">
        <v>229</v>
      </c>
      <c r="B8" s="245">
        <f t="shared" si="1"/>
        <v>1065804.56</v>
      </c>
      <c r="C8" s="245">
        <f>'przedsiewziecia UE'!M543+'przedsiewziecia UE'!M552+'przedsiewziecia UE'!M575+'przedsiewziecia UE'!M584</f>
        <v>0</v>
      </c>
      <c r="D8" s="245">
        <f>'przedsiewziecia UE'!M544+'przedsiewziecia UE'!M553+'przedsiewziecia UE'!M576+'przedsiewziecia UE'!M585</f>
        <v>899540.28</v>
      </c>
      <c r="E8" s="245">
        <f>'przedsiewziecia UE'!M545+'przedsiewziecia UE'!M554+'przedsiewziecia UE'!M577+'przedsiewziecia UE'!M586</f>
        <v>0</v>
      </c>
      <c r="F8" s="245">
        <f>'przedsiewziecia UE'!M546+'przedsiewziecia UE'!M555+'przedsiewziecia UE'!M578+'przedsiewziecia UE'!M587</f>
        <v>158742.85</v>
      </c>
      <c r="G8" s="245">
        <f>'przedsiewziecia UE'!M547+'przedsiewziecia UE'!M556+'przedsiewziecia UE'!M579+'przedsiewziecia UE'!M588</f>
        <v>7521.43</v>
      </c>
    </row>
    <row r="9" spans="1:8" x14ac:dyDescent="0.2">
      <c r="A9" s="244" t="s">
        <v>336</v>
      </c>
      <c r="B9" s="245">
        <f t="shared" si="1"/>
        <v>498114.29999999993</v>
      </c>
      <c r="C9" s="245">
        <f>'przedsiewziecia UE'!M39+'przedsiewziecia UE'!M221+'przedsiewziecia UE'!M234+'przedsiewziecia UE'!M678+'przedsiewziecia UE'!M687</f>
        <v>74741.84</v>
      </c>
      <c r="D9" s="245">
        <f>'przedsiewziecia UE'!M40+'przedsiewziecia UE'!M222+'przedsiewziecia UE'!M235+'przedsiewziecia UE'!M679+'przedsiewziecia UE'!M688</f>
        <v>423372.45999999996</v>
      </c>
      <c r="E9" s="245">
        <f>'przedsiewziecia UE'!M41+'przedsiewziecia UE'!M223+'przedsiewziecia UE'!M236+'przedsiewziecia UE'!M680+'przedsiewziecia UE'!M689</f>
        <v>0</v>
      </c>
      <c r="F9" s="245">
        <f>'przedsiewziecia UE'!M42+'przedsiewziecia UE'!M224+'przedsiewziecia UE'!M237+'przedsiewziecia UE'!M681+'przedsiewziecia UE'!M690</f>
        <v>0</v>
      </c>
    </row>
    <row r="11" spans="1:8" x14ac:dyDescent="0.2">
      <c r="A11" s="244" t="s">
        <v>228</v>
      </c>
      <c r="B11" s="245">
        <f t="shared" ref="B11:B16" si="2">SUM(C11:H11)</f>
        <v>125997528.25999999</v>
      </c>
      <c r="C11" s="245">
        <f t="shared" ref="C11:H11" si="3">SUM(C12:C16)</f>
        <v>14672333.460000001</v>
      </c>
      <c r="D11" s="245">
        <f t="shared" si="3"/>
        <v>71413836.729999989</v>
      </c>
      <c r="E11" s="245">
        <f t="shared" si="3"/>
        <v>32871257.280000001</v>
      </c>
      <c r="F11" s="245">
        <f t="shared" si="3"/>
        <v>5723.22</v>
      </c>
      <c r="G11" s="245">
        <f t="shared" si="3"/>
        <v>7034377.5699999984</v>
      </c>
      <c r="H11" s="245">
        <f t="shared" si="3"/>
        <v>0</v>
      </c>
    </row>
    <row r="12" spans="1:8" x14ac:dyDescent="0.2">
      <c r="A12" s="244" t="s">
        <v>226</v>
      </c>
      <c r="B12" s="245">
        <f t="shared" si="2"/>
        <v>62923306.32</v>
      </c>
      <c r="C12" s="245">
        <f>'przedsiewziecia UE'!M782+'przedsiewziecia UE'!M792+'przedsiewziecia UE'!M820+'przedsiewziecia UE'!M829+'przedsiewziecia UE'!M839+'przedsiewziecia UE'!M848+'przedsiewziecia UE'!M857+'przedsiewziecia UE'!M946+'przedsiewziecia UE'!M956+'przedsiewziecia UE'!M967+'przedsiewziecia UE'!M976+'przedsiewziecia UE'!M985+'przedsiewziecia UE'!M995</f>
        <v>8741283.4000000004</v>
      </c>
      <c r="D12" s="245">
        <f>'przedsiewziecia UE'!M783+'przedsiewziecia UE'!M793+'przedsiewziecia UE'!M821+'przedsiewziecia UE'!M830+'przedsiewziecia UE'!M840+'przedsiewziecia UE'!M849+'przedsiewziecia UE'!M858+'przedsiewziecia UE'!M947+'przedsiewziecia UE'!M957+'przedsiewziecia UE'!M968+'przedsiewziecia UE'!M977+'przedsiewziecia UE'!M986+'przedsiewziecia UE'!M996</f>
        <v>32156969.039999999</v>
      </c>
      <c r="E12" s="245">
        <f>'przedsiewziecia UE'!M784+'przedsiewziecia UE'!M794+'przedsiewziecia UE'!M822+'przedsiewziecia UE'!M831+'przedsiewziecia UE'!M841+'przedsiewziecia UE'!M850+'przedsiewziecia UE'!M859+'przedsiewziecia UE'!M948+'przedsiewziecia UE'!M958+'przedsiewziecia UE'!M969+'przedsiewziecia UE'!M978+'przedsiewziecia UE'!M987+'przedsiewziecia UE'!M997</f>
        <v>18504585</v>
      </c>
      <c r="F12" s="245">
        <f>'przedsiewziecia UE'!M785+'przedsiewziecia UE'!M795+'przedsiewziecia UE'!M823+'przedsiewziecia UE'!M832+'przedsiewziecia UE'!M842+'przedsiewziecia UE'!M851+'przedsiewziecia UE'!M860+'przedsiewziecia UE'!M949+'przedsiewziecia UE'!M959+'przedsiewziecia UE'!M970+'przedsiewziecia UE'!M979+'przedsiewziecia UE'!M988+'przedsiewziecia UE'!M998</f>
        <v>0</v>
      </c>
      <c r="G12" s="245">
        <f>'przedsiewziecia UE'!M786+'przedsiewziecia UE'!M796+'przedsiewziecia UE'!M824+'przedsiewziecia UE'!M833+'przedsiewziecia UE'!M843+'przedsiewziecia UE'!M852+'przedsiewziecia UE'!M861+'przedsiewziecia UE'!M950+'przedsiewziecia UE'!M960+'przedsiewziecia UE'!M971+'przedsiewziecia UE'!M980+'przedsiewziecia UE'!M989+'przedsiewziecia UE'!M999</f>
        <v>3520468.8799999994</v>
      </c>
      <c r="H12" s="245">
        <f>'przedsiewziecia UE'!M787+'przedsiewziecia UE'!M797+'przedsiewziecia UE'!M825+'przedsiewziecia UE'!M834+'przedsiewziecia UE'!M844+'przedsiewziecia UE'!M853+'przedsiewziecia UE'!M862+'przedsiewziecia UE'!M951+'przedsiewziecia UE'!M961+'przedsiewziecia UE'!M972+'przedsiewziecia UE'!M981+'przedsiewziecia UE'!M990+'przedsiewziecia UE'!M1000</f>
        <v>0</v>
      </c>
    </row>
    <row r="13" spans="1:8" x14ac:dyDescent="0.2">
      <c r="A13" s="244" t="s">
        <v>227</v>
      </c>
      <c r="B13" s="245">
        <f t="shared" si="2"/>
        <v>53196942.120000005</v>
      </c>
      <c r="C13" s="245">
        <f>'przedsiewziecia UE'!M714+'przedsiewziecia UE'!M727+'przedsiewziecia UE'!M866+'przedsiewziecia UE'!M875+'przedsiewziecia UE'!M885+'przedsiewziecia UE'!M896+'przedsiewziecia UE'!M916+'[1]Załącznik 9'!$H$67</f>
        <v>5874897.7300000004</v>
      </c>
      <c r="D13" s="245">
        <f>'przedsiewziecia UE'!M715+'przedsiewziecia UE'!M728+'przedsiewziecia UE'!M867+'przedsiewziecia UE'!M876+'przedsiewziecia UE'!M886+'przedsiewziecia UE'!M897+'przedsiewziecia UE'!M917+'[1]Załącznik 9'!$H$68</f>
        <v>32825894.409999996</v>
      </c>
      <c r="E13" s="245">
        <f>'przedsiewziecia UE'!M716+'przedsiewziecia UE'!M729+'przedsiewziecia UE'!M868+'przedsiewziecia UE'!M877+'przedsiewziecia UE'!M887+'przedsiewziecia UE'!M898+'przedsiewziecia UE'!M9168</f>
        <v>11730225.310000001</v>
      </c>
      <c r="F13" s="245">
        <f>'przedsiewziecia UE'!M717+'przedsiewziecia UE'!M730+'przedsiewziecia UE'!M869+'przedsiewziecia UE'!M878+'przedsiewziecia UE'!M888+'przedsiewziecia UE'!M899+'przedsiewziecia UE'!M919+'[1]Załącznik 9'!$H$69</f>
        <v>738</v>
      </c>
      <c r="G13" s="245">
        <f>'przedsiewziecia UE'!M718+'przedsiewziecia UE'!M731+'przedsiewziecia UE'!M870+'przedsiewziecia UE'!M879+'przedsiewziecia UE'!M889+'przedsiewziecia UE'!M900+'przedsiewziecia UE'!M920</f>
        <v>2765186.67</v>
      </c>
      <c r="H13" s="245">
        <f>'przedsiewziecia UE'!M719+'przedsiewziecia UE'!M732+'przedsiewziecia UE'!M871+'przedsiewziecia UE'!M880+'przedsiewziecia UE'!M890+'przedsiewziecia UE'!M901+'przedsiewziecia UE'!M921</f>
        <v>0</v>
      </c>
    </row>
    <row r="14" spans="1:8" x14ac:dyDescent="0.2">
      <c r="A14" s="244" t="s">
        <v>336</v>
      </c>
      <c r="B14" s="245">
        <f t="shared" si="2"/>
        <v>381038.87000000005</v>
      </c>
      <c r="C14" s="245">
        <f>'przedsiewziecia UE'!M749+'przedsiewziecia UE'!M1013+'przedsiewziecia UE'!M1028</f>
        <v>56152.33</v>
      </c>
      <c r="D14" s="245">
        <f>'przedsiewziecia UE'!M750+'przedsiewziecia UE'!M1014+'przedsiewziecia UE'!M1029</f>
        <v>318196.54000000004</v>
      </c>
      <c r="E14" s="245">
        <f>'przedsiewziecia UE'!M751+'przedsiewziecia UE'!M1015+'przedsiewziecia UE'!M1030</f>
        <v>0</v>
      </c>
      <c r="F14" s="245">
        <f>'przedsiewziecia UE'!M752+'przedsiewziecia UE'!M1016+'przedsiewziecia UE'!M1031</f>
        <v>0</v>
      </c>
      <c r="G14" s="245">
        <f>'przedsiewziecia UE'!M753+'przedsiewziecia UE'!M1017+'przedsiewziecia UE'!M1032</f>
        <v>6690</v>
      </c>
      <c r="H14" s="245">
        <f>'przedsiewziecia UE'!M754+'przedsiewziecia UE'!M1018+'przedsiewziecia UE'!M1033</f>
        <v>0</v>
      </c>
    </row>
    <row r="15" spans="1:8" x14ac:dyDescent="0.2">
      <c r="A15" s="244" t="s">
        <v>230</v>
      </c>
      <c r="B15" s="245">
        <f t="shared" si="2"/>
        <v>9433648.5700000003</v>
      </c>
      <c r="C15" s="245">
        <f>'przedsiewziecia UE'!M811</f>
        <v>0</v>
      </c>
      <c r="D15" s="245">
        <f>'przedsiewziecia UE'!M812</f>
        <v>6055169.5800000001</v>
      </c>
      <c r="E15" s="245">
        <f>'przedsiewziecia UE'!M813</f>
        <v>2636446.9700000002</v>
      </c>
      <c r="F15" s="245">
        <f>'przedsiewziecia UE'!M814</f>
        <v>0</v>
      </c>
      <c r="G15" s="245">
        <f>'przedsiewziecia UE'!M815</f>
        <v>742032.02</v>
      </c>
      <c r="H15" s="245">
        <f>'przedsiewziecia UE'!M816</f>
        <v>0</v>
      </c>
    </row>
    <row r="16" spans="1:8" x14ac:dyDescent="0.2">
      <c r="A16" s="244" t="s">
        <v>224</v>
      </c>
      <c r="B16" s="245">
        <f t="shared" si="2"/>
        <v>62592.380000000005</v>
      </c>
      <c r="C16" s="245">
        <f>'[1]Załącznik 9'!$H$60+'[1]Załącznik 9'!$H$74+'[1]Załącznik 9'!$H$96+'[1]Załącznik 9'!$H$102</f>
        <v>0</v>
      </c>
      <c r="D16" s="245">
        <f>'[1]Załącznik 9'!$H$61+'[1]Załącznik 9'!$H$75+'[1]Załącznik 9'!$H$97+'[1]Załącznik 9'!$H$103+'[1]Załącznik 9'!$H$89</f>
        <v>57607.16</v>
      </c>
      <c r="F16" s="245">
        <f>'[1]Załącznik 9'!$H$62+'[1]Załącznik 9'!$H$76+'[1]Załącznik 9'!$H$98+'[1]Załącznik 9'!$H$104</f>
        <v>4985.22</v>
      </c>
    </row>
    <row r="17" spans="1:7" x14ac:dyDescent="0.2">
      <c r="A17" s="244"/>
    </row>
    <row r="20" spans="1:7" x14ac:dyDescent="0.2">
      <c r="B20" s="245">
        <f>'przedsiewziecia UE'!M695+'[1]Załącznik 9'!$H$45</f>
        <v>125997528.26000001</v>
      </c>
    </row>
    <row r="21" spans="1:7" x14ac:dyDescent="0.2">
      <c r="B21" s="245">
        <f>B20-B11</f>
        <v>0</v>
      </c>
    </row>
    <row r="24" spans="1:7" x14ac:dyDescent="0.2">
      <c r="B24" s="245">
        <f>'przedsiewziecia UE'!M20+'[1]Załącznik 9'!$H$17</f>
        <v>13449404.829999998</v>
      </c>
      <c r="C24" s="245">
        <f>'przedsiewziecia UE'!M21+'[1]Załącznik 9'!$H$32</f>
        <v>389061.61000000004</v>
      </c>
      <c r="D24" s="245">
        <f>'przedsiewziecia UE'!M22+'[1]Załącznik 9'!$H$19</f>
        <v>11707749.079999998</v>
      </c>
      <c r="E24" s="245">
        <f>'przedsiewziecia UE'!M23</f>
        <v>0</v>
      </c>
      <c r="F24" s="245">
        <f>'przedsiewziecia UE'!M24+'[1]Załącznik 9'!$H$20</f>
        <v>1345072.71</v>
      </c>
      <c r="G24" s="245">
        <f>'przedsiewziecia UE'!M25</f>
        <v>7521.43</v>
      </c>
    </row>
    <row r="25" spans="1:7" x14ac:dyDescent="0.2">
      <c r="B25" s="245">
        <f>B24-B2</f>
        <v>0</v>
      </c>
      <c r="C25" s="245">
        <f>C24-C2</f>
        <v>0</v>
      </c>
      <c r="D25" s="245">
        <f t="shared" ref="D25:G25" si="4">D24-D2</f>
        <v>0</v>
      </c>
      <c r="E25" s="245">
        <f t="shared" si="4"/>
        <v>0</v>
      </c>
      <c r="F25" s="245">
        <f t="shared" si="4"/>
        <v>0</v>
      </c>
      <c r="G25" s="245">
        <f t="shared" si="4"/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opLeftCell="A7" workbookViewId="0">
      <selection activeCell="E30" sqref="E30"/>
    </sheetView>
  </sheetViews>
  <sheetFormatPr defaultRowHeight="12.75" x14ac:dyDescent="0.2"/>
  <cols>
    <col min="1" max="2" width="19.7109375" customWidth="1"/>
    <col min="3" max="9" width="14.7109375" customWidth="1"/>
  </cols>
  <sheetData>
    <row r="1" spans="1:13" s="249" customFormat="1" x14ac:dyDescent="0.2">
      <c r="C1" s="250" t="s">
        <v>231</v>
      </c>
      <c r="D1" s="250" t="s">
        <v>232</v>
      </c>
      <c r="E1" s="250" t="s">
        <v>233</v>
      </c>
      <c r="F1" s="250" t="s">
        <v>234</v>
      </c>
      <c r="G1" s="250" t="s">
        <v>237</v>
      </c>
      <c r="H1" s="250" t="s">
        <v>236</v>
      </c>
      <c r="I1" s="250" t="s">
        <v>235</v>
      </c>
    </row>
    <row r="2" spans="1:13" s="247" customFormat="1" x14ac:dyDescent="0.2">
      <c r="A2" s="247" t="s">
        <v>240</v>
      </c>
      <c r="C2" s="248">
        <f>SUM(D2:I2)</f>
        <v>13449404.829999998</v>
      </c>
      <c r="D2" s="248">
        <f t="shared" ref="D2:I2" si="0">SUM(D3:D9)</f>
        <v>389061.61</v>
      </c>
      <c r="E2" s="248">
        <f t="shared" si="0"/>
        <v>11707749.079999998</v>
      </c>
      <c r="F2" s="248">
        <f t="shared" si="0"/>
        <v>0</v>
      </c>
      <c r="G2" s="248">
        <f t="shared" si="0"/>
        <v>1345072.71</v>
      </c>
      <c r="H2" s="248">
        <f t="shared" si="0"/>
        <v>7521.43</v>
      </c>
      <c r="I2" s="248">
        <f t="shared" si="0"/>
        <v>0</v>
      </c>
      <c r="M2" s="247">
        <f>SUM(M3:M9)</f>
        <v>49</v>
      </c>
    </row>
    <row r="3" spans="1:13" x14ac:dyDescent="0.2">
      <c r="A3" s="244" t="s">
        <v>224</v>
      </c>
      <c r="B3" s="244"/>
      <c r="C3" s="245">
        <f>SUM(D3:I3)</f>
        <v>10786922.860000001</v>
      </c>
      <c r="D3" s="245">
        <f>'przedsiewziecia UE'!M59+'przedsiewziecia UE'!M72+'przedsiewziecia UE'!M82+'przedsiewziecia UE'!M91+'przedsiewziecia UE'!M102+'przedsiewziecia UE'!M154+'przedsiewziecia UE'!M200+'przedsiewziecia UE'!M210+'przedsiewziecia UE'!M256+'przedsiewziecia UE'!M265+'przedsiewziecia UE'!M276+'przedsiewziecia UE'!M285+'przedsiewziecia UE'!M294+'przedsiewziecia UE'!M305+'przedsiewziecia UE'!M315+'przedsiewziecia UE'!M324+'przedsiewziecia UE'!M342+'przedsiewziecia UE'!M355+'przedsiewziecia UE'!M367+'przedsiewziecia UE'!M378+'przedsiewziecia UE'!M387+'przedsiewziecia UE'!M396+'przedsiewziecia UE'!M405+'przedsiewziecia UE'!M414+'przedsiewziecia UE'!M423</f>
        <v>259011.90000000002</v>
      </c>
      <c r="E3" s="245">
        <f>'przedsiewziecia UE'!M60+'przedsiewziecia UE'!M73+'przedsiewziecia UE'!M83+'przedsiewziecia UE'!M92+'przedsiewziecia UE'!M103+'przedsiewziecia UE'!M155+'przedsiewziecia UE'!M201+'przedsiewziecia UE'!M211+'przedsiewziecia UE'!M257+'przedsiewziecia UE'!M266+'przedsiewziecia UE'!M277+'przedsiewziecia UE'!M286+'przedsiewziecia UE'!M295+'przedsiewziecia UE'!M306+'przedsiewziecia UE'!M316+'przedsiewziecia UE'!M325+'przedsiewziecia UE'!M343+'przedsiewziecia UE'!M356+'przedsiewziecia UE'!M368+'przedsiewziecia UE'!M379+'przedsiewziecia UE'!M388+'przedsiewziecia UE'!M397+'przedsiewziecia UE'!M406+'przedsiewziecia UE'!M415+'przedsiewziecia UE'!M424</f>
        <v>9417343.2000000011</v>
      </c>
      <c r="F3" s="245">
        <f>'przedsiewziecia UE'!M61+'przedsiewziecia UE'!M74+'przedsiewziecia UE'!M84+'przedsiewziecia UE'!M93+'przedsiewziecia UE'!M104+'przedsiewziecia UE'!M156+'przedsiewziecia UE'!M202+'przedsiewziecia UE'!M212+'przedsiewziecia UE'!M258+'przedsiewziecia UE'!M267+'przedsiewziecia UE'!M278+'przedsiewziecia UE'!M287+'przedsiewziecia UE'!M296+'przedsiewziecia UE'!M307+'przedsiewziecia UE'!M317+'przedsiewziecia UE'!M326+'przedsiewziecia UE'!M344+'przedsiewziecia UE'!M357+'przedsiewziecia UE'!M369+'przedsiewziecia UE'!M380+'przedsiewziecia UE'!M389+'przedsiewziecia UE'!M398+'przedsiewziecia UE'!M407+'przedsiewziecia UE'!M416+'przedsiewziecia UE'!M425</f>
        <v>0</v>
      </c>
      <c r="G3" s="245">
        <f>'przedsiewziecia UE'!M62+'przedsiewziecia UE'!M75+'przedsiewziecia UE'!M85+'przedsiewziecia UE'!M94+'przedsiewziecia UE'!M105+'przedsiewziecia UE'!M157+'przedsiewziecia UE'!M203+'przedsiewziecia UE'!M213+'przedsiewziecia UE'!M259+'przedsiewziecia UE'!M268+'przedsiewziecia UE'!M279+'przedsiewziecia UE'!M288+'przedsiewziecia UE'!M297+'przedsiewziecia UE'!M308+'przedsiewziecia UE'!M318+'przedsiewziecia UE'!M327+'przedsiewziecia UE'!M345+'przedsiewziecia UE'!M358+'przedsiewziecia UE'!M370+'przedsiewziecia UE'!M381+'przedsiewziecia UE'!M390+'przedsiewziecia UE'!M399+'przedsiewziecia UE'!M408+'przedsiewziecia UE'!M417+'przedsiewziecia UE'!M426</f>
        <v>1110567.76</v>
      </c>
      <c r="H3" s="245">
        <f>'przedsiewziecia UE'!M63+'przedsiewziecia UE'!M76+'przedsiewziecia UE'!M86+'przedsiewziecia UE'!M95+'przedsiewziecia UE'!M106+'przedsiewziecia UE'!M158+'przedsiewziecia UE'!M204+'przedsiewziecia UE'!M214+'przedsiewziecia UE'!M260+'przedsiewziecia UE'!M269+'przedsiewziecia UE'!M280+'przedsiewziecia UE'!M289+'przedsiewziecia UE'!M298+'przedsiewziecia UE'!M309+'przedsiewziecia UE'!M319+'przedsiewziecia UE'!M328+'przedsiewziecia UE'!M346+'przedsiewziecia UE'!M359+'przedsiewziecia UE'!M371+'przedsiewziecia UE'!M382+'przedsiewziecia UE'!M391+'przedsiewziecia UE'!M400+'przedsiewziecia UE'!M409+'przedsiewziecia UE'!M418+'przedsiewziecia UE'!M427</f>
        <v>0</v>
      </c>
      <c r="I3" s="245">
        <f>'przedsiewziecia UE'!M64+'przedsiewziecia UE'!M77+'przedsiewziecia UE'!M87+'przedsiewziecia UE'!M96+'przedsiewziecia UE'!M107+'przedsiewziecia UE'!M159+'przedsiewziecia UE'!M205+'przedsiewziecia UE'!M215+'przedsiewziecia UE'!M261+'przedsiewziecia UE'!M270+'przedsiewziecia UE'!M281+'przedsiewziecia UE'!M290+'przedsiewziecia UE'!M299+'przedsiewziecia UE'!M310+'przedsiewziecia UE'!M320+'przedsiewziecia UE'!M329+'przedsiewziecia UE'!M347+'przedsiewziecia UE'!M360+'przedsiewziecia UE'!M372+'przedsiewziecia UE'!M383+'przedsiewziecia UE'!M392+'przedsiewziecia UE'!M401+'przedsiewziecia UE'!M410+'przedsiewziecia UE'!M419+'przedsiewziecia UE'!M428</f>
        <v>0</v>
      </c>
      <c r="M3">
        <v>21</v>
      </c>
    </row>
    <row r="4" spans="1:13" x14ac:dyDescent="0.2">
      <c r="A4" s="244" t="s">
        <v>225</v>
      </c>
      <c r="B4" s="244"/>
      <c r="C4" s="245">
        <f t="shared" ref="C4:C9" si="1">SUM(D4:I4)</f>
        <v>313055.81</v>
      </c>
      <c r="D4" s="245">
        <f>'przedsiewziecia UE'!M50+'przedsiewziecia UE'!M120+'przedsiewziecia UE'!M130</f>
        <v>0</v>
      </c>
      <c r="E4" s="245">
        <f>'przedsiewziecia UE'!M51+'przedsiewziecia UE'!M121+'przedsiewziecia UE'!M131</f>
        <v>266097.44</v>
      </c>
      <c r="F4" s="245">
        <f>'przedsiewziecia UE'!M52+'przedsiewziecia UE'!M122+'przedsiewziecia UE'!M132</f>
        <v>0</v>
      </c>
      <c r="G4" s="245">
        <f>'przedsiewziecia UE'!M53+'przedsiewziecia UE'!M123+'przedsiewziecia UE'!M133</f>
        <v>46958.369999999995</v>
      </c>
      <c r="H4" s="245">
        <f>'przedsiewziecia UE'!M54+'przedsiewziecia UE'!M124+'przedsiewziecia UE'!M134</f>
        <v>0</v>
      </c>
      <c r="I4" s="245">
        <f>'przedsiewziecia UE'!M55+'przedsiewziecia UE'!M125+'przedsiewziecia UE'!M135</f>
        <v>0</v>
      </c>
      <c r="M4">
        <v>2</v>
      </c>
    </row>
    <row r="5" spans="1:13" x14ac:dyDescent="0.2">
      <c r="A5" s="244" t="s">
        <v>226</v>
      </c>
      <c r="B5" s="244"/>
      <c r="C5" s="245">
        <f t="shared" si="1"/>
        <v>420549.58</v>
      </c>
      <c r="D5" s="245">
        <f>'przedsiewziecia UE'!M616+'przedsiewziecia UE'!M627</f>
        <v>54311.57</v>
      </c>
      <c r="E5" s="245">
        <f>'przedsiewziecia UE'!M617+'przedsiewziecia UE'!M628</f>
        <v>337434.28</v>
      </c>
      <c r="F5" s="245">
        <f>'przedsiewziecia UE'!M618+'przedsiewziecia UE'!M629</f>
        <v>0</v>
      </c>
      <c r="G5" s="245">
        <f>'przedsiewziecia UE'!M619+'przedsiewziecia UE'!M630</f>
        <v>28803.73</v>
      </c>
      <c r="H5" s="245">
        <f>'przedsiewziecia UE'!M620+'przedsiewziecia UE'!M631</f>
        <v>0</v>
      </c>
      <c r="I5" s="245">
        <f>'przedsiewziecia UE'!M621+'przedsiewziecia UE'!M632</f>
        <v>0</v>
      </c>
      <c r="M5">
        <v>2</v>
      </c>
    </row>
    <row r="6" spans="1:13" x14ac:dyDescent="0.2">
      <c r="A6" s="244" t="s">
        <v>227</v>
      </c>
      <c r="B6" s="244"/>
      <c r="C6" s="245">
        <f t="shared" si="1"/>
        <v>6642</v>
      </c>
      <c r="D6" s="245">
        <f>'przedsiewziecia UE'!M638+'przedsiewziecia UE'!M652+'przedsiewziecia UE'!M665</f>
        <v>996.3</v>
      </c>
      <c r="E6" s="245">
        <f>'przedsiewziecia UE'!M639+'przedsiewziecia UE'!M653+'przedsiewziecia UE'!M666</f>
        <v>5645.7</v>
      </c>
      <c r="F6" s="245">
        <f>'przedsiewziecia UE'!M640+'przedsiewziecia UE'!M654+'przedsiewziecia UE'!M667</f>
        <v>0</v>
      </c>
      <c r="G6" s="245">
        <f>'przedsiewziecia UE'!M641+'przedsiewziecia UE'!M655+'przedsiewziecia UE'!M668</f>
        <v>0</v>
      </c>
      <c r="H6" s="245">
        <f>'przedsiewziecia UE'!M642+'przedsiewziecia UE'!M656+'przedsiewziecia UE'!M669</f>
        <v>0</v>
      </c>
      <c r="I6" s="245">
        <f>'przedsiewziecia UE'!M643+'przedsiewziecia UE'!M657+'przedsiewziecia UE'!M670</f>
        <v>0</v>
      </c>
      <c r="M6">
        <v>3</v>
      </c>
    </row>
    <row r="7" spans="1:13" x14ac:dyDescent="0.2">
      <c r="A7" s="244" t="s">
        <v>82</v>
      </c>
      <c r="B7" s="244"/>
      <c r="C7" s="245">
        <f t="shared" si="1"/>
        <v>358315.72</v>
      </c>
      <c r="D7" s="245">
        <f>'przedsiewziecia UE'!M432+'przedsiewziecia UE'!M441+'przedsiewziecia UE'!M450+'przedsiewziecia UE'!M459+'przedsiewziecia UE'!M468+'przedsiewziecia UE'!M480+'przedsiewziecia UE'!M489+'przedsiewziecia UE'!M498+'przedsiewziecia UE'!M507+'przedsiewziecia UE'!M516+'przedsiewziecia UE'!M525+'przedsiewziecia UE'!M534+'[1]Załącznik 9'!$H$32</f>
        <v>0</v>
      </c>
      <c r="E7" s="245">
        <f>'przedsiewziecia UE'!M433+'przedsiewziecia UE'!M442+'przedsiewziecia UE'!M451+'przedsiewziecia UE'!M460+'przedsiewziecia UE'!M469+'przedsiewziecia UE'!M481+'przedsiewziecia UE'!M490+'przedsiewziecia UE'!M499+'przedsiewziecia UE'!M508+'przedsiewziecia UE'!M517+'przedsiewziecia UE'!M526+'przedsiewziecia UE'!M535+'[1]Załącznik 9'!$H$33</f>
        <v>358315.72</v>
      </c>
      <c r="F7" s="245">
        <f>'przedsiewziecia UE'!M434+'przedsiewziecia UE'!M443+'przedsiewziecia UE'!M452+'przedsiewziecia UE'!M461+'przedsiewziecia UE'!M470+'przedsiewziecia UE'!M482+'przedsiewziecia UE'!M491+'przedsiewziecia UE'!M500+'przedsiewziecia UE'!M509+'przedsiewziecia UE'!M518+'przedsiewziecia UE'!M527+'przedsiewziecia UE'!M536</f>
        <v>0</v>
      </c>
      <c r="G7" s="245">
        <f>'[1]Załącznik 9'!$H$34</f>
        <v>0</v>
      </c>
      <c r="H7" s="245"/>
      <c r="I7" s="245"/>
      <c r="M7">
        <v>11</v>
      </c>
    </row>
    <row r="8" spans="1:13" x14ac:dyDescent="0.2">
      <c r="A8" s="244" t="s">
        <v>229</v>
      </c>
      <c r="B8" s="244"/>
      <c r="C8" s="245">
        <f t="shared" si="1"/>
        <v>1065804.56</v>
      </c>
      <c r="D8" s="245">
        <f>'przedsiewziecia UE'!M543+'przedsiewziecia UE'!M552+'przedsiewziecia UE'!M575+'przedsiewziecia UE'!M584</f>
        <v>0</v>
      </c>
      <c r="E8" s="245">
        <f>'przedsiewziecia UE'!M544+'przedsiewziecia UE'!M553+'przedsiewziecia UE'!M576+'przedsiewziecia UE'!M585</f>
        <v>899540.28</v>
      </c>
      <c r="F8" s="245">
        <f>'przedsiewziecia UE'!M545+'przedsiewziecia UE'!M554+'przedsiewziecia UE'!M577+'przedsiewziecia UE'!M586</f>
        <v>0</v>
      </c>
      <c r="G8" s="245">
        <f>'przedsiewziecia UE'!M546+'przedsiewziecia UE'!M555+'przedsiewziecia UE'!M578+'przedsiewziecia UE'!M587</f>
        <v>158742.85</v>
      </c>
      <c r="H8" s="245">
        <f>'przedsiewziecia UE'!M547+'przedsiewziecia UE'!M556+'przedsiewziecia UE'!M579+'przedsiewziecia UE'!M588</f>
        <v>7521.43</v>
      </c>
      <c r="I8" s="245"/>
      <c r="M8">
        <v>5</v>
      </c>
    </row>
    <row r="9" spans="1:13" x14ac:dyDescent="0.2">
      <c r="A9" s="244" t="s">
        <v>336</v>
      </c>
      <c r="B9" s="244"/>
      <c r="C9" s="245">
        <f t="shared" si="1"/>
        <v>498114.29999999993</v>
      </c>
      <c r="D9" s="245">
        <f>'przedsiewziecia UE'!M39+'przedsiewziecia UE'!M221+'przedsiewziecia UE'!M234+'przedsiewziecia UE'!M678+'przedsiewziecia UE'!M687</f>
        <v>74741.84</v>
      </c>
      <c r="E9" s="245">
        <f>'przedsiewziecia UE'!M40+'przedsiewziecia UE'!M222+'przedsiewziecia UE'!M235+'przedsiewziecia UE'!M679+'przedsiewziecia UE'!M688</f>
        <v>423372.45999999996</v>
      </c>
      <c r="F9" s="245">
        <f>'przedsiewziecia UE'!M41+'przedsiewziecia UE'!M223+'przedsiewziecia UE'!M236+'przedsiewziecia UE'!M680+'przedsiewziecia UE'!M689</f>
        <v>0</v>
      </c>
      <c r="G9" s="245">
        <f>'przedsiewziecia UE'!M42+'przedsiewziecia UE'!M224+'przedsiewziecia UE'!M237+'przedsiewziecia UE'!M681+'przedsiewziecia UE'!M690</f>
        <v>0</v>
      </c>
      <c r="H9" s="245"/>
      <c r="I9" s="245"/>
      <c r="M9">
        <v>5</v>
      </c>
    </row>
    <row r="10" spans="1:13" x14ac:dyDescent="0.2">
      <c r="A10" s="244"/>
      <c r="B10" s="244"/>
      <c r="C10" s="245"/>
      <c r="D10" s="245"/>
      <c r="E10" s="245"/>
      <c r="F10" s="245"/>
      <c r="G10" s="245"/>
      <c r="H10" s="245"/>
      <c r="I10" s="245"/>
    </row>
    <row r="11" spans="1:13" x14ac:dyDescent="0.2">
      <c r="A11" s="244"/>
      <c r="C11" s="245"/>
      <c r="D11" s="245"/>
      <c r="E11" s="245"/>
      <c r="F11" s="245"/>
      <c r="G11" s="245"/>
      <c r="H11" s="245"/>
      <c r="I11" s="245"/>
    </row>
    <row r="12" spans="1:13" s="247" customFormat="1" x14ac:dyDescent="0.2">
      <c r="A12" s="247" t="s">
        <v>228</v>
      </c>
      <c r="C12" s="248">
        <f t="shared" ref="C12:C17" si="2">SUM(D12:I12)</f>
        <v>125997528.25999999</v>
      </c>
      <c r="D12" s="248">
        <f t="shared" ref="D12:I12" si="3">SUM(D13:D17)</f>
        <v>14672333.460000001</v>
      </c>
      <c r="E12" s="248">
        <f t="shared" si="3"/>
        <v>71413836.729999989</v>
      </c>
      <c r="F12" s="248">
        <f t="shared" si="3"/>
        <v>32871257.280000001</v>
      </c>
      <c r="G12" s="248">
        <f t="shared" si="3"/>
        <v>5723.22</v>
      </c>
      <c r="H12" s="248">
        <f t="shared" si="3"/>
        <v>7034377.5699999984</v>
      </c>
      <c r="I12" s="248">
        <f t="shared" si="3"/>
        <v>0</v>
      </c>
      <c r="M12" s="247">
        <f>SUM(M13:M17)</f>
        <v>25</v>
      </c>
    </row>
    <row r="13" spans="1:13" x14ac:dyDescent="0.2">
      <c r="A13" s="244" t="s">
        <v>226</v>
      </c>
      <c r="B13" s="244"/>
      <c r="C13" s="245">
        <f t="shared" si="2"/>
        <v>62923306.32</v>
      </c>
      <c r="D13" s="245">
        <f>'przedsiewziecia UE'!M782+'przedsiewziecia UE'!M792+'przedsiewziecia UE'!M820+'przedsiewziecia UE'!M829+'przedsiewziecia UE'!M839+'przedsiewziecia UE'!M848+'przedsiewziecia UE'!M857+'przedsiewziecia UE'!M946+'przedsiewziecia UE'!M956+'przedsiewziecia UE'!M967+'przedsiewziecia UE'!M976+'przedsiewziecia UE'!M985+'przedsiewziecia UE'!M995</f>
        <v>8741283.4000000004</v>
      </c>
      <c r="E13" s="245">
        <f>'przedsiewziecia UE'!M783+'przedsiewziecia UE'!M793+'przedsiewziecia UE'!M821+'przedsiewziecia UE'!M830+'przedsiewziecia UE'!M840+'przedsiewziecia UE'!M849+'przedsiewziecia UE'!M858+'przedsiewziecia UE'!M947+'przedsiewziecia UE'!M957+'przedsiewziecia UE'!M968+'przedsiewziecia UE'!M977+'przedsiewziecia UE'!M986+'przedsiewziecia UE'!M996</f>
        <v>32156969.039999999</v>
      </c>
      <c r="F13" s="245">
        <f>'przedsiewziecia UE'!M784+'przedsiewziecia UE'!M794+'przedsiewziecia UE'!M822+'przedsiewziecia UE'!M831+'przedsiewziecia UE'!M841+'przedsiewziecia UE'!M850+'przedsiewziecia UE'!M859+'przedsiewziecia UE'!M948+'przedsiewziecia UE'!M958+'przedsiewziecia UE'!M969+'przedsiewziecia UE'!M978+'przedsiewziecia UE'!M987+'przedsiewziecia UE'!M997</f>
        <v>18504585</v>
      </c>
      <c r="G13" s="245">
        <f>'przedsiewziecia UE'!M785+'przedsiewziecia UE'!M795+'przedsiewziecia UE'!M823+'przedsiewziecia UE'!M832+'przedsiewziecia UE'!M842+'przedsiewziecia UE'!M851+'przedsiewziecia UE'!M860+'przedsiewziecia UE'!M949+'przedsiewziecia UE'!M959+'przedsiewziecia UE'!M970+'przedsiewziecia UE'!M979+'przedsiewziecia UE'!M988+'przedsiewziecia UE'!M998</f>
        <v>0</v>
      </c>
      <c r="H13" s="245">
        <f>'przedsiewziecia UE'!M786+'przedsiewziecia UE'!M796+'przedsiewziecia UE'!M824+'przedsiewziecia UE'!M833+'przedsiewziecia UE'!M843+'przedsiewziecia UE'!M852+'przedsiewziecia UE'!M861+'przedsiewziecia UE'!M950+'przedsiewziecia UE'!M960+'przedsiewziecia UE'!M971+'przedsiewziecia UE'!M980+'przedsiewziecia UE'!M989+'przedsiewziecia UE'!M999</f>
        <v>3520468.8799999994</v>
      </c>
      <c r="I13" s="245"/>
      <c r="M13">
        <v>7</v>
      </c>
    </row>
    <row r="14" spans="1:13" x14ac:dyDescent="0.2">
      <c r="A14" s="244" t="s">
        <v>227</v>
      </c>
      <c r="B14" s="244"/>
      <c r="C14" s="245">
        <f t="shared" si="2"/>
        <v>53196942.120000005</v>
      </c>
      <c r="D14" s="245">
        <f>'przedsiewziecia UE'!M714+'przedsiewziecia UE'!M727+'przedsiewziecia UE'!M866+'przedsiewziecia UE'!M875+'przedsiewziecia UE'!M885+'przedsiewziecia UE'!M896+'przedsiewziecia UE'!M916+'[1]Załącznik 9'!$H$67</f>
        <v>5874897.7300000004</v>
      </c>
      <c r="E14" s="245">
        <f>'przedsiewziecia UE'!M715+'przedsiewziecia UE'!M728+'przedsiewziecia UE'!M867+'przedsiewziecia UE'!M876+'przedsiewziecia UE'!M886+'przedsiewziecia UE'!M897+'przedsiewziecia UE'!M917+'[1]Załącznik 9'!$H$68</f>
        <v>32825894.409999996</v>
      </c>
      <c r="F14" s="245">
        <f>'przedsiewziecia UE'!M716+'przedsiewziecia UE'!M729+'przedsiewziecia UE'!M868+'przedsiewziecia UE'!M877+'przedsiewziecia UE'!M887+'przedsiewziecia UE'!M898+'przedsiewziecia UE'!M9168</f>
        <v>11730225.310000001</v>
      </c>
      <c r="G14" s="245">
        <f>'przedsiewziecia UE'!M717+'przedsiewziecia UE'!M730+'przedsiewziecia UE'!M869+'przedsiewziecia UE'!M878+'przedsiewziecia UE'!M888+'przedsiewziecia UE'!M899+'przedsiewziecia UE'!M919+'[1]Załącznik 9'!$H$69</f>
        <v>738</v>
      </c>
      <c r="H14" s="245">
        <f>'przedsiewziecia UE'!M718+'przedsiewziecia UE'!M731+'przedsiewziecia UE'!M870+'przedsiewziecia UE'!M879+'przedsiewziecia UE'!M889+'przedsiewziecia UE'!M900+'przedsiewziecia UE'!M920</f>
        <v>2765186.67</v>
      </c>
      <c r="I14" s="245"/>
      <c r="M14">
        <v>11</v>
      </c>
    </row>
    <row r="15" spans="1:13" x14ac:dyDescent="0.2">
      <c r="A15" s="244" t="s">
        <v>336</v>
      </c>
      <c r="B15" s="244"/>
      <c r="C15" s="245">
        <f t="shared" si="2"/>
        <v>381038.87000000005</v>
      </c>
      <c r="D15" s="245">
        <f>'przedsiewziecia UE'!M749+'przedsiewziecia UE'!M1013+'przedsiewziecia UE'!M1028</f>
        <v>56152.33</v>
      </c>
      <c r="E15" s="245">
        <f>'przedsiewziecia UE'!M750+'przedsiewziecia UE'!M1014+'przedsiewziecia UE'!M1029</f>
        <v>318196.54000000004</v>
      </c>
      <c r="F15" s="245">
        <f>'przedsiewziecia UE'!M751+'przedsiewziecia UE'!M1015+'przedsiewziecia UE'!M1030</f>
        <v>0</v>
      </c>
      <c r="G15" s="245">
        <f>'przedsiewziecia UE'!M752+'przedsiewziecia UE'!M1016+'przedsiewziecia UE'!M1031</f>
        <v>0</v>
      </c>
      <c r="H15" s="245">
        <f>'przedsiewziecia UE'!M753+'przedsiewziecia UE'!M1017+'przedsiewziecia UE'!M1032</f>
        <v>6690</v>
      </c>
      <c r="I15" s="245"/>
      <c r="M15">
        <v>1</v>
      </c>
    </row>
    <row r="16" spans="1:13" x14ac:dyDescent="0.2">
      <c r="A16" s="244" t="s">
        <v>230</v>
      </c>
      <c r="B16" s="244"/>
      <c r="C16" s="245">
        <f t="shared" si="2"/>
        <v>9433648.5700000003</v>
      </c>
      <c r="D16" s="245">
        <f>'przedsiewziecia UE'!M811</f>
        <v>0</v>
      </c>
      <c r="E16" s="245">
        <f>'przedsiewziecia UE'!M812</f>
        <v>6055169.5800000001</v>
      </c>
      <c r="F16" s="245">
        <f>'przedsiewziecia UE'!M813</f>
        <v>2636446.9700000002</v>
      </c>
      <c r="G16" s="245">
        <f>'przedsiewziecia UE'!M814</f>
        <v>0</v>
      </c>
      <c r="H16" s="245">
        <f>'przedsiewziecia UE'!M815</f>
        <v>742032.02</v>
      </c>
      <c r="I16" s="245"/>
      <c r="M16">
        <v>1</v>
      </c>
    </row>
    <row r="17" spans="1:13" x14ac:dyDescent="0.2">
      <c r="A17" s="244" t="s">
        <v>224</v>
      </c>
      <c r="B17" s="244"/>
      <c r="C17" s="245">
        <f t="shared" si="2"/>
        <v>62592.380000000005</v>
      </c>
      <c r="D17" s="245">
        <f>'[1]Załącznik 9'!$H$60+'[1]Załącznik 9'!$H$74+'[1]Załącznik 9'!$H$96+'[1]Załącznik 9'!$H$102</f>
        <v>0</v>
      </c>
      <c r="E17" s="245">
        <f>'[1]Załącznik 9'!$H$61+'[1]Załącznik 9'!$H$75+'[1]Załącznik 9'!$H$97+'[1]Załącznik 9'!$H$103+'[1]Załącznik 9'!$H$89</f>
        <v>57607.16</v>
      </c>
      <c r="F17" s="245"/>
      <c r="G17" s="245">
        <f>'[1]Załącznik 9'!$H$62+'[1]Załącznik 9'!$H$76+'[1]Załącznik 9'!$H$98+'[1]Załącznik 9'!$H$104</f>
        <v>4985.22</v>
      </c>
      <c r="H17" s="245"/>
      <c r="I17" s="245"/>
      <c r="M17">
        <v>5</v>
      </c>
    </row>
    <row r="20" spans="1:13" s="247" customFormat="1" x14ac:dyDescent="0.2">
      <c r="A20" s="247" t="s">
        <v>231</v>
      </c>
      <c r="C20" s="248">
        <f>SUM(D20:I20)</f>
        <v>139446933.09</v>
      </c>
      <c r="D20" s="248">
        <f t="shared" ref="D20:I20" si="4">SUM(D21:D28)</f>
        <v>15061395.07</v>
      </c>
      <c r="E20" s="248">
        <f t="shared" si="4"/>
        <v>83121585.809999987</v>
      </c>
      <c r="F20" s="248">
        <f t="shared" si="4"/>
        <v>32871257.280000001</v>
      </c>
      <c r="G20" s="248">
        <f t="shared" si="4"/>
        <v>1350795.9300000002</v>
      </c>
      <c r="H20" s="248">
        <f t="shared" si="4"/>
        <v>7041898.9999999981</v>
      </c>
      <c r="I20" s="248">
        <f t="shared" si="4"/>
        <v>0</v>
      </c>
    </row>
    <row r="21" spans="1:13" x14ac:dyDescent="0.2">
      <c r="A21" t="s">
        <v>226</v>
      </c>
      <c r="C21" s="245">
        <f t="shared" ref="C21:C28" si="5">SUM(D21:I21)</f>
        <v>63343855.899999999</v>
      </c>
      <c r="D21" s="245">
        <f>D5+D13</f>
        <v>8795594.9700000007</v>
      </c>
      <c r="E21" s="245">
        <f t="shared" ref="E21:I21" si="6">E5+E13</f>
        <v>32494403.32</v>
      </c>
      <c r="F21" s="245">
        <f t="shared" si="6"/>
        <v>18504585</v>
      </c>
      <c r="G21" s="245">
        <f t="shared" si="6"/>
        <v>28803.73</v>
      </c>
      <c r="H21" s="245">
        <f t="shared" si="6"/>
        <v>3520468.8799999994</v>
      </c>
      <c r="I21" s="245">
        <f t="shared" si="6"/>
        <v>0</v>
      </c>
    </row>
    <row r="22" spans="1:13" x14ac:dyDescent="0.2">
      <c r="A22" t="s">
        <v>227</v>
      </c>
      <c r="C22" s="245">
        <f t="shared" si="5"/>
        <v>53203584.119999997</v>
      </c>
      <c r="D22" s="245">
        <f>D6+D14</f>
        <v>5875894.0300000003</v>
      </c>
      <c r="E22" s="245">
        <f t="shared" ref="E22:I22" si="7">E6+E14</f>
        <v>32831540.109999996</v>
      </c>
      <c r="F22" s="245">
        <f t="shared" si="7"/>
        <v>11730225.310000001</v>
      </c>
      <c r="G22" s="245">
        <f t="shared" si="7"/>
        <v>738</v>
      </c>
      <c r="H22" s="245">
        <f t="shared" si="7"/>
        <v>2765186.67</v>
      </c>
      <c r="I22" s="245">
        <f t="shared" si="7"/>
        <v>0</v>
      </c>
    </row>
    <row r="23" spans="1:13" x14ac:dyDescent="0.2">
      <c r="A23" t="s">
        <v>225</v>
      </c>
      <c r="C23" s="245">
        <f t="shared" si="5"/>
        <v>313055.81</v>
      </c>
      <c r="D23" s="245">
        <f>D4</f>
        <v>0</v>
      </c>
      <c r="E23" s="245">
        <f t="shared" ref="E23:I23" si="8">E4</f>
        <v>266097.44</v>
      </c>
      <c r="F23" s="245">
        <f t="shared" si="8"/>
        <v>0</v>
      </c>
      <c r="G23" s="245">
        <f t="shared" si="8"/>
        <v>46958.369999999995</v>
      </c>
      <c r="H23" s="245">
        <f t="shared" si="8"/>
        <v>0</v>
      </c>
      <c r="I23" s="245">
        <f t="shared" si="8"/>
        <v>0</v>
      </c>
    </row>
    <row r="24" spans="1:13" x14ac:dyDescent="0.2">
      <c r="A24" t="s">
        <v>224</v>
      </c>
      <c r="C24" s="245">
        <f t="shared" si="5"/>
        <v>10849515.240000002</v>
      </c>
      <c r="D24" s="245">
        <f>D3+D17</f>
        <v>259011.90000000002</v>
      </c>
      <c r="E24" s="245">
        <f t="shared" ref="E24:I24" si="9">E3+E17</f>
        <v>9474950.3600000013</v>
      </c>
      <c r="F24" s="245">
        <f t="shared" si="9"/>
        <v>0</v>
      </c>
      <c r="G24" s="245">
        <f t="shared" si="9"/>
        <v>1115552.98</v>
      </c>
      <c r="H24" s="245">
        <f t="shared" si="9"/>
        <v>0</v>
      </c>
      <c r="I24" s="245">
        <f t="shared" si="9"/>
        <v>0</v>
      </c>
    </row>
    <row r="25" spans="1:13" x14ac:dyDescent="0.2">
      <c r="A25" t="s">
        <v>230</v>
      </c>
      <c r="C25" s="245">
        <f t="shared" si="5"/>
        <v>9433648.5700000003</v>
      </c>
      <c r="D25" s="245">
        <f>D16</f>
        <v>0</v>
      </c>
      <c r="E25" s="245">
        <f t="shared" ref="E25:I25" si="10">E16</f>
        <v>6055169.5800000001</v>
      </c>
      <c r="F25" s="245">
        <f t="shared" si="10"/>
        <v>2636446.9700000002</v>
      </c>
      <c r="G25" s="245">
        <f t="shared" si="10"/>
        <v>0</v>
      </c>
      <c r="H25" s="245">
        <f t="shared" si="10"/>
        <v>742032.02</v>
      </c>
      <c r="I25" s="245">
        <f t="shared" si="10"/>
        <v>0</v>
      </c>
    </row>
    <row r="26" spans="1:13" x14ac:dyDescent="0.2">
      <c r="A26" t="s">
        <v>82</v>
      </c>
      <c r="C26" s="245">
        <f t="shared" si="5"/>
        <v>358315.72</v>
      </c>
      <c r="D26" s="245">
        <f>D7</f>
        <v>0</v>
      </c>
      <c r="E26" s="245">
        <f t="shared" ref="E26:I26" si="11">E7</f>
        <v>358315.72</v>
      </c>
      <c r="F26" s="245">
        <f t="shared" si="11"/>
        <v>0</v>
      </c>
      <c r="G26" s="245">
        <f t="shared" si="11"/>
        <v>0</v>
      </c>
      <c r="H26" s="245">
        <f t="shared" si="11"/>
        <v>0</v>
      </c>
      <c r="I26" s="245">
        <f t="shared" si="11"/>
        <v>0</v>
      </c>
    </row>
    <row r="27" spans="1:13" x14ac:dyDescent="0.2">
      <c r="A27" t="s">
        <v>229</v>
      </c>
      <c r="C27" s="245">
        <f t="shared" si="5"/>
        <v>1065804.56</v>
      </c>
      <c r="D27" s="245">
        <f>D8</f>
        <v>0</v>
      </c>
      <c r="E27" s="245">
        <f t="shared" ref="E27:I27" si="12">E8</f>
        <v>899540.28</v>
      </c>
      <c r="F27" s="245">
        <f t="shared" si="12"/>
        <v>0</v>
      </c>
      <c r="G27" s="245">
        <f t="shared" si="12"/>
        <v>158742.85</v>
      </c>
      <c r="H27" s="245">
        <f t="shared" si="12"/>
        <v>7521.43</v>
      </c>
      <c r="I27" s="245">
        <f t="shared" si="12"/>
        <v>0</v>
      </c>
    </row>
    <row r="28" spans="1:13" x14ac:dyDescent="0.2">
      <c r="A28" t="s">
        <v>336</v>
      </c>
      <c r="C28" s="245">
        <f t="shared" si="5"/>
        <v>879153.17</v>
      </c>
      <c r="D28" s="245">
        <f>D9+D15</f>
        <v>130894.17</v>
      </c>
      <c r="E28" s="245">
        <f t="shared" ref="E28:I28" si="13">E9+E15</f>
        <v>741569</v>
      </c>
      <c r="F28" s="245">
        <f t="shared" si="13"/>
        <v>0</v>
      </c>
      <c r="G28" s="245">
        <f t="shared" si="13"/>
        <v>0</v>
      </c>
      <c r="H28" s="245">
        <f t="shared" si="13"/>
        <v>6690</v>
      </c>
      <c r="I28" s="245">
        <f t="shared" si="13"/>
        <v>0</v>
      </c>
    </row>
    <row r="30" spans="1:13" x14ac:dyDescent="0.2">
      <c r="A30" s="247" t="s">
        <v>231</v>
      </c>
      <c r="B30" s="247"/>
      <c r="C30" s="252">
        <f>SUM(D30:I30)</f>
        <v>99.999999999999986</v>
      </c>
      <c r="D30" s="252">
        <f t="shared" ref="D30:I30" si="14">D20/$C20*100</f>
        <v>10.800807688096857</v>
      </c>
      <c r="E30" s="252">
        <f t="shared" si="14"/>
        <v>59.608041545347405</v>
      </c>
      <c r="F30" s="252">
        <f t="shared" si="14"/>
        <v>23.572592492073429</v>
      </c>
      <c r="G30" s="252">
        <f t="shared" si="14"/>
        <v>0.96868098857949592</v>
      </c>
      <c r="H30" s="252">
        <f t="shared" si="14"/>
        <v>5.0498772859028085</v>
      </c>
      <c r="I30" s="252">
        <f t="shared" si="14"/>
        <v>0</v>
      </c>
    </row>
    <row r="31" spans="1:13" x14ac:dyDescent="0.2">
      <c r="A31" t="s">
        <v>226</v>
      </c>
      <c r="C31" s="251">
        <f t="shared" ref="C31:C38" si="15">SUM(D31:I31)</f>
        <v>100.00000000000001</v>
      </c>
      <c r="D31" s="251">
        <f t="shared" ref="D31:I31" si="16">D21/$C21*100</f>
        <v>13.885474518452865</v>
      </c>
      <c r="E31" s="251">
        <f t="shared" si="16"/>
        <v>51.298429592442915</v>
      </c>
      <c r="F31" s="251">
        <f t="shared" si="16"/>
        <v>29.212912187115531</v>
      </c>
      <c r="G31" s="251">
        <f t="shared" si="16"/>
        <v>4.5472018699764687E-2</v>
      </c>
      <c r="H31" s="251">
        <f t="shared" si="16"/>
        <v>5.5577116832889226</v>
      </c>
      <c r="I31" s="251">
        <f t="shared" si="16"/>
        <v>0</v>
      </c>
    </row>
    <row r="32" spans="1:13" x14ac:dyDescent="0.2">
      <c r="A32" t="s">
        <v>227</v>
      </c>
      <c r="C32" s="251">
        <f t="shared" si="15"/>
        <v>100</v>
      </c>
      <c r="D32" s="251">
        <f t="shared" ref="D32:I32" si="17">D22/$C22*100</f>
        <v>11.044169537050355</v>
      </c>
      <c r="E32" s="251">
        <f t="shared" si="17"/>
        <v>61.709263864533796</v>
      </c>
      <c r="F32" s="251">
        <f t="shared" si="17"/>
        <v>22.047810319587921</v>
      </c>
      <c r="G32" s="251">
        <f t="shared" si="17"/>
        <v>1.3871245935902562E-3</v>
      </c>
      <c r="H32" s="251">
        <f t="shared" si="17"/>
        <v>5.197369154234341</v>
      </c>
      <c r="I32" s="251">
        <f t="shared" si="17"/>
        <v>0</v>
      </c>
    </row>
    <row r="33" spans="1:9" x14ac:dyDescent="0.2">
      <c r="A33" t="s">
        <v>225</v>
      </c>
      <c r="C33" s="251">
        <f t="shared" si="15"/>
        <v>100</v>
      </c>
      <c r="D33" s="251">
        <f t="shared" ref="D33:I33" si="18">D23/$C23*100</f>
        <v>0</v>
      </c>
      <c r="E33" s="251">
        <f t="shared" si="18"/>
        <v>85.000000479147801</v>
      </c>
      <c r="F33" s="251">
        <f t="shared" si="18"/>
        <v>0</v>
      </c>
      <c r="G33" s="251">
        <f t="shared" si="18"/>
        <v>14.999999520852207</v>
      </c>
      <c r="H33" s="251">
        <f t="shared" si="18"/>
        <v>0</v>
      </c>
      <c r="I33" s="251">
        <f t="shared" si="18"/>
        <v>0</v>
      </c>
    </row>
    <row r="34" spans="1:9" x14ac:dyDescent="0.2">
      <c r="A34" t="s">
        <v>224</v>
      </c>
      <c r="C34" s="251">
        <f t="shared" si="15"/>
        <v>99.999999999999986</v>
      </c>
      <c r="D34" s="251">
        <f t="shared" ref="D34:I34" si="19">D24/$C24*100</f>
        <v>2.3873131128022638</v>
      </c>
      <c r="E34" s="251">
        <f t="shared" si="19"/>
        <v>87.33063321638322</v>
      </c>
      <c r="F34" s="251">
        <f t="shared" si="19"/>
        <v>0</v>
      </c>
      <c r="G34" s="251">
        <f t="shared" si="19"/>
        <v>10.282053670814511</v>
      </c>
      <c r="H34" s="251">
        <f t="shared" si="19"/>
        <v>0</v>
      </c>
      <c r="I34" s="251">
        <f t="shared" si="19"/>
        <v>0</v>
      </c>
    </row>
    <row r="35" spans="1:9" x14ac:dyDescent="0.2">
      <c r="A35" t="s">
        <v>230</v>
      </c>
      <c r="C35" s="251">
        <f t="shared" si="15"/>
        <v>100</v>
      </c>
      <c r="D35" s="251">
        <f t="shared" ref="D35:I35" si="20">D25/$C25*100</f>
        <v>0</v>
      </c>
      <c r="E35" s="251">
        <f t="shared" si="20"/>
        <v>64.186931864899861</v>
      </c>
      <c r="F35" s="251">
        <f t="shared" si="20"/>
        <v>27.94726717279018</v>
      </c>
      <c r="G35" s="251">
        <f t="shared" si="20"/>
        <v>0</v>
      </c>
      <c r="H35" s="251">
        <f t="shared" si="20"/>
        <v>7.8658009623099625</v>
      </c>
      <c r="I35" s="251">
        <f t="shared" si="20"/>
        <v>0</v>
      </c>
    </row>
    <row r="36" spans="1:9" x14ac:dyDescent="0.2">
      <c r="A36" t="s">
        <v>82</v>
      </c>
      <c r="C36" s="251">
        <f t="shared" si="15"/>
        <v>100</v>
      </c>
      <c r="D36" s="251">
        <f t="shared" ref="D36:I36" si="21">D26/$C26*100</f>
        <v>0</v>
      </c>
      <c r="E36" s="251">
        <f t="shared" si="21"/>
        <v>100</v>
      </c>
      <c r="F36" s="251">
        <f t="shared" si="21"/>
        <v>0</v>
      </c>
      <c r="G36" s="251">
        <f t="shared" si="21"/>
        <v>0</v>
      </c>
      <c r="H36" s="251">
        <f t="shared" si="21"/>
        <v>0</v>
      </c>
      <c r="I36" s="251">
        <f t="shared" si="21"/>
        <v>0</v>
      </c>
    </row>
    <row r="37" spans="1:9" x14ac:dyDescent="0.2">
      <c r="A37" t="s">
        <v>229</v>
      </c>
      <c r="C37" s="251">
        <f t="shared" si="15"/>
        <v>100</v>
      </c>
      <c r="D37" s="251">
        <f t="shared" ref="D37:I38" si="22">D27/$C27*100</f>
        <v>0</v>
      </c>
      <c r="E37" s="251">
        <f t="shared" si="22"/>
        <v>84.400115533376962</v>
      </c>
      <c r="F37" s="251">
        <f t="shared" si="22"/>
        <v>0</v>
      </c>
      <c r="G37" s="251">
        <f t="shared" si="22"/>
        <v>14.894180036159725</v>
      </c>
      <c r="H37" s="251">
        <f t="shared" si="22"/>
        <v>0.70570443046331122</v>
      </c>
      <c r="I37" s="251">
        <f t="shared" si="22"/>
        <v>0</v>
      </c>
    </row>
    <row r="38" spans="1:9" x14ac:dyDescent="0.2">
      <c r="A38" t="s">
        <v>336</v>
      </c>
      <c r="C38" s="251">
        <f t="shared" si="15"/>
        <v>100</v>
      </c>
      <c r="D38" s="251">
        <f t="shared" si="22"/>
        <v>14.888664963808296</v>
      </c>
      <c r="E38" s="251">
        <f t="shared" si="22"/>
        <v>84.350375486901783</v>
      </c>
      <c r="F38" s="251">
        <f t="shared" si="22"/>
        <v>0</v>
      </c>
      <c r="G38" s="251">
        <f t="shared" si="22"/>
        <v>0</v>
      </c>
      <c r="H38" s="251">
        <f t="shared" si="22"/>
        <v>0.76095954928991494</v>
      </c>
      <c r="I38" s="251">
        <f t="shared" si="22"/>
        <v>0</v>
      </c>
    </row>
    <row r="39" spans="1:9" x14ac:dyDescent="0.2">
      <c r="D39" s="251"/>
      <c r="E39" s="251"/>
      <c r="F39" s="251"/>
      <c r="G39" s="251"/>
      <c r="H39" s="251"/>
      <c r="I39" s="251"/>
    </row>
    <row r="40" spans="1:9" x14ac:dyDescent="0.2">
      <c r="D40" s="251"/>
      <c r="E40" s="251"/>
      <c r="F40" s="251"/>
      <c r="G40" s="251"/>
      <c r="H40" s="251"/>
      <c r="I40" s="251"/>
    </row>
    <row r="41" spans="1:9" x14ac:dyDescent="0.2">
      <c r="C41" s="245"/>
    </row>
    <row r="42" spans="1:9" x14ac:dyDescent="0.2">
      <c r="C42" s="245">
        <f>'przedsiewziecia UE'!M695+'[1]Załącznik 9'!$H$45</f>
        <v>125997528.26000001</v>
      </c>
    </row>
    <row r="43" spans="1:9" x14ac:dyDescent="0.2">
      <c r="C43" s="245">
        <f>C2-'Arkusz1 (2)'!B2</f>
        <v>0</v>
      </c>
    </row>
    <row r="45" spans="1:9" x14ac:dyDescent="0.2">
      <c r="C45" s="245">
        <f>'przedsiewziecia UE'!M11+'[1]Załącznik 9'!$H$10</f>
        <v>139446933.09</v>
      </c>
    </row>
    <row r="46" spans="1:9" x14ac:dyDescent="0.2">
      <c r="C46" s="245">
        <f>C45-C20</f>
        <v>0</v>
      </c>
    </row>
    <row r="48" spans="1:9" x14ac:dyDescent="0.2">
      <c r="C48" s="245">
        <f>'przedsiewziecia UE'!M20+'[1]Załącznik 9'!$H$17</f>
        <v>13449404.829999998</v>
      </c>
    </row>
    <row r="49" spans="3:3" x14ac:dyDescent="0.2">
      <c r="C49" s="245">
        <f>C48-C2</f>
        <v>0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C3" sqref="C3:G10"/>
    </sheetView>
  </sheetViews>
  <sheetFormatPr defaultRowHeight="12.75" x14ac:dyDescent="0.2"/>
  <cols>
    <col min="1" max="1" width="17.5703125" style="1" customWidth="1"/>
    <col min="2" max="2" width="12.7109375" style="257" customWidth="1"/>
    <col min="3" max="6" width="12.7109375" style="1" customWidth="1"/>
    <col min="7" max="7" width="13.5703125" style="1" customWidth="1"/>
    <col min="8" max="16384" width="9.140625" style="1"/>
  </cols>
  <sheetData>
    <row r="1" spans="1:7" s="259" customFormat="1" ht="15" customHeight="1" x14ac:dyDescent="0.2">
      <c r="A1" s="451"/>
      <c r="B1" s="454" t="s">
        <v>243</v>
      </c>
      <c r="C1" s="452" t="s">
        <v>242</v>
      </c>
      <c r="D1" s="456" t="s">
        <v>241</v>
      </c>
      <c r="E1" s="456"/>
      <c r="F1" s="456"/>
      <c r="G1" s="457"/>
    </row>
    <row r="2" spans="1:7" s="261" customFormat="1" ht="28.5" customHeight="1" x14ac:dyDescent="0.2">
      <c r="A2" s="451"/>
      <c r="B2" s="455"/>
      <c r="C2" s="453"/>
      <c r="D2" s="260" t="s">
        <v>232</v>
      </c>
      <c r="E2" s="260" t="s">
        <v>233</v>
      </c>
      <c r="F2" s="260" t="s">
        <v>237</v>
      </c>
      <c r="G2" s="395" t="s">
        <v>653</v>
      </c>
    </row>
    <row r="3" spans="1:7" ht="18" customHeight="1" x14ac:dyDescent="0.2">
      <c r="A3" s="253" t="s">
        <v>240</v>
      </c>
      <c r="B3" s="258">
        <f>SUM(B4:B10)</f>
        <v>55</v>
      </c>
      <c r="C3" s="254">
        <f t="shared" ref="C3:C10" si="0">SUM(D3:G3)</f>
        <v>13449404.829999998</v>
      </c>
      <c r="D3" s="254">
        <f>SUM(D4:D10)</f>
        <v>389061.61</v>
      </c>
      <c r="E3" s="254">
        <f>SUM(E4:E10)</f>
        <v>11707749.08</v>
      </c>
      <c r="F3" s="254">
        <f>SUM(F4:F10)</f>
        <v>1345072.71</v>
      </c>
      <c r="G3" s="254">
        <f>SUM(G4:G10)</f>
        <v>7521.43</v>
      </c>
    </row>
    <row r="4" spans="1:7" ht="18" customHeight="1" x14ac:dyDescent="0.2">
      <c r="A4" s="255" t="s">
        <v>224</v>
      </c>
      <c r="B4" s="274">
        <v>25</v>
      </c>
      <c r="C4" s="256">
        <f t="shared" si="0"/>
        <v>10786922.860000001</v>
      </c>
      <c r="D4" s="256">
        <f>Arkusz2!D3</f>
        <v>259011.90000000002</v>
      </c>
      <c r="E4" s="256">
        <f>Arkusz2!E3</f>
        <v>9417343.2000000011</v>
      </c>
      <c r="F4" s="256">
        <f>Arkusz2!G3</f>
        <v>1110567.76</v>
      </c>
      <c r="G4" s="256">
        <f>Arkusz2!H3</f>
        <v>0</v>
      </c>
    </row>
    <row r="5" spans="1:7" ht="18" customHeight="1" x14ac:dyDescent="0.2">
      <c r="A5" s="255" t="s">
        <v>229</v>
      </c>
      <c r="B5" s="274">
        <v>4</v>
      </c>
      <c r="C5" s="256">
        <f t="shared" si="0"/>
        <v>1065804.56</v>
      </c>
      <c r="D5" s="256">
        <f>Arkusz2!D8</f>
        <v>0</v>
      </c>
      <c r="E5" s="256">
        <f>Arkusz2!E8</f>
        <v>899540.28</v>
      </c>
      <c r="F5" s="256">
        <f>Arkusz2!G8</f>
        <v>158742.85</v>
      </c>
      <c r="G5" s="256">
        <f>Arkusz2!H8</f>
        <v>7521.43</v>
      </c>
    </row>
    <row r="6" spans="1:7" ht="18" customHeight="1" x14ac:dyDescent="0.2">
      <c r="A6" s="255" t="s">
        <v>336</v>
      </c>
      <c r="B6" s="274">
        <v>5</v>
      </c>
      <c r="C6" s="256">
        <f t="shared" si="0"/>
        <v>498114.29999999993</v>
      </c>
      <c r="D6" s="256">
        <f>Arkusz2!D9</f>
        <v>74741.84</v>
      </c>
      <c r="E6" s="256">
        <f>Arkusz2!E9</f>
        <v>423372.45999999996</v>
      </c>
      <c r="F6" s="256">
        <f>Arkusz2!G9</f>
        <v>0</v>
      </c>
      <c r="G6" s="256">
        <f>Arkusz2!H9</f>
        <v>0</v>
      </c>
    </row>
    <row r="7" spans="1:7" ht="18" customHeight="1" x14ac:dyDescent="0.2">
      <c r="A7" s="255" t="s">
        <v>226</v>
      </c>
      <c r="B7" s="274">
        <v>2</v>
      </c>
      <c r="C7" s="256">
        <f t="shared" si="0"/>
        <v>420549.58</v>
      </c>
      <c r="D7" s="256">
        <f>Arkusz2!D5</f>
        <v>54311.57</v>
      </c>
      <c r="E7" s="256">
        <f>Arkusz2!E5</f>
        <v>337434.28</v>
      </c>
      <c r="F7" s="256">
        <f>Arkusz2!G5</f>
        <v>28803.73</v>
      </c>
      <c r="G7" s="256">
        <f>Arkusz2!H5</f>
        <v>0</v>
      </c>
    </row>
    <row r="8" spans="1:7" ht="18" customHeight="1" x14ac:dyDescent="0.2">
      <c r="A8" s="255" t="s">
        <v>82</v>
      </c>
      <c r="B8" s="274">
        <v>13</v>
      </c>
      <c r="C8" s="256">
        <f t="shared" si="0"/>
        <v>358315.72</v>
      </c>
      <c r="D8" s="256">
        <f>Arkusz2!D7</f>
        <v>0</v>
      </c>
      <c r="E8" s="256">
        <f>Arkusz2!E7</f>
        <v>358315.72</v>
      </c>
      <c r="F8" s="256">
        <f>Arkusz2!G7</f>
        <v>0</v>
      </c>
      <c r="G8" s="256">
        <f>Arkusz2!H7</f>
        <v>0</v>
      </c>
    </row>
    <row r="9" spans="1:7" ht="18" customHeight="1" x14ac:dyDescent="0.2">
      <c r="A9" s="255" t="s">
        <v>225</v>
      </c>
      <c r="B9" s="274">
        <v>3</v>
      </c>
      <c r="C9" s="256">
        <f t="shared" si="0"/>
        <v>313055.81</v>
      </c>
      <c r="D9" s="256">
        <f>Arkusz2!D4</f>
        <v>0</v>
      </c>
      <c r="E9" s="256">
        <f>Arkusz2!E4</f>
        <v>266097.44</v>
      </c>
      <c r="F9" s="256">
        <f>Arkusz2!G4</f>
        <v>46958.369999999995</v>
      </c>
      <c r="G9" s="256">
        <f>Arkusz2!H4</f>
        <v>0</v>
      </c>
    </row>
    <row r="10" spans="1:7" ht="18" customHeight="1" x14ac:dyDescent="0.2">
      <c r="A10" s="255" t="s">
        <v>227</v>
      </c>
      <c r="B10" s="274">
        <v>3</v>
      </c>
      <c r="C10" s="256">
        <f t="shared" si="0"/>
        <v>6642</v>
      </c>
      <c r="D10" s="256">
        <f>Arkusz2!D6</f>
        <v>996.3</v>
      </c>
      <c r="E10" s="256">
        <f>Arkusz2!E6</f>
        <v>5645.7</v>
      </c>
      <c r="F10" s="256">
        <f>Arkusz2!G6</f>
        <v>0</v>
      </c>
      <c r="G10" s="256">
        <f>Arkusz2!H6</f>
        <v>0</v>
      </c>
    </row>
    <row r="12" spans="1:7" x14ac:dyDescent="0.2">
      <c r="C12" s="199">
        <f>C3-Arkusz2!C2</f>
        <v>0</v>
      </c>
    </row>
  </sheetData>
  <sortState ref="A4:G10">
    <sortCondition descending="1" ref="C4:C10"/>
  </sortState>
  <mergeCells count="4">
    <mergeCell ref="A1:A2"/>
    <mergeCell ref="C1:C2"/>
    <mergeCell ref="B1:B2"/>
    <mergeCell ref="D1:G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7" zoomScale="130" zoomScaleNormal="130" workbookViewId="0">
      <selection activeCell="C20" sqref="C20"/>
    </sheetView>
  </sheetViews>
  <sheetFormatPr defaultRowHeight="11.25" x14ac:dyDescent="0.2"/>
  <cols>
    <col min="1" max="1" width="15.28515625" style="259" customWidth="1"/>
    <col min="2" max="2" width="7.42578125" style="262" customWidth="1"/>
    <col min="3" max="3" width="12.28515625" style="259" customWidth="1"/>
    <col min="4" max="4" width="10.7109375" style="259" customWidth="1"/>
    <col min="5" max="5" width="12.28515625" style="259" customWidth="1"/>
    <col min="6" max="6" width="11.7109375" style="259" customWidth="1"/>
    <col min="7" max="7" width="10.7109375" style="259" customWidth="1"/>
    <col min="8" max="8" width="10.85546875" style="259" customWidth="1"/>
    <col min="9" max="9" width="10.7109375" style="259" customWidth="1"/>
    <col min="10" max="16384" width="9.140625" style="259"/>
  </cols>
  <sheetData>
    <row r="1" spans="1:9" s="263" customFormat="1" ht="21" customHeight="1" x14ac:dyDescent="0.2">
      <c r="A1" s="462"/>
      <c r="B1" s="465" t="s">
        <v>249</v>
      </c>
      <c r="C1" s="465" t="s">
        <v>242</v>
      </c>
      <c r="D1" s="462" t="s">
        <v>241</v>
      </c>
      <c r="E1" s="462"/>
      <c r="F1" s="462"/>
      <c r="G1" s="462"/>
      <c r="H1" s="462"/>
      <c r="I1" s="462"/>
    </row>
    <row r="2" spans="1:9" s="264" customFormat="1" ht="21" customHeight="1" x14ac:dyDescent="0.2">
      <c r="A2" s="462"/>
      <c r="B2" s="465"/>
      <c r="C2" s="465"/>
      <c r="D2" s="270" t="s">
        <v>232</v>
      </c>
      <c r="E2" s="270" t="s">
        <v>233</v>
      </c>
      <c r="F2" s="270" t="s">
        <v>234</v>
      </c>
      <c r="G2" s="270" t="s">
        <v>237</v>
      </c>
      <c r="H2" s="270" t="s">
        <v>247</v>
      </c>
      <c r="I2" s="270" t="s">
        <v>248</v>
      </c>
    </row>
    <row r="3" spans="1:9" ht="33.75" x14ac:dyDescent="0.2">
      <c r="A3" s="268" t="s">
        <v>254</v>
      </c>
      <c r="B3" s="312"/>
      <c r="C3" s="269">
        <f t="shared" ref="C3" si="0">SUM(D3:I3)</f>
        <v>13441883.399999999</v>
      </c>
      <c r="D3" s="269">
        <f>Arkusz3!D3</f>
        <v>389061.61</v>
      </c>
      <c r="E3" s="269">
        <f>Arkusz3!E3</f>
        <v>11707749.08</v>
      </c>
      <c r="F3" s="269">
        <v>0</v>
      </c>
      <c r="G3" s="269">
        <f>Arkusz3!F3</f>
        <v>1345072.71</v>
      </c>
      <c r="H3" s="269">
        <v>0</v>
      </c>
      <c r="I3" s="269">
        <v>0</v>
      </c>
    </row>
    <row r="4" spans="1:9" ht="33.75" x14ac:dyDescent="0.2">
      <c r="A4" s="268" t="s">
        <v>244</v>
      </c>
      <c r="B4" s="312"/>
      <c r="C4" s="269">
        <f t="shared" ref="C4" si="1">SUM(D4:I4)</f>
        <v>125997528.25999999</v>
      </c>
      <c r="D4" s="269">
        <f t="shared" ref="D4:I4" si="2">D12</f>
        <v>14672333.460000001</v>
      </c>
      <c r="E4" s="269">
        <f t="shared" si="2"/>
        <v>71413836.730000004</v>
      </c>
      <c r="F4" s="269">
        <f t="shared" si="2"/>
        <v>32871257.280000001</v>
      </c>
      <c r="G4" s="269">
        <f t="shared" si="2"/>
        <v>5723.22</v>
      </c>
      <c r="H4" s="269">
        <f t="shared" si="2"/>
        <v>7034377.5699999984</v>
      </c>
      <c r="I4" s="269">
        <f t="shared" si="2"/>
        <v>0</v>
      </c>
    </row>
    <row r="5" spans="1:9" s="332" customFormat="1" ht="21.75" customHeight="1" x14ac:dyDescent="0.2">
      <c r="A5" s="331" t="s">
        <v>357</v>
      </c>
      <c r="B5" s="266">
        <f>SUM(B3:B4)</f>
        <v>0</v>
      </c>
      <c r="C5" s="267">
        <f>SUM(C3:C4)</f>
        <v>139439411.66</v>
      </c>
      <c r="D5" s="267">
        <f t="shared" ref="D5:I5" si="3">SUM(D3:D4)</f>
        <v>15061395.07</v>
      </c>
      <c r="E5" s="267">
        <f t="shared" si="3"/>
        <v>83121585.810000002</v>
      </c>
      <c r="F5" s="267">
        <f t="shared" si="3"/>
        <v>32871257.280000001</v>
      </c>
      <c r="G5" s="267">
        <f t="shared" si="3"/>
        <v>1350795.93</v>
      </c>
      <c r="H5" s="267">
        <f t="shared" si="3"/>
        <v>7034377.5699999984</v>
      </c>
      <c r="I5" s="267">
        <f t="shared" si="3"/>
        <v>0</v>
      </c>
    </row>
    <row r="10" spans="1:9" s="263" customFormat="1" ht="21" customHeight="1" x14ac:dyDescent="0.2">
      <c r="A10" s="462"/>
      <c r="B10" s="458" t="s">
        <v>249</v>
      </c>
      <c r="C10" s="463" t="s">
        <v>242</v>
      </c>
      <c r="D10" s="460" t="s">
        <v>241</v>
      </c>
      <c r="E10" s="460"/>
      <c r="F10" s="460"/>
      <c r="G10" s="460"/>
      <c r="H10" s="460"/>
      <c r="I10" s="461"/>
    </row>
    <row r="11" spans="1:9" s="264" customFormat="1" ht="21" customHeight="1" x14ac:dyDescent="0.2">
      <c r="A11" s="462"/>
      <c r="B11" s="459"/>
      <c r="C11" s="464"/>
      <c r="D11" s="270" t="s">
        <v>232</v>
      </c>
      <c r="E11" s="270" t="s">
        <v>233</v>
      </c>
      <c r="F11" s="270" t="s">
        <v>234</v>
      </c>
      <c r="G11" s="270" t="s">
        <v>237</v>
      </c>
      <c r="H11" s="394" t="s">
        <v>248</v>
      </c>
      <c r="I11" s="394" t="s">
        <v>247</v>
      </c>
    </row>
    <row r="12" spans="1:9" ht="33.75" x14ac:dyDescent="0.2">
      <c r="A12" s="265" t="s">
        <v>245</v>
      </c>
      <c r="B12" s="266">
        <f>SUM(B13:B17)</f>
        <v>31</v>
      </c>
      <c r="C12" s="267">
        <f t="shared" ref="C12" si="4">SUM(D12:I12)</f>
        <v>125997528.25999999</v>
      </c>
      <c r="D12" s="267">
        <f t="shared" ref="D12:I12" si="5">SUM(D13:D17)</f>
        <v>14672333.460000001</v>
      </c>
      <c r="E12" s="267">
        <f t="shared" si="5"/>
        <v>71413836.730000004</v>
      </c>
      <c r="F12" s="267">
        <f t="shared" si="5"/>
        <v>32871257.280000001</v>
      </c>
      <c r="G12" s="267">
        <f t="shared" si="5"/>
        <v>5723.22</v>
      </c>
      <c r="H12" s="267">
        <f t="shared" si="5"/>
        <v>7034377.5699999984</v>
      </c>
      <c r="I12" s="267">
        <f t="shared" si="5"/>
        <v>0</v>
      </c>
    </row>
    <row r="13" spans="1:9" ht="33.75" x14ac:dyDescent="0.2">
      <c r="A13" s="268" t="s">
        <v>90</v>
      </c>
      <c r="B13" s="291">
        <v>14</v>
      </c>
      <c r="C13" s="269">
        <f>SUM(D13:I13)</f>
        <v>62923306.32</v>
      </c>
      <c r="D13" s="269">
        <f>Arkusz2!D13</f>
        <v>8741283.4000000004</v>
      </c>
      <c r="E13" s="269">
        <f>Arkusz2!E13</f>
        <v>32156969.039999999</v>
      </c>
      <c r="F13" s="269">
        <f>Arkusz2!F13</f>
        <v>18504585</v>
      </c>
      <c r="G13" s="269">
        <f>Arkusz2!G13</f>
        <v>0</v>
      </c>
      <c r="H13" s="269">
        <f>Arkusz2!H13</f>
        <v>3520468.8799999994</v>
      </c>
      <c r="I13" s="269">
        <f>Arkusz2!I13</f>
        <v>0</v>
      </c>
    </row>
    <row r="14" spans="1:9" ht="45" x14ac:dyDescent="0.2">
      <c r="A14" s="268" t="s">
        <v>86</v>
      </c>
      <c r="B14" s="291">
        <v>8</v>
      </c>
      <c r="C14" s="269">
        <f>SUM(D14:I14)</f>
        <v>53196942.120000005</v>
      </c>
      <c r="D14" s="269">
        <f>Arkusz2!D14</f>
        <v>5874897.7300000004</v>
      </c>
      <c r="E14" s="269">
        <f>Arkusz2!E14</f>
        <v>32825894.409999996</v>
      </c>
      <c r="F14" s="269">
        <f>Arkusz2!F14</f>
        <v>11730225.310000001</v>
      </c>
      <c r="G14" s="269">
        <f>Arkusz2!G14</f>
        <v>738</v>
      </c>
      <c r="H14" s="269">
        <f>Arkusz2!H14</f>
        <v>2765186.67</v>
      </c>
      <c r="I14" s="269">
        <f>Arkusz2!I14</f>
        <v>0</v>
      </c>
    </row>
    <row r="15" spans="1:9" ht="33.75" x14ac:dyDescent="0.2">
      <c r="A15" s="268" t="s">
        <v>246</v>
      </c>
      <c r="B15" s="291">
        <v>1</v>
      </c>
      <c r="C15" s="269">
        <f>SUM(D15:I15)</f>
        <v>9433648.5700000003</v>
      </c>
      <c r="D15" s="269">
        <f>Arkusz2!D16</f>
        <v>0</v>
      </c>
      <c r="E15" s="269">
        <f>Arkusz2!E16</f>
        <v>6055169.5800000001</v>
      </c>
      <c r="F15" s="269">
        <f>Arkusz2!F16</f>
        <v>2636446.9700000002</v>
      </c>
      <c r="G15" s="269">
        <f>Arkusz2!G16</f>
        <v>0</v>
      </c>
      <c r="H15" s="269">
        <f>Arkusz2!H16</f>
        <v>742032.02</v>
      </c>
      <c r="I15" s="269">
        <f>Arkusz2!I16</f>
        <v>0</v>
      </c>
    </row>
    <row r="16" spans="1:9" x14ac:dyDescent="0.2">
      <c r="A16" s="268" t="s">
        <v>336</v>
      </c>
      <c r="B16" s="291">
        <v>3</v>
      </c>
      <c r="C16" s="269">
        <f>SUM(D16:I16)</f>
        <v>381038.87000000005</v>
      </c>
      <c r="D16" s="269">
        <f>Arkusz2!D15</f>
        <v>56152.33</v>
      </c>
      <c r="E16" s="269">
        <f>Arkusz2!E15</f>
        <v>318196.54000000004</v>
      </c>
      <c r="F16" s="269">
        <f>Arkusz2!F15</f>
        <v>0</v>
      </c>
      <c r="G16" s="269">
        <f>Arkusz2!G15</f>
        <v>0</v>
      </c>
      <c r="H16" s="269">
        <f>Arkusz2!H15</f>
        <v>6690</v>
      </c>
      <c r="I16" s="269">
        <f>Arkusz2!I15</f>
        <v>0</v>
      </c>
    </row>
    <row r="17" spans="1:9" ht="22.5" x14ac:dyDescent="0.2">
      <c r="A17" s="268" t="s">
        <v>55</v>
      </c>
      <c r="B17" s="291">
        <v>5</v>
      </c>
      <c r="C17" s="269">
        <f>SUM(D17:I17)</f>
        <v>62592.380000000005</v>
      </c>
      <c r="D17" s="269">
        <f>Arkusz2!D17</f>
        <v>0</v>
      </c>
      <c r="E17" s="269">
        <f>Arkusz2!E17</f>
        <v>57607.16</v>
      </c>
      <c r="F17" s="269">
        <f>Arkusz2!F17</f>
        <v>0</v>
      </c>
      <c r="G17" s="269">
        <f>Arkusz2!G17</f>
        <v>4985.22</v>
      </c>
      <c r="H17" s="269">
        <f>Arkusz2!H17</f>
        <v>0</v>
      </c>
      <c r="I17" s="269">
        <f>Arkusz2!I17</f>
        <v>0</v>
      </c>
    </row>
    <row r="20" spans="1:9" x14ac:dyDescent="0.2">
      <c r="C20" s="292">
        <f>C12-Arkusz2!C12</f>
        <v>0</v>
      </c>
    </row>
  </sheetData>
  <sortState ref="A13:I17">
    <sortCondition descending="1" ref="C13:C17"/>
  </sortState>
  <mergeCells count="8">
    <mergeCell ref="B10:B11"/>
    <mergeCell ref="D10:I10"/>
    <mergeCell ref="A10:A11"/>
    <mergeCell ref="C10:C11"/>
    <mergeCell ref="A1:A2"/>
    <mergeCell ref="B1:B2"/>
    <mergeCell ref="C1:C2"/>
    <mergeCell ref="D1:I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2" sqref="B2:C7"/>
    </sheetView>
  </sheetViews>
  <sheetFormatPr defaultRowHeight="12.75" x14ac:dyDescent="0.2"/>
  <cols>
    <col min="1" max="1" width="45.7109375" style="1" customWidth="1"/>
    <col min="2" max="2" width="13.7109375" style="257" customWidth="1"/>
    <col min="3" max="3" width="14.7109375" style="1" customWidth="1"/>
    <col min="4" max="16384" width="9.140625" style="1"/>
  </cols>
  <sheetData>
    <row r="1" spans="1:3" s="271" customFormat="1" ht="30.75" customHeight="1" x14ac:dyDescent="0.2">
      <c r="A1" s="272"/>
      <c r="B1" s="273" t="s">
        <v>243</v>
      </c>
      <c r="C1" s="273" t="s">
        <v>242</v>
      </c>
    </row>
    <row r="2" spans="1:3" s="200" customFormat="1" ht="18" customHeight="1" x14ac:dyDescent="0.2">
      <c r="A2" s="253" t="s">
        <v>254</v>
      </c>
      <c r="B2" s="258">
        <f>SUM(B3:B7)</f>
        <v>55</v>
      </c>
      <c r="C2" s="254">
        <f>SUM(C3:C7)</f>
        <v>13449404.83</v>
      </c>
    </row>
    <row r="3" spans="1:3" ht="18" customHeight="1" x14ac:dyDescent="0.2">
      <c r="A3" s="255" t="s">
        <v>252</v>
      </c>
      <c r="B3" s="274">
        <v>26</v>
      </c>
      <c r="C3" s="256">
        <f>'przedsiewziecia UE'!M332+'[1]Załącznik 9'!$H$24</f>
        <v>4053353.1699999995</v>
      </c>
    </row>
    <row r="4" spans="1:3" ht="18" customHeight="1" x14ac:dyDescent="0.2">
      <c r="A4" s="255" t="s">
        <v>250</v>
      </c>
      <c r="B4" s="274">
        <v>7</v>
      </c>
      <c r="C4" s="256">
        <f>'przedsiewziecia UE'!M110</f>
        <v>3810755.02</v>
      </c>
    </row>
    <row r="5" spans="1:3" ht="18" customHeight="1" x14ac:dyDescent="0.2">
      <c r="A5" s="255" t="s">
        <v>251</v>
      </c>
      <c r="B5" s="274">
        <v>8</v>
      </c>
      <c r="C5" s="256">
        <f>'przedsiewziecia UE'!M246</f>
        <v>3487597.65</v>
      </c>
    </row>
    <row r="6" spans="1:3" ht="18" customHeight="1" x14ac:dyDescent="0.2">
      <c r="A6" s="255" t="s">
        <v>257</v>
      </c>
      <c r="B6" s="274">
        <v>7</v>
      </c>
      <c r="C6" s="256">
        <f>'przedsiewziecia UE'!M29</f>
        <v>1635162.42</v>
      </c>
    </row>
    <row r="7" spans="1:3" ht="18" customHeight="1" x14ac:dyDescent="0.2">
      <c r="A7" s="255" t="s">
        <v>253</v>
      </c>
      <c r="B7" s="274">
        <v>7</v>
      </c>
      <c r="C7" s="256">
        <f>'przedsiewziecia UE'!M606</f>
        <v>462536.57</v>
      </c>
    </row>
    <row r="9" spans="1:3" x14ac:dyDescent="0.2">
      <c r="C9" s="199">
        <f>C2-Arkusz2!C2</f>
        <v>0</v>
      </c>
    </row>
  </sheetData>
  <sortState ref="A3:C7">
    <sortCondition descending="1" ref="C3:C7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O6" sqref="O6"/>
    </sheetView>
  </sheetViews>
  <sheetFormatPr defaultRowHeight="12.75" x14ac:dyDescent="0.2"/>
  <cols>
    <col min="1" max="1" width="45.7109375" style="1" customWidth="1"/>
    <col min="2" max="2" width="13.7109375" style="1" customWidth="1"/>
    <col min="3" max="3" width="16.28515625" style="1" customWidth="1"/>
    <col min="4" max="16384" width="9.140625" style="1"/>
  </cols>
  <sheetData>
    <row r="1" spans="1:3" s="271" customFormat="1" ht="30.75" customHeight="1" x14ac:dyDescent="0.2">
      <c r="A1" s="272"/>
      <c r="B1" s="273" t="s">
        <v>243</v>
      </c>
      <c r="C1" s="273" t="s">
        <v>242</v>
      </c>
    </row>
    <row r="2" spans="1:3" ht="18" customHeight="1" x14ac:dyDescent="0.2">
      <c r="A2" s="253" t="s">
        <v>244</v>
      </c>
      <c r="B2" s="258">
        <f>SUM(B3:B10)</f>
        <v>31</v>
      </c>
      <c r="C2" s="254">
        <f>SUM(C3:C10)</f>
        <v>125997528.25999999</v>
      </c>
    </row>
    <row r="3" spans="1:3" ht="18" customHeight="1" x14ac:dyDescent="0.2">
      <c r="A3" s="255" t="s">
        <v>258</v>
      </c>
      <c r="B3" s="274">
        <v>10</v>
      </c>
      <c r="C3" s="256">
        <f>'przedsiewziecia UE'!M801</f>
        <v>90957990.400000006</v>
      </c>
    </row>
    <row r="4" spans="1:3" ht="18" customHeight="1" x14ac:dyDescent="0.2">
      <c r="A4" s="255" t="s">
        <v>255</v>
      </c>
      <c r="B4" s="274">
        <v>2</v>
      </c>
      <c r="C4" s="256">
        <f>'przedsiewziecia UE'!M704</f>
        <v>21758713.709999997</v>
      </c>
    </row>
    <row r="5" spans="1:3" ht="18" customHeight="1" x14ac:dyDescent="0.2">
      <c r="A5" s="255" t="s">
        <v>652</v>
      </c>
      <c r="B5" s="274">
        <v>7</v>
      </c>
      <c r="C5" s="256">
        <f>'przedsiewziecia UE'!M926</f>
        <v>5147337.55</v>
      </c>
    </row>
    <row r="6" spans="1:3" ht="18" customHeight="1" x14ac:dyDescent="0.2">
      <c r="A6" s="255" t="s">
        <v>651</v>
      </c>
      <c r="B6" s="274">
        <v>1</v>
      </c>
      <c r="C6" s="256">
        <f>'przedsiewziecia UE'!M906</f>
        <v>5131221.5399999991</v>
      </c>
    </row>
    <row r="7" spans="1:3" ht="18" customHeight="1" x14ac:dyDescent="0.2">
      <c r="A7" s="255" t="s">
        <v>257</v>
      </c>
      <c r="B7" s="274">
        <v>5</v>
      </c>
      <c r="C7" s="256">
        <f>'przedsiewziecia UE'!M772+'[1]Załącznik 9'!$H$52</f>
        <v>2590580.6</v>
      </c>
    </row>
    <row r="8" spans="1:3" ht="18" customHeight="1" x14ac:dyDescent="0.2">
      <c r="A8" s="255" t="s">
        <v>250</v>
      </c>
      <c r="B8" s="274">
        <v>2</v>
      </c>
      <c r="C8" s="256">
        <f>'przedsiewziecia UE'!M1003</f>
        <v>374348.87000000005</v>
      </c>
    </row>
    <row r="9" spans="1:3" ht="18" customHeight="1" x14ac:dyDescent="0.2">
      <c r="A9" s="255" t="s">
        <v>252</v>
      </c>
      <c r="B9" s="274">
        <v>3</v>
      </c>
      <c r="C9" s="256">
        <f>'[1]Załącznik 9'!$H$80</f>
        <v>30645.59</v>
      </c>
    </row>
    <row r="10" spans="1:3" ht="18" customHeight="1" x14ac:dyDescent="0.2">
      <c r="A10" s="255" t="s">
        <v>256</v>
      </c>
      <c r="B10" s="274">
        <v>1</v>
      </c>
      <c r="C10" s="256">
        <f>'przedsiewziecia UE'!M739</f>
        <v>6690</v>
      </c>
    </row>
    <row r="11" spans="1:3" ht="18" customHeight="1" x14ac:dyDescent="0.2">
      <c r="A11" s="396"/>
      <c r="B11" s="397"/>
      <c r="C11" s="398"/>
    </row>
    <row r="12" spans="1:3" ht="18" customHeight="1" x14ac:dyDescent="0.2">
      <c r="A12" s="396"/>
      <c r="B12" s="397"/>
      <c r="C12" s="398"/>
    </row>
    <row r="13" spans="1:3" ht="18" customHeight="1" x14ac:dyDescent="0.2">
      <c r="A13" s="396"/>
      <c r="B13" s="397"/>
      <c r="C13" s="398"/>
    </row>
    <row r="15" spans="1:3" x14ac:dyDescent="0.2">
      <c r="C15" s="199">
        <f>C2-Arkusz2!C12</f>
        <v>0</v>
      </c>
    </row>
  </sheetData>
  <sortState ref="A3:C10">
    <sortCondition descending="1" ref="C3:C1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T19" sqref="T19"/>
    </sheetView>
  </sheetViews>
  <sheetFormatPr defaultRowHeight="12.75" x14ac:dyDescent="0.2"/>
  <cols>
    <col min="1" max="1" width="17.5703125" style="1" customWidth="1"/>
    <col min="2" max="2" width="12.7109375" style="257" customWidth="1"/>
    <col min="3" max="6" width="12.7109375" style="1" customWidth="1"/>
    <col min="7" max="16384" width="9.140625" style="1"/>
  </cols>
  <sheetData>
    <row r="1" spans="1:7" s="259" customFormat="1" ht="15" customHeight="1" x14ac:dyDescent="0.2">
      <c r="A1" s="451"/>
      <c r="B1" s="454" t="s">
        <v>243</v>
      </c>
      <c r="C1" s="452" t="s">
        <v>242</v>
      </c>
      <c r="D1" s="466" t="s">
        <v>241</v>
      </c>
      <c r="E1" s="466"/>
      <c r="F1" s="466"/>
      <c r="G1" s="466"/>
    </row>
    <row r="2" spans="1:7" s="261" customFormat="1" ht="51" customHeight="1" x14ac:dyDescent="0.2">
      <c r="A2" s="451"/>
      <c r="B2" s="455"/>
      <c r="C2" s="453"/>
      <c r="D2" s="278" t="s">
        <v>259</v>
      </c>
      <c r="E2" s="278" t="s">
        <v>260</v>
      </c>
      <c r="F2" s="278" t="s">
        <v>261</v>
      </c>
      <c r="G2" s="278" t="s">
        <v>262</v>
      </c>
    </row>
    <row r="3" spans="1:7" ht="18" customHeight="1" x14ac:dyDescent="0.2">
      <c r="A3" s="253" t="s">
        <v>240</v>
      </c>
      <c r="B3" s="258">
        <f>SUM(B4:B10)</f>
        <v>55</v>
      </c>
      <c r="C3" s="254">
        <f t="shared" ref="C3:C10" si="0">SUM(D3:G3)</f>
        <v>13449404.829999998</v>
      </c>
      <c r="D3" s="277">
        <f>SUM(D4:D10)</f>
        <v>389061.61</v>
      </c>
      <c r="E3" s="277">
        <f>SUM(E4:E10)</f>
        <v>11707749.08</v>
      </c>
      <c r="F3" s="277">
        <f>SUM(F4:F10)</f>
        <v>1345072.71</v>
      </c>
      <c r="G3" s="277">
        <f>SUM(G4:G10)</f>
        <v>7521.43</v>
      </c>
    </row>
    <row r="4" spans="1:7" ht="18" customHeight="1" x14ac:dyDescent="0.2">
      <c r="A4" s="255" t="s">
        <v>224</v>
      </c>
      <c r="B4" s="274">
        <v>25</v>
      </c>
      <c r="C4" s="256">
        <f t="shared" si="0"/>
        <v>10786922.860000001</v>
      </c>
      <c r="D4" s="256">
        <f>Arkusz2!D3</f>
        <v>259011.90000000002</v>
      </c>
      <c r="E4" s="256">
        <f>Arkusz2!E3</f>
        <v>9417343.2000000011</v>
      </c>
      <c r="F4" s="256">
        <f>Arkusz2!G3</f>
        <v>1110567.76</v>
      </c>
      <c r="G4" s="256">
        <f>Arkusz2!H3</f>
        <v>0</v>
      </c>
    </row>
    <row r="5" spans="1:7" ht="18" customHeight="1" x14ac:dyDescent="0.2">
      <c r="A5" s="255" t="s">
        <v>229</v>
      </c>
      <c r="B5" s="274">
        <v>4</v>
      </c>
      <c r="C5" s="256">
        <f t="shared" si="0"/>
        <v>1065804.56</v>
      </c>
      <c r="D5" s="256">
        <f>Arkusz2!D8</f>
        <v>0</v>
      </c>
      <c r="E5" s="256">
        <f>Arkusz2!E8</f>
        <v>899540.28</v>
      </c>
      <c r="F5" s="256">
        <f>Arkusz2!G8</f>
        <v>158742.85</v>
      </c>
      <c r="G5" s="256">
        <f>Arkusz2!H8</f>
        <v>7521.43</v>
      </c>
    </row>
    <row r="6" spans="1:7" ht="18" customHeight="1" x14ac:dyDescent="0.2">
      <c r="A6" s="255" t="s">
        <v>336</v>
      </c>
      <c r="B6" s="274">
        <v>5</v>
      </c>
      <c r="C6" s="256">
        <f t="shared" si="0"/>
        <v>498114.29999999993</v>
      </c>
      <c r="D6" s="256">
        <f>Arkusz2!D9</f>
        <v>74741.84</v>
      </c>
      <c r="E6" s="256">
        <f>Arkusz2!E9</f>
        <v>423372.45999999996</v>
      </c>
      <c r="F6" s="256">
        <f>Arkusz2!G9</f>
        <v>0</v>
      </c>
      <c r="G6" s="256">
        <f>Arkusz2!H9</f>
        <v>0</v>
      </c>
    </row>
    <row r="7" spans="1:7" ht="18" customHeight="1" x14ac:dyDescent="0.2">
      <c r="A7" s="255" t="s">
        <v>226</v>
      </c>
      <c r="B7" s="274">
        <v>2</v>
      </c>
      <c r="C7" s="256">
        <f t="shared" si="0"/>
        <v>420549.58</v>
      </c>
      <c r="D7" s="256">
        <f>Arkusz2!D5</f>
        <v>54311.57</v>
      </c>
      <c r="E7" s="256">
        <f>Arkusz2!E5</f>
        <v>337434.28</v>
      </c>
      <c r="F7" s="256">
        <f>Arkusz2!G5</f>
        <v>28803.73</v>
      </c>
      <c r="G7" s="256">
        <f>'Arkusz1 (2)'!G5</f>
        <v>0</v>
      </c>
    </row>
    <row r="8" spans="1:7" ht="18" customHeight="1" x14ac:dyDescent="0.2">
      <c r="A8" s="255" t="s">
        <v>82</v>
      </c>
      <c r="B8" s="274">
        <v>13</v>
      </c>
      <c r="C8" s="256">
        <f t="shared" si="0"/>
        <v>358315.72</v>
      </c>
      <c r="D8" s="256">
        <f>Arkusz2!D7</f>
        <v>0</v>
      </c>
      <c r="E8" s="256">
        <f>Arkusz2!E7</f>
        <v>358315.72</v>
      </c>
      <c r="F8" s="256">
        <f>Arkusz2!G7</f>
        <v>0</v>
      </c>
      <c r="G8" s="256">
        <f>Arkusz2!H7</f>
        <v>0</v>
      </c>
    </row>
    <row r="9" spans="1:7" ht="18" customHeight="1" x14ac:dyDescent="0.2">
      <c r="A9" s="255" t="s">
        <v>225</v>
      </c>
      <c r="B9" s="274">
        <v>3</v>
      </c>
      <c r="C9" s="256">
        <f t="shared" si="0"/>
        <v>313055.81</v>
      </c>
      <c r="D9" s="256">
        <f>Arkusz2!D4</f>
        <v>0</v>
      </c>
      <c r="E9" s="256">
        <f>Arkusz2!E4</f>
        <v>266097.44</v>
      </c>
      <c r="F9" s="256">
        <f>Arkusz2!G4</f>
        <v>46958.369999999995</v>
      </c>
      <c r="G9" s="256">
        <f>Arkusz2!H4</f>
        <v>0</v>
      </c>
    </row>
    <row r="10" spans="1:7" ht="18" customHeight="1" x14ac:dyDescent="0.2">
      <c r="A10" s="255" t="s">
        <v>227</v>
      </c>
      <c r="B10" s="274">
        <v>3</v>
      </c>
      <c r="C10" s="256">
        <f t="shared" si="0"/>
        <v>6642</v>
      </c>
      <c r="D10" s="256">
        <f>Arkusz2!D6</f>
        <v>996.3</v>
      </c>
      <c r="E10" s="256">
        <f>Arkusz2!E6</f>
        <v>5645.7</v>
      </c>
      <c r="F10" s="256">
        <f>Arkusz2!G6</f>
        <v>0</v>
      </c>
      <c r="G10" s="256">
        <f>Arkusz2!H6</f>
        <v>0</v>
      </c>
    </row>
  </sheetData>
  <sortState ref="A4:G10">
    <sortCondition descending="1" ref="C4:C10"/>
  </sortState>
  <mergeCells count="4">
    <mergeCell ref="A1:A2"/>
    <mergeCell ref="B1:B2"/>
    <mergeCell ref="C1:C2"/>
    <mergeCell ref="D1:G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2</vt:i4>
      </vt:variant>
    </vt:vector>
  </HeadingPairs>
  <TitlesOfParts>
    <vt:vector size="18" baseType="lpstr">
      <vt:lpstr>przedsiewziecia UE</vt:lpstr>
      <vt:lpstr>Arkusz1</vt:lpstr>
      <vt:lpstr>Arkusz1 (2)</vt:lpstr>
      <vt:lpstr>Arkusz2</vt:lpstr>
      <vt:lpstr>Arkusz3</vt:lpstr>
      <vt:lpstr>Arkusz4</vt:lpstr>
      <vt:lpstr>Arkusz5</vt:lpstr>
      <vt:lpstr>Arkusz6</vt:lpstr>
      <vt:lpstr>Arkusz3 (2)</vt:lpstr>
      <vt:lpstr>Arkusz4 (2)</vt:lpstr>
      <vt:lpstr>Arkusz7</vt:lpstr>
      <vt:lpstr>Arkusz8</vt:lpstr>
      <vt:lpstr>Arkusz9</vt:lpstr>
      <vt:lpstr>Arkusz10</vt:lpstr>
      <vt:lpstr>Arkusz11</vt:lpstr>
      <vt:lpstr>Arkusz12</vt:lpstr>
      <vt:lpstr>'przedsiewziecia UE'!Obszar_wydruku</vt:lpstr>
      <vt:lpstr>'przedsiewziecia UE'!Tytuły_wydruku</vt:lpstr>
    </vt:vector>
  </TitlesOfParts>
  <Company>ZOUM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dsalwa</dc:creator>
  <cp:lastModifiedBy>Ewa Wypych</cp:lastModifiedBy>
  <cp:lastPrinted>2014-03-28T09:53:08Z</cp:lastPrinted>
  <dcterms:created xsi:type="dcterms:W3CDTF">2006-07-21T07:43:40Z</dcterms:created>
  <dcterms:modified xsi:type="dcterms:W3CDTF">2014-03-28T09:53:14Z</dcterms:modified>
</cp:coreProperties>
</file>