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45" windowWidth="14940" windowHeight="7815" tabRatio="703"/>
  </bookViews>
  <sheets>
    <sheet name="przedsiewziecia pozostale" sheetId="8" r:id="rId1"/>
    <sheet name="Arkusz1" sheetId="11" r:id="rId2"/>
  </sheets>
  <definedNames>
    <definedName name="_xlnm.Print_Area" localSheetId="0">'przedsiewziecia pozostale'!$A$4:$N$947</definedName>
    <definedName name="_xlnm.Print_Titles" localSheetId="0">'przedsiewziecia pozostale'!$9:$11</definedName>
  </definedNames>
  <calcPr calcId="145621"/>
</workbook>
</file>

<file path=xl/calcChain.xml><?xml version="1.0" encoding="utf-8"?>
<calcChain xmlns="http://schemas.openxmlformats.org/spreadsheetml/2006/main">
  <c r="L544" i="8" l="1"/>
  <c r="L545" i="8"/>
  <c r="L502" i="8"/>
  <c r="L503" i="8"/>
  <c r="L401" i="8" l="1"/>
  <c r="M945" i="8" l="1"/>
  <c r="I945" i="8"/>
  <c r="H945" i="8"/>
  <c r="M944" i="8"/>
  <c r="I944" i="8"/>
  <c r="H944" i="8"/>
  <c r="H937" i="8" s="1"/>
  <c r="M943" i="8"/>
  <c r="H943" i="8"/>
  <c r="L942" i="8"/>
  <c r="K942" i="8"/>
  <c r="M942" i="8" s="1"/>
  <c r="J942" i="8"/>
  <c r="G942" i="8"/>
  <c r="L938" i="8"/>
  <c r="K938" i="8"/>
  <c r="M938" i="8" s="1"/>
  <c r="J938" i="8"/>
  <c r="H938" i="8"/>
  <c r="G938" i="8"/>
  <c r="I938" i="8" s="1"/>
  <c r="L937" i="8"/>
  <c r="K937" i="8"/>
  <c r="J937" i="8"/>
  <c r="G937" i="8"/>
  <c r="L936" i="8"/>
  <c r="K936" i="8"/>
  <c r="J936" i="8"/>
  <c r="G936" i="8"/>
  <c r="M931" i="8"/>
  <c r="I931" i="8"/>
  <c r="H931" i="8"/>
  <c r="M930" i="8"/>
  <c r="I930" i="8"/>
  <c r="H930" i="8"/>
  <c r="M929" i="8"/>
  <c r="H929" i="8"/>
  <c r="H922" i="8" s="1"/>
  <c r="L928" i="8"/>
  <c r="K928" i="8"/>
  <c r="J928" i="8"/>
  <c r="G928" i="8"/>
  <c r="L924" i="8"/>
  <c r="K924" i="8"/>
  <c r="M924" i="8" s="1"/>
  <c r="J924" i="8"/>
  <c r="G924" i="8"/>
  <c r="I924" i="8" s="1"/>
  <c r="L923" i="8"/>
  <c r="K923" i="8"/>
  <c r="M923" i="8" s="1"/>
  <c r="J923" i="8"/>
  <c r="H923" i="8"/>
  <c r="G923" i="8"/>
  <c r="I923" i="8" s="1"/>
  <c r="L922" i="8"/>
  <c r="K922" i="8"/>
  <c r="J922" i="8"/>
  <c r="J921" i="8" s="1"/>
  <c r="G922" i="8"/>
  <c r="M917" i="8"/>
  <c r="I917" i="8"/>
  <c r="H917" i="8"/>
  <c r="H910" i="8" s="1"/>
  <c r="M916" i="8"/>
  <c r="I916" i="8"/>
  <c r="H916" i="8"/>
  <c r="H909" i="8" s="1"/>
  <c r="M915" i="8"/>
  <c r="H915" i="8"/>
  <c r="L914" i="8"/>
  <c r="K914" i="8"/>
  <c r="J914" i="8"/>
  <c r="G914" i="8"/>
  <c r="L910" i="8"/>
  <c r="K910" i="8"/>
  <c r="M910" i="8" s="1"/>
  <c r="J910" i="8"/>
  <c r="G910" i="8"/>
  <c r="I910" i="8" s="1"/>
  <c r="L909" i="8"/>
  <c r="K909" i="8"/>
  <c r="J909" i="8"/>
  <c r="G909" i="8"/>
  <c r="L908" i="8"/>
  <c r="K908" i="8"/>
  <c r="J908" i="8"/>
  <c r="G908" i="8"/>
  <c r="M903" i="8"/>
  <c r="I903" i="8"/>
  <c r="H903" i="8"/>
  <c r="M902" i="8"/>
  <c r="I902" i="8"/>
  <c r="H902" i="8"/>
  <c r="M901" i="8"/>
  <c r="I901" i="8"/>
  <c r="H901" i="8"/>
  <c r="L900" i="8"/>
  <c r="K900" i="8"/>
  <c r="J900" i="8"/>
  <c r="G900" i="8"/>
  <c r="M896" i="8"/>
  <c r="I896" i="8"/>
  <c r="H896" i="8"/>
  <c r="M895" i="8"/>
  <c r="I895" i="8"/>
  <c r="H895" i="8"/>
  <c r="M894" i="8"/>
  <c r="H894" i="8"/>
  <c r="L893" i="8"/>
  <c r="K893" i="8"/>
  <c r="J893" i="8"/>
  <c r="G893" i="8"/>
  <c r="M889" i="8"/>
  <c r="I889" i="8"/>
  <c r="H889" i="8"/>
  <c r="M888" i="8"/>
  <c r="I888" i="8"/>
  <c r="H888" i="8"/>
  <c r="M887" i="8"/>
  <c r="H887" i="8"/>
  <c r="L886" i="8"/>
  <c r="K886" i="8"/>
  <c r="J886" i="8"/>
  <c r="G886" i="8"/>
  <c r="M882" i="8"/>
  <c r="I882" i="8"/>
  <c r="H882" i="8"/>
  <c r="M881" i="8"/>
  <c r="I881" i="8"/>
  <c r="H881" i="8"/>
  <c r="M880" i="8"/>
  <c r="H880" i="8"/>
  <c r="I880" i="8" s="1"/>
  <c r="L879" i="8"/>
  <c r="K879" i="8"/>
  <c r="M879" i="8" s="1"/>
  <c r="J879" i="8"/>
  <c r="G879" i="8"/>
  <c r="M875" i="8"/>
  <c r="I875" i="8"/>
  <c r="H875" i="8"/>
  <c r="M874" i="8"/>
  <c r="I874" i="8"/>
  <c r="H874" i="8"/>
  <c r="M873" i="8"/>
  <c r="H873" i="8"/>
  <c r="I873" i="8" s="1"/>
  <c r="L872" i="8"/>
  <c r="K872" i="8"/>
  <c r="M872" i="8" s="1"/>
  <c r="J872" i="8"/>
  <c r="G872" i="8"/>
  <c r="M868" i="8"/>
  <c r="I868" i="8"/>
  <c r="H868" i="8"/>
  <c r="M867" i="8"/>
  <c r="I867" i="8"/>
  <c r="H867" i="8"/>
  <c r="M866" i="8"/>
  <c r="H866" i="8"/>
  <c r="I866" i="8" s="1"/>
  <c r="L865" i="8"/>
  <c r="K865" i="8"/>
  <c r="J865" i="8"/>
  <c r="G865" i="8"/>
  <c r="M861" i="8"/>
  <c r="I861" i="8"/>
  <c r="H861" i="8"/>
  <c r="M860" i="8"/>
  <c r="I860" i="8"/>
  <c r="H860" i="8"/>
  <c r="M859" i="8"/>
  <c r="H859" i="8"/>
  <c r="L858" i="8"/>
  <c r="K858" i="8"/>
  <c r="J858" i="8"/>
  <c r="G858" i="8"/>
  <c r="M854" i="8"/>
  <c r="I854" i="8"/>
  <c r="H854" i="8"/>
  <c r="M853" i="8"/>
  <c r="I853" i="8"/>
  <c r="H853" i="8"/>
  <c r="M852" i="8"/>
  <c r="H852" i="8"/>
  <c r="I852" i="8" s="1"/>
  <c r="L851" i="8"/>
  <c r="K851" i="8"/>
  <c r="J851" i="8"/>
  <c r="G851" i="8"/>
  <c r="M847" i="8"/>
  <c r="I847" i="8"/>
  <c r="H847" i="8"/>
  <c r="M846" i="8"/>
  <c r="I846" i="8"/>
  <c r="H846" i="8"/>
  <c r="M845" i="8"/>
  <c r="H845" i="8"/>
  <c r="I845" i="8" s="1"/>
  <c r="L844" i="8"/>
  <c r="K844" i="8"/>
  <c r="J844" i="8"/>
  <c r="G844" i="8"/>
  <c r="M840" i="8"/>
  <c r="H840" i="8"/>
  <c r="I840" i="8" s="1"/>
  <c r="M839" i="8"/>
  <c r="I839" i="8"/>
  <c r="H839" i="8"/>
  <c r="M838" i="8"/>
  <c r="H838" i="8"/>
  <c r="I838" i="8" s="1"/>
  <c r="L837" i="8"/>
  <c r="K837" i="8"/>
  <c r="J837" i="8"/>
  <c r="G837" i="8"/>
  <c r="M833" i="8"/>
  <c r="I833" i="8"/>
  <c r="H833" i="8"/>
  <c r="M832" i="8"/>
  <c r="I832" i="8"/>
  <c r="H832" i="8"/>
  <c r="M831" i="8"/>
  <c r="H831" i="8"/>
  <c r="L830" i="8"/>
  <c r="K830" i="8"/>
  <c r="J830" i="8"/>
  <c r="G830" i="8"/>
  <c r="M826" i="8"/>
  <c r="I826" i="8"/>
  <c r="H826" i="8"/>
  <c r="M825" i="8"/>
  <c r="I825" i="8"/>
  <c r="H825" i="8"/>
  <c r="M824" i="8"/>
  <c r="I824" i="8"/>
  <c r="H824" i="8"/>
  <c r="L823" i="8"/>
  <c r="K823" i="8"/>
  <c r="J823" i="8"/>
  <c r="G823" i="8"/>
  <c r="M819" i="8"/>
  <c r="I819" i="8"/>
  <c r="H819" i="8"/>
  <c r="M818" i="8"/>
  <c r="I818" i="8"/>
  <c r="H818" i="8"/>
  <c r="M817" i="8"/>
  <c r="H817" i="8"/>
  <c r="I817" i="8" s="1"/>
  <c r="L816" i="8"/>
  <c r="K816" i="8"/>
  <c r="J816" i="8"/>
  <c r="G816" i="8"/>
  <c r="M812" i="8"/>
  <c r="H812" i="8"/>
  <c r="I812" i="8" s="1"/>
  <c r="M811" i="8"/>
  <c r="I811" i="8"/>
  <c r="H811" i="8"/>
  <c r="M810" i="8"/>
  <c r="H810" i="8"/>
  <c r="L809" i="8"/>
  <c r="K809" i="8"/>
  <c r="J809" i="8"/>
  <c r="G809" i="8"/>
  <c r="M805" i="8"/>
  <c r="I805" i="8"/>
  <c r="H805" i="8"/>
  <c r="M804" i="8"/>
  <c r="I804" i="8"/>
  <c r="H804" i="8"/>
  <c r="M803" i="8"/>
  <c r="H803" i="8"/>
  <c r="L802" i="8"/>
  <c r="K802" i="8"/>
  <c r="M802" i="8" s="1"/>
  <c r="J802" i="8"/>
  <c r="G802" i="8"/>
  <c r="M798" i="8"/>
  <c r="I798" i="8"/>
  <c r="H798" i="8"/>
  <c r="M797" i="8"/>
  <c r="I797" i="8"/>
  <c r="H797" i="8"/>
  <c r="M796" i="8"/>
  <c r="H796" i="8"/>
  <c r="I796" i="8" s="1"/>
  <c r="L795" i="8"/>
  <c r="K795" i="8"/>
  <c r="J795" i="8"/>
  <c r="G795" i="8"/>
  <c r="M791" i="8"/>
  <c r="I791" i="8"/>
  <c r="H791" i="8"/>
  <c r="M790" i="8"/>
  <c r="I790" i="8"/>
  <c r="H790" i="8"/>
  <c r="M789" i="8"/>
  <c r="H789" i="8"/>
  <c r="I789" i="8" s="1"/>
  <c r="L788" i="8"/>
  <c r="K788" i="8"/>
  <c r="J788" i="8"/>
  <c r="G788" i="8"/>
  <c r="M784" i="8"/>
  <c r="I784" i="8"/>
  <c r="H784" i="8"/>
  <c r="M783" i="8"/>
  <c r="I783" i="8"/>
  <c r="H783" i="8"/>
  <c r="M782" i="8"/>
  <c r="H782" i="8"/>
  <c r="L781" i="8"/>
  <c r="K781" i="8"/>
  <c r="J781" i="8"/>
  <c r="G781" i="8"/>
  <c r="M777" i="8"/>
  <c r="I777" i="8"/>
  <c r="H777" i="8"/>
  <c r="M776" i="8"/>
  <c r="I776" i="8"/>
  <c r="H776" i="8"/>
  <c r="M775" i="8"/>
  <c r="H775" i="8"/>
  <c r="L774" i="8"/>
  <c r="K774" i="8"/>
  <c r="J774" i="8"/>
  <c r="G774" i="8"/>
  <c r="M770" i="8"/>
  <c r="H770" i="8"/>
  <c r="I770" i="8" s="1"/>
  <c r="M769" i="8"/>
  <c r="I769" i="8"/>
  <c r="H769" i="8"/>
  <c r="M768" i="8"/>
  <c r="H768" i="8"/>
  <c r="I768" i="8" s="1"/>
  <c r="L767" i="8"/>
  <c r="K767" i="8"/>
  <c r="J767" i="8"/>
  <c r="G767" i="8"/>
  <c r="M763" i="8"/>
  <c r="I763" i="8"/>
  <c r="H763" i="8"/>
  <c r="M762" i="8"/>
  <c r="H762" i="8"/>
  <c r="I762" i="8" s="1"/>
  <c r="M761" i="8"/>
  <c r="H761" i="8"/>
  <c r="I761" i="8" s="1"/>
  <c r="L760" i="8"/>
  <c r="K760" i="8"/>
  <c r="J760" i="8"/>
  <c r="G760" i="8"/>
  <c r="M756" i="8"/>
  <c r="I756" i="8"/>
  <c r="H756" i="8"/>
  <c r="M755" i="8"/>
  <c r="I755" i="8"/>
  <c r="H755" i="8"/>
  <c r="M754" i="8"/>
  <c r="H754" i="8"/>
  <c r="I754" i="8" s="1"/>
  <c r="L753" i="8"/>
  <c r="K753" i="8"/>
  <c r="M753" i="8" s="1"/>
  <c r="J753" i="8"/>
  <c r="G753" i="8"/>
  <c r="M749" i="8"/>
  <c r="I749" i="8"/>
  <c r="H749" i="8"/>
  <c r="M748" i="8"/>
  <c r="H748" i="8"/>
  <c r="I748" i="8" s="1"/>
  <c r="M747" i="8"/>
  <c r="H747" i="8"/>
  <c r="L746" i="8"/>
  <c r="K746" i="8"/>
  <c r="J746" i="8"/>
  <c r="G746" i="8"/>
  <c r="M742" i="8"/>
  <c r="I742" i="8"/>
  <c r="H742" i="8"/>
  <c r="M741" i="8"/>
  <c r="I741" i="8"/>
  <c r="H741" i="8"/>
  <c r="M740" i="8"/>
  <c r="H740" i="8"/>
  <c r="L739" i="8"/>
  <c r="K739" i="8"/>
  <c r="M739" i="8" s="1"/>
  <c r="J739" i="8"/>
  <c r="G739" i="8"/>
  <c r="M735" i="8"/>
  <c r="I735" i="8"/>
  <c r="H735" i="8"/>
  <c r="M734" i="8"/>
  <c r="I734" i="8"/>
  <c r="H734" i="8"/>
  <c r="M733" i="8"/>
  <c r="H733" i="8"/>
  <c r="I733" i="8" s="1"/>
  <c r="L732" i="8"/>
  <c r="K732" i="8"/>
  <c r="M732" i="8" s="1"/>
  <c r="J732" i="8"/>
  <c r="G732" i="8"/>
  <c r="M728" i="8"/>
  <c r="I728" i="8"/>
  <c r="H728" i="8"/>
  <c r="M727" i="8"/>
  <c r="I727" i="8"/>
  <c r="H727" i="8"/>
  <c r="M726" i="8"/>
  <c r="H726" i="8"/>
  <c r="I726" i="8" s="1"/>
  <c r="L725" i="8"/>
  <c r="K725" i="8"/>
  <c r="J725" i="8"/>
  <c r="G725" i="8"/>
  <c r="M721" i="8"/>
  <c r="I721" i="8"/>
  <c r="H721" i="8"/>
  <c r="M720" i="8"/>
  <c r="I720" i="8"/>
  <c r="H720" i="8"/>
  <c r="M719" i="8"/>
  <c r="H719" i="8"/>
  <c r="I719" i="8" s="1"/>
  <c r="M716" i="8"/>
  <c r="I716" i="8"/>
  <c r="H716" i="8"/>
  <c r="M715" i="8"/>
  <c r="I715" i="8"/>
  <c r="H715" i="8"/>
  <c r="M714" i="8"/>
  <c r="H714" i="8"/>
  <c r="L711" i="8"/>
  <c r="K711" i="8"/>
  <c r="K704" i="8" s="1"/>
  <c r="J711" i="8"/>
  <c r="J704" i="8" s="1"/>
  <c r="G711" i="8"/>
  <c r="I711" i="8" s="1"/>
  <c r="L710" i="8"/>
  <c r="K710" i="8"/>
  <c r="J710" i="8"/>
  <c r="J703" i="8" s="1"/>
  <c r="G710" i="8"/>
  <c r="I710" i="8" s="1"/>
  <c r="L709" i="8"/>
  <c r="L702" i="8" s="1"/>
  <c r="K709" i="8"/>
  <c r="J709" i="8"/>
  <c r="J702" i="8" s="1"/>
  <c r="G709" i="8"/>
  <c r="L704" i="8"/>
  <c r="M697" i="8"/>
  <c r="I697" i="8"/>
  <c r="H697" i="8"/>
  <c r="M696" i="8"/>
  <c r="I696" i="8"/>
  <c r="H696" i="8"/>
  <c r="M695" i="8"/>
  <c r="H695" i="8"/>
  <c r="L694" i="8"/>
  <c r="K694" i="8"/>
  <c r="J694" i="8"/>
  <c r="G694" i="8"/>
  <c r="M690" i="8"/>
  <c r="I690" i="8"/>
  <c r="H690" i="8"/>
  <c r="M689" i="8"/>
  <c r="I689" i="8"/>
  <c r="H689" i="8"/>
  <c r="M688" i="8"/>
  <c r="H688" i="8"/>
  <c r="I688" i="8" s="1"/>
  <c r="L687" i="8"/>
  <c r="K687" i="8"/>
  <c r="J687" i="8"/>
  <c r="G687" i="8"/>
  <c r="M683" i="8"/>
  <c r="L683" i="8"/>
  <c r="K683" i="8"/>
  <c r="J683" i="8"/>
  <c r="I683" i="8"/>
  <c r="H683" i="8"/>
  <c r="G683" i="8"/>
  <c r="L682" i="8"/>
  <c r="K682" i="8"/>
  <c r="M682" i="8" s="1"/>
  <c r="J682" i="8"/>
  <c r="G682" i="8"/>
  <c r="I682" i="8" s="1"/>
  <c r="L681" i="8"/>
  <c r="K681" i="8"/>
  <c r="J681" i="8"/>
  <c r="G681" i="8"/>
  <c r="M675" i="8"/>
  <c r="I675" i="8"/>
  <c r="H675" i="8"/>
  <c r="M674" i="8"/>
  <c r="I674" i="8"/>
  <c r="H674" i="8"/>
  <c r="M673" i="8"/>
  <c r="H673" i="8"/>
  <c r="I673" i="8" s="1"/>
  <c r="M670" i="8"/>
  <c r="I670" i="8"/>
  <c r="H670" i="8"/>
  <c r="M669" i="8"/>
  <c r="I669" i="8"/>
  <c r="H669" i="8"/>
  <c r="M668" i="8"/>
  <c r="H668" i="8"/>
  <c r="I668" i="8" s="1"/>
  <c r="J463" i="8"/>
  <c r="L665" i="8"/>
  <c r="L462" i="8" s="1"/>
  <c r="K665" i="8"/>
  <c r="J665" i="8"/>
  <c r="G665" i="8"/>
  <c r="I665" i="8" s="1"/>
  <c r="L664" i="8"/>
  <c r="L461" i="8" s="1"/>
  <c r="K664" i="8"/>
  <c r="J664" i="8"/>
  <c r="G664" i="8"/>
  <c r="G461" i="8" s="1"/>
  <c r="L663" i="8"/>
  <c r="L662" i="8" s="1"/>
  <c r="K663" i="8"/>
  <c r="K460" i="8" s="1"/>
  <c r="J663" i="8"/>
  <c r="J460" i="8" s="1"/>
  <c r="G663" i="8"/>
  <c r="G460" i="8" s="1"/>
  <c r="M658" i="8"/>
  <c r="I658" i="8"/>
  <c r="H658" i="8"/>
  <c r="M657" i="8"/>
  <c r="I657" i="8"/>
  <c r="H657" i="8"/>
  <c r="M656" i="8"/>
  <c r="H656" i="8"/>
  <c r="I656" i="8" s="1"/>
  <c r="L655" i="8"/>
  <c r="K655" i="8"/>
  <c r="J655" i="8"/>
  <c r="G655" i="8"/>
  <c r="M651" i="8"/>
  <c r="I651" i="8"/>
  <c r="H651" i="8"/>
  <c r="M650" i="8"/>
  <c r="I650" i="8"/>
  <c r="H650" i="8"/>
  <c r="M649" i="8"/>
  <c r="H649" i="8"/>
  <c r="I649" i="8" s="1"/>
  <c r="L648" i="8"/>
  <c r="K648" i="8"/>
  <c r="J648" i="8"/>
  <c r="G648" i="8"/>
  <c r="M644" i="8"/>
  <c r="I644" i="8"/>
  <c r="H644" i="8"/>
  <c r="M643" i="8"/>
  <c r="I643" i="8"/>
  <c r="H643" i="8"/>
  <c r="M642" i="8"/>
  <c r="H642" i="8"/>
  <c r="I642" i="8" s="1"/>
  <c r="L641" i="8"/>
  <c r="K641" i="8"/>
  <c r="M641" i="8" s="1"/>
  <c r="J641" i="8"/>
  <c r="G641" i="8"/>
  <c r="M637" i="8"/>
  <c r="I637" i="8"/>
  <c r="H637" i="8"/>
  <c r="M636" i="8"/>
  <c r="H636" i="8"/>
  <c r="M635" i="8"/>
  <c r="H635" i="8"/>
  <c r="I635" i="8" s="1"/>
  <c r="L634" i="8"/>
  <c r="K634" i="8"/>
  <c r="J634" i="8"/>
  <c r="G634" i="8"/>
  <c r="M630" i="8"/>
  <c r="I630" i="8"/>
  <c r="H630" i="8"/>
  <c r="M629" i="8"/>
  <c r="I629" i="8"/>
  <c r="H629" i="8"/>
  <c r="M628" i="8"/>
  <c r="H628" i="8"/>
  <c r="I628" i="8" s="1"/>
  <c r="L627" i="8"/>
  <c r="K627" i="8"/>
  <c r="J627" i="8"/>
  <c r="G627" i="8"/>
  <c r="M623" i="8"/>
  <c r="I623" i="8"/>
  <c r="H623" i="8"/>
  <c r="M622" i="8"/>
  <c r="I622" i="8"/>
  <c r="H622" i="8"/>
  <c r="M621" i="8"/>
  <c r="H621" i="8"/>
  <c r="L620" i="8"/>
  <c r="K620" i="8"/>
  <c r="J620" i="8"/>
  <c r="G620" i="8"/>
  <c r="M616" i="8"/>
  <c r="I616" i="8"/>
  <c r="H616" i="8"/>
  <c r="M615" i="8"/>
  <c r="I615" i="8"/>
  <c r="H615" i="8"/>
  <c r="M614" i="8"/>
  <c r="H614" i="8"/>
  <c r="L613" i="8"/>
  <c r="K613" i="8"/>
  <c r="J613" i="8"/>
  <c r="G613" i="8"/>
  <c r="M609" i="8"/>
  <c r="I609" i="8"/>
  <c r="H609" i="8"/>
  <c r="M608" i="8"/>
  <c r="I608" i="8"/>
  <c r="H608" i="8"/>
  <c r="M607" i="8"/>
  <c r="H607" i="8"/>
  <c r="I607" i="8" s="1"/>
  <c r="M606" i="8"/>
  <c r="L606" i="8"/>
  <c r="K606" i="8"/>
  <c r="J606" i="8"/>
  <c r="G606" i="8"/>
  <c r="M602" i="8"/>
  <c r="H602" i="8"/>
  <c r="M601" i="8"/>
  <c r="I601" i="8"/>
  <c r="H601" i="8"/>
  <c r="M600" i="8"/>
  <c r="H600" i="8"/>
  <c r="I600" i="8" s="1"/>
  <c r="L599" i="8"/>
  <c r="K599" i="8"/>
  <c r="J599" i="8"/>
  <c r="G599" i="8"/>
  <c r="M595" i="8"/>
  <c r="I595" i="8"/>
  <c r="H595" i="8"/>
  <c r="M594" i="8"/>
  <c r="I594" i="8"/>
  <c r="H594" i="8"/>
  <c r="M593" i="8"/>
  <c r="H593" i="8"/>
  <c r="I593" i="8" s="1"/>
  <c r="L592" i="8"/>
  <c r="K592" i="8"/>
  <c r="J592" i="8"/>
  <c r="G592" i="8"/>
  <c r="M588" i="8"/>
  <c r="I588" i="8"/>
  <c r="H588" i="8"/>
  <c r="M587" i="8"/>
  <c r="I587" i="8"/>
  <c r="H587" i="8"/>
  <c r="M586" i="8"/>
  <c r="H586" i="8"/>
  <c r="L585" i="8"/>
  <c r="K585" i="8"/>
  <c r="J585" i="8"/>
  <c r="G585" i="8"/>
  <c r="M581" i="8"/>
  <c r="I581" i="8"/>
  <c r="H581" i="8"/>
  <c r="M580" i="8"/>
  <c r="I580" i="8"/>
  <c r="H580" i="8"/>
  <c r="M579" i="8"/>
  <c r="H579" i="8"/>
  <c r="I579" i="8" s="1"/>
  <c r="L578" i="8"/>
  <c r="K578" i="8"/>
  <c r="J578" i="8"/>
  <c r="G578" i="8"/>
  <c r="M574" i="8"/>
  <c r="I574" i="8"/>
  <c r="H574" i="8"/>
  <c r="M573" i="8"/>
  <c r="I573" i="8"/>
  <c r="H573" i="8"/>
  <c r="M572" i="8"/>
  <c r="H572" i="8"/>
  <c r="I572" i="8" s="1"/>
  <c r="L571" i="8"/>
  <c r="K571" i="8"/>
  <c r="J571" i="8"/>
  <c r="G571" i="8"/>
  <c r="M567" i="8"/>
  <c r="I567" i="8"/>
  <c r="H567" i="8"/>
  <c r="M566" i="8"/>
  <c r="I566" i="8"/>
  <c r="H566" i="8"/>
  <c r="M565" i="8"/>
  <c r="H565" i="8"/>
  <c r="L564" i="8"/>
  <c r="K564" i="8"/>
  <c r="J564" i="8"/>
  <c r="G564" i="8"/>
  <c r="M560" i="8"/>
  <c r="I560" i="8"/>
  <c r="H560" i="8"/>
  <c r="M559" i="8"/>
  <c r="I559" i="8"/>
  <c r="H559" i="8"/>
  <c r="M558" i="8"/>
  <c r="H558" i="8"/>
  <c r="L557" i="8"/>
  <c r="K557" i="8"/>
  <c r="M557" i="8" s="1"/>
  <c r="J557" i="8"/>
  <c r="G557" i="8"/>
  <c r="M553" i="8"/>
  <c r="I553" i="8"/>
  <c r="H553" i="8"/>
  <c r="M552" i="8"/>
  <c r="I552" i="8"/>
  <c r="H552" i="8"/>
  <c r="M551" i="8"/>
  <c r="H551" i="8"/>
  <c r="I551" i="8" s="1"/>
  <c r="L550" i="8"/>
  <c r="K550" i="8"/>
  <c r="M550" i="8" s="1"/>
  <c r="J550" i="8"/>
  <c r="G550" i="8"/>
  <c r="M546" i="8"/>
  <c r="I546" i="8"/>
  <c r="H546" i="8"/>
  <c r="M545" i="8"/>
  <c r="H545" i="8"/>
  <c r="M544" i="8"/>
  <c r="H544" i="8"/>
  <c r="I544" i="8" s="1"/>
  <c r="L543" i="8"/>
  <c r="K543" i="8"/>
  <c r="J543" i="8"/>
  <c r="G543" i="8"/>
  <c r="M539" i="8"/>
  <c r="I539" i="8"/>
  <c r="H539" i="8"/>
  <c r="M538" i="8"/>
  <c r="I538" i="8"/>
  <c r="H538" i="8"/>
  <c r="M537" i="8"/>
  <c r="H537" i="8"/>
  <c r="L536" i="8"/>
  <c r="K536" i="8"/>
  <c r="J536" i="8"/>
  <c r="G536" i="8"/>
  <c r="M532" i="8"/>
  <c r="I532" i="8"/>
  <c r="H532" i="8"/>
  <c r="M531" i="8"/>
  <c r="I531" i="8"/>
  <c r="H531" i="8"/>
  <c r="M530" i="8"/>
  <c r="H530" i="8"/>
  <c r="L529" i="8"/>
  <c r="K529" i="8"/>
  <c r="J529" i="8"/>
  <c r="G529" i="8"/>
  <c r="M525" i="8"/>
  <c r="I525" i="8"/>
  <c r="H525" i="8"/>
  <c r="M524" i="8"/>
  <c r="H524" i="8"/>
  <c r="I524" i="8" s="1"/>
  <c r="M523" i="8"/>
  <c r="I523" i="8"/>
  <c r="H523" i="8"/>
  <c r="L522" i="8"/>
  <c r="K522" i="8"/>
  <c r="M522" i="8" s="1"/>
  <c r="J522" i="8"/>
  <c r="G522" i="8"/>
  <c r="M519" i="8"/>
  <c r="I519" i="8"/>
  <c r="H519" i="8"/>
  <c r="M518" i="8"/>
  <c r="I518" i="8"/>
  <c r="H518" i="8"/>
  <c r="M517" i="8"/>
  <c r="I517" i="8"/>
  <c r="H517" i="8"/>
  <c r="M516" i="8"/>
  <c r="H516" i="8"/>
  <c r="I516" i="8" s="1"/>
  <c r="L515" i="8"/>
  <c r="K515" i="8"/>
  <c r="J515" i="8"/>
  <c r="G515" i="8"/>
  <c r="M512" i="8"/>
  <c r="I512" i="8"/>
  <c r="H512" i="8"/>
  <c r="M511" i="8"/>
  <c r="I511" i="8"/>
  <c r="H511" i="8"/>
  <c r="M510" i="8"/>
  <c r="I510" i="8"/>
  <c r="H510" i="8"/>
  <c r="M509" i="8"/>
  <c r="H509" i="8"/>
  <c r="L508" i="8"/>
  <c r="K508" i="8"/>
  <c r="J508" i="8"/>
  <c r="G508" i="8"/>
  <c r="M505" i="8"/>
  <c r="I505" i="8"/>
  <c r="H505" i="8"/>
  <c r="M504" i="8"/>
  <c r="H504" i="8"/>
  <c r="I504" i="8" s="1"/>
  <c r="M503" i="8"/>
  <c r="H503" i="8"/>
  <c r="I503" i="8" s="1"/>
  <c r="M502" i="8"/>
  <c r="H502" i="8"/>
  <c r="L501" i="8"/>
  <c r="K501" i="8"/>
  <c r="J501" i="8"/>
  <c r="G501" i="8"/>
  <c r="M498" i="8"/>
  <c r="I498" i="8"/>
  <c r="H498" i="8"/>
  <c r="M497" i="8"/>
  <c r="I497" i="8"/>
  <c r="H497" i="8"/>
  <c r="M496" i="8"/>
  <c r="I496" i="8"/>
  <c r="H496" i="8"/>
  <c r="M495" i="8"/>
  <c r="H495" i="8"/>
  <c r="I495" i="8" s="1"/>
  <c r="L494" i="8"/>
  <c r="K494" i="8"/>
  <c r="J494" i="8"/>
  <c r="G494" i="8"/>
  <c r="M491" i="8"/>
  <c r="I491" i="8"/>
  <c r="H491" i="8"/>
  <c r="M490" i="8"/>
  <c r="I490" i="8"/>
  <c r="H490" i="8"/>
  <c r="M489" i="8"/>
  <c r="I489" i="8"/>
  <c r="H489" i="8"/>
  <c r="M488" i="8"/>
  <c r="H488" i="8"/>
  <c r="I488" i="8" s="1"/>
  <c r="L487" i="8"/>
  <c r="K487" i="8"/>
  <c r="J487" i="8"/>
  <c r="G487" i="8"/>
  <c r="M484" i="8"/>
  <c r="I484" i="8"/>
  <c r="M483" i="8"/>
  <c r="I483" i="8"/>
  <c r="M482" i="8"/>
  <c r="I482" i="8"/>
  <c r="H482" i="8"/>
  <c r="M481" i="8"/>
  <c r="H481" i="8"/>
  <c r="I481" i="8" s="1"/>
  <c r="L480" i="8"/>
  <c r="K480" i="8"/>
  <c r="J480" i="8"/>
  <c r="G480" i="8"/>
  <c r="M477" i="8"/>
  <c r="I477" i="8"/>
  <c r="H477" i="8"/>
  <c r="M476" i="8"/>
  <c r="I476" i="8"/>
  <c r="H476" i="8"/>
  <c r="M475" i="8"/>
  <c r="I475" i="8"/>
  <c r="H475" i="8"/>
  <c r="M474" i="8"/>
  <c r="H474" i="8"/>
  <c r="I474" i="8" s="1"/>
  <c r="L473" i="8"/>
  <c r="K473" i="8"/>
  <c r="J473" i="8"/>
  <c r="G473" i="8"/>
  <c r="M469" i="8"/>
  <c r="I469" i="8"/>
  <c r="M468" i="8"/>
  <c r="I468" i="8"/>
  <c r="H468" i="8"/>
  <c r="H466" i="8" s="1"/>
  <c r="M467" i="8"/>
  <c r="H467" i="8"/>
  <c r="I467" i="8" s="1"/>
  <c r="L466" i="8"/>
  <c r="K466" i="8"/>
  <c r="J466" i="8"/>
  <c r="G466" i="8"/>
  <c r="L463" i="8"/>
  <c r="G463" i="8"/>
  <c r="I463" i="8" s="1"/>
  <c r="J462" i="8"/>
  <c r="J461" i="8"/>
  <c r="M456" i="8"/>
  <c r="I456" i="8"/>
  <c r="H456" i="8"/>
  <c r="M455" i="8"/>
  <c r="I455" i="8"/>
  <c r="H455" i="8"/>
  <c r="M454" i="8"/>
  <c r="I454" i="8"/>
  <c r="H454" i="8"/>
  <c r="M453" i="8"/>
  <c r="H453" i="8"/>
  <c r="I453" i="8" s="1"/>
  <c r="L452" i="8"/>
  <c r="K452" i="8"/>
  <c r="J452" i="8"/>
  <c r="G452" i="8"/>
  <c r="M449" i="8"/>
  <c r="I449" i="8"/>
  <c r="H449" i="8"/>
  <c r="M448" i="8"/>
  <c r="I448" i="8"/>
  <c r="H448" i="8"/>
  <c r="M447" i="8"/>
  <c r="I447" i="8"/>
  <c r="H447" i="8"/>
  <c r="M446" i="8"/>
  <c r="H446" i="8"/>
  <c r="L445" i="8"/>
  <c r="K445" i="8"/>
  <c r="J445" i="8"/>
  <c r="G445" i="8"/>
  <c r="M442" i="8"/>
  <c r="I442" i="8"/>
  <c r="H442" i="8"/>
  <c r="M441" i="8"/>
  <c r="I441" i="8"/>
  <c r="H441" i="8"/>
  <c r="M440" i="8"/>
  <c r="I440" i="8"/>
  <c r="H440" i="8"/>
  <c r="M439" i="8"/>
  <c r="H439" i="8"/>
  <c r="L438" i="8"/>
  <c r="K438" i="8"/>
  <c r="M438" i="8" s="1"/>
  <c r="J438" i="8"/>
  <c r="G438" i="8"/>
  <c r="M435" i="8"/>
  <c r="I435" i="8"/>
  <c r="H435" i="8"/>
  <c r="M434" i="8"/>
  <c r="H434" i="8"/>
  <c r="M433" i="8"/>
  <c r="I433" i="8"/>
  <c r="H433" i="8"/>
  <c r="M432" i="8"/>
  <c r="H432" i="8"/>
  <c r="I432" i="8" s="1"/>
  <c r="L431" i="8"/>
  <c r="K431" i="8"/>
  <c r="M431" i="8" s="1"/>
  <c r="J431" i="8"/>
  <c r="G431" i="8"/>
  <c r="L428" i="8"/>
  <c r="K428" i="8"/>
  <c r="M428" i="8" s="1"/>
  <c r="J428" i="8"/>
  <c r="G428" i="8"/>
  <c r="I428" i="8" s="1"/>
  <c r="L427" i="8"/>
  <c r="K427" i="8"/>
  <c r="M427" i="8" s="1"/>
  <c r="J427" i="8"/>
  <c r="G427" i="8"/>
  <c r="L426" i="8"/>
  <c r="K426" i="8"/>
  <c r="M426" i="8" s="1"/>
  <c r="J426" i="8"/>
  <c r="G426" i="8"/>
  <c r="I426" i="8" s="1"/>
  <c r="L425" i="8"/>
  <c r="K425" i="8"/>
  <c r="J425" i="8"/>
  <c r="G425" i="8"/>
  <c r="M421" i="8"/>
  <c r="I421" i="8"/>
  <c r="H421" i="8"/>
  <c r="M420" i="8"/>
  <c r="I420" i="8"/>
  <c r="H420" i="8"/>
  <c r="M419" i="8"/>
  <c r="I419" i="8"/>
  <c r="H419" i="8"/>
  <c r="M418" i="8"/>
  <c r="H418" i="8"/>
  <c r="L417" i="8"/>
  <c r="K417" i="8"/>
  <c r="M417" i="8" s="1"/>
  <c r="J417" i="8"/>
  <c r="G417" i="8"/>
  <c r="M414" i="8"/>
  <c r="I414" i="8"/>
  <c r="H414" i="8"/>
  <c r="M413" i="8"/>
  <c r="I413" i="8"/>
  <c r="H413" i="8"/>
  <c r="M412" i="8"/>
  <c r="I412" i="8"/>
  <c r="H412" i="8"/>
  <c r="M411" i="8"/>
  <c r="I411" i="8"/>
  <c r="H411" i="8"/>
  <c r="M409" i="8"/>
  <c r="I409" i="8"/>
  <c r="H409" i="8"/>
  <c r="H404" i="8" s="1"/>
  <c r="M408" i="8"/>
  <c r="I408" i="8"/>
  <c r="H408" i="8"/>
  <c r="H403" i="8" s="1"/>
  <c r="M407" i="8"/>
  <c r="I407" i="8"/>
  <c r="H407" i="8"/>
  <c r="H402" i="8" s="1"/>
  <c r="M406" i="8"/>
  <c r="H406" i="8"/>
  <c r="I406" i="8" s="1"/>
  <c r="L404" i="8"/>
  <c r="K404" i="8"/>
  <c r="M404" i="8" s="1"/>
  <c r="J404" i="8"/>
  <c r="G404" i="8"/>
  <c r="I404" i="8" s="1"/>
  <c r="L403" i="8"/>
  <c r="K403" i="8"/>
  <c r="M403" i="8" s="1"/>
  <c r="J403" i="8"/>
  <c r="G403" i="8"/>
  <c r="I403" i="8" s="1"/>
  <c r="L402" i="8"/>
  <c r="K402" i="8"/>
  <c r="M402" i="8" s="1"/>
  <c r="J402" i="8"/>
  <c r="G402" i="8"/>
  <c r="I402" i="8" s="1"/>
  <c r="K401" i="8"/>
  <c r="M401" i="8" s="1"/>
  <c r="J401" i="8"/>
  <c r="G401" i="8"/>
  <c r="M397" i="8"/>
  <c r="I397" i="8"/>
  <c r="H397" i="8"/>
  <c r="M396" i="8"/>
  <c r="I396" i="8"/>
  <c r="H396" i="8"/>
  <c r="M395" i="8"/>
  <c r="I395" i="8"/>
  <c r="H395" i="8"/>
  <c r="M394" i="8"/>
  <c r="H394" i="8"/>
  <c r="I394" i="8" s="1"/>
  <c r="M392" i="8"/>
  <c r="I392" i="8"/>
  <c r="H392" i="8"/>
  <c r="M391" i="8"/>
  <c r="I391" i="8"/>
  <c r="H391" i="8"/>
  <c r="M390" i="8"/>
  <c r="I390" i="8"/>
  <c r="H390" i="8"/>
  <c r="M389" i="8"/>
  <c r="H389" i="8"/>
  <c r="I389" i="8" s="1"/>
  <c r="M387" i="8"/>
  <c r="I387" i="8"/>
  <c r="H387" i="8"/>
  <c r="M386" i="8"/>
  <c r="H386" i="8"/>
  <c r="I386" i="8" s="1"/>
  <c r="M385" i="8"/>
  <c r="I385" i="8"/>
  <c r="H385" i="8"/>
  <c r="M384" i="8"/>
  <c r="I384" i="8"/>
  <c r="H384" i="8"/>
  <c r="L382" i="8"/>
  <c r="K382" i="8"/>
  <c r="J382" i="8"/>
  <c r="J368" i="8" s="1"/>
  <c r="G382" i="8"/>
  <c r="L381" i="8"/>
  <c r="K381" i="8"/>
  <c r="J381" i="8"/>
  <c r="G381" i="8"/>
  <c r="L380" i="8"/>
  <c r="L366" i="8" s="1"/>
  <c r="K380" i="8"/>
  <c r="M380" i="8" s="1"/>
  <c r="J380" i="8"/>
  <c r="G380" i="8"/>
  <c r="L379" i="8"/>
  <c r="K379" i="8"/>
  <c r="J379" i="8"/>
  <c r="H379" i="8"/>
  <c r="G379" i="8"/>
  <c r="M374" i="8"/>
  <c r="I374" i="8"/>
  <c r="H374" i="8"/>
  <c r="M373" i="8"/>
  <c r="I373" i="8"/>
  <c r="H373" i="8"/>
  <c r="M372" i="8"/>
  <c r="H372" i="8"/>
  <c r="L371" i="8"/>
  <c r="K371" i="8"/>
  <c r="J371" i="8"/>
  <c r="G371" i="8"/>
  <c r="K366" i="8"/>
  <c r="M366" i="8" s="1"/>
  <c r="J366" i="8"/>
  <c r="M360" i="8"/>
  <c r="I360" i="8"/>
  <c r="H360" i="8"/>
  <c r="M359" i="8"/>
  <c r="I359" i="8"/>
  <c r="H359" i="8"/>
  <c r="M358" i="8"/>
  <c r="H358" i="8"/>
  <c r="I358" i="8" s="1"/>
  <c r="L357" i="8"/>
  <c r="K357" i="8"/>
  <c r="M357" i="8" s="1"/>
  <c r="J357" i="8"/>
  <c r="G357" i="8"/>
  <c r="M354" i="8"/>
  <c r="I354" i="8"/>
  <c r="H354" i="8"/>
  <c r="M353" i="8"/>
  <c r="I353" i="8"/>
  <c r="H353" i="8"/>
  <c r="M352" i="8"/>
  <c r="I352" i="8"/>
  <c r="H352" i="8"/>
  <c r="M351" i="8"/>
  <c r="H351" i="8"/>
  <c r="L350" i="8"/>
  <c r="K350" i="8"/>
  <c r="J350" i="8"/>
  <c r="G350" i="8"/>
  <c r="M346" i="8"/>
  <c r="I346" i="8"/>
  <c r="H346" i="8"/>
  <c r="M345" i="8"/>
  <c r="I345" i="8"/>
  <c r="H345" i="8"/>
  <c r="M344" i="8"/>
  <c r="H344" i="8"/>
  <c r="L343" i="8"/>
  <c r="K343" i="8"/>
  <c r="M343" i="8" s="1"/>
  <c r="J343" i="8"/>
  <c r="G343" i="8"/>
  <c r="M339" i="8"/>
  <c r="I339" i="8"/>
  <c r="H339" i="8"/>
  <c r="M338" i="8"/>
  <c r="I338" i="8"/>
  <c r="H338" i="8"/>
  <c r="M337" i="8"/>
  <c r="H337" i="8"/>
  <c r="I337" i="8" s="1"/>
  <c r="L336" i="8"/>
  <c r="K336" i="8"/>
  <c r="M336" i="8" s="1"/>
  <c r="J336" i="8"/>
  <c r="G336" i="8"/>
  <c r="L333" i="8"/>
  <c r="K333" i="8"/>
  <c r="M333" i="8" s="1"/>
  <c r="J333" i="8"/>
  <c r="G333" i="8"/>
  <c r="I333" i="8" s="1"/>
  <c r="L332" i="8"/>
  <c r="K332" i="8"/>
  <c r="J332" i="8"/>
  <c r="G332" i="8"/>
  <c r="L331" i="8"/>
  <c r="K331" i="8"/>
  <c r="M331" i="8" s="1"/>
  <c r="J331" i="8"/>
  <c r="G331" i="8"/>
  <c r="I331" i="8" s="1"/>
  <c r="L330" i="8"/>
  <c r="K330" i="8"/>
  <c r="J330" i="8"/>
  <c r="G330" i="8"/>
  <c r="M634" i="8" l="1"/>
  <c r="G462" i="8"/>
  <c r="M914" i="8"/>
  <c r="M381" i="8"/>
  <c r="H480" i="8"/>
  <c r="G704" i="8"/>
  <c r="H710" i="8"/>
  <c r="H703" i="8" s="1"/>
  <c r="M725" i="8"/>
  <c r="M823" i="8"/>
  <c r="M858" i="8"/>
  <c r="M936" i="8"/>
  <c r="H380" i="8"/>
  <c r="H366" i="8" s="1"/>
  <c r="M795" i="8"/>
  <c r="M830" i="8"/>
  <c r="M908" i="8"/>
  <c r="M592" i="8"/>
  <c r="M599" i="8"/>
  <c r="H739" i="8"/>
  <c r="H401" i="8"/>
  <c r="I401" i="8" s="1"/>
  <c r="M865" i="8"/>
  <c r="M774" i="8"/>
  <c r="M746" i="8"/>
  <c r="J680" i="8"/>
  <c r="M687" i="8"/>
  <c r="M655" i="8"/>
  <c r="M613" i="8"/>
  <c r="M578" i="8"/>
  <c r="M529" i="8"/>
  <c r="H508" i="8"/>
  <c r="M501" i="8"/>
  <c r="I480" i="8"/>
  <c r="G459" i="8"/>
  <c r="H463" i="8"/>
  <c r="I466" i="8"/>
  <c r="M445" i="8"/>
  <c r="H382" i="8"/>
  <c r="H368" i="8" s="1"/>
  <c r="L368" i="8"/>
  <c r="L326" i="8" s="1"/>
  <c r="M480" i="8"/>
  <c r="H665" i="8"/>
  <c r="H462" i="8" s="1"/>
  <c r="J365" i="8"/>
  <c r="J323" i="8" s="1"/>
  <c r="H431" i="8"/>
  <c r="I431" i="8" s="1"/>
  <c r="H438" i="8"/>
  <c r="I438" i="8" s="1"/>
  <c r="M494" i="8"/>
  <c r="H543" i="8"/>
  <c r="I543" i="8" s="1"/>
  <c r="M620" i="8"/>
  <c r="H641" i="8"/>
  <c r="I641" i="8" s="1"/>
  <c r="H663" i="8"/>
  <c r="I663" i="8" s="1"/>
  <c r="H664" i="8"/>
  <c r="H767" i="8"/>
  <c r="I767" i="8" s="1"/>
  <c r="H781" i="8"/>
  <c r="I781" i="8" s="1"/>
  <c r="M809" i="8"/>
  <c r="M844" i="8"/>
  <c r="M851" i="8"/>
  <c r="M893" i="8"/>
  <c r="M928" i="8"/>
  <c r="H487" i="8"/>
  <c r="M371" i="8"/>
  <c r="H381" i="8"/>
  <c r="J400" i="8"/>
  <c r="M425" i="8"/>
  <c r="M452" i="8"/>
  <c r="L460" i="8"/>
  <c r="L459" i="8" s="1"/>
  <c r="K463" i="8"/>
  <c r="M463" i="8" s="1"/>
  <c r="M508" i="8"/>
  <c r="M536" i="8"/>
  <c r="M564" i="8"/>
  <c r="H578" i="8"/>
  <c r="I578" i="8" s="1"/>
  <c r="H606" i="8"/>
  <c r="I606" i="8" s="1"/>
  <c r="H682" i="8"/>
  <c r="M837" i="8"/>
  <c r="M886" i="8"/>
  <c r="H788" i="8"/>
  <c r="I788" i="8" s="1"/>
  <c r="H357" i="8"/>
  <c r="I357" i="8" s="1"/>
  <c r="H494" i="8"/>
  <c r="I494" i="8" s="1"/>
  <c r="I740" i="8"/>
  <c r="H760" i="8"/>
  <c r="I760" i="8" s="1"/>
  <c r="H872" i="8"/>
  <c r="I872" i="8" s="1"/>
  <c r="I929" i="8"/>
  <c r="L935" i="8"/>
  <c r="H330" i="8"/>
  <c r="G367" i="8"/>
  <c r="M466" i="8"/>
  <c r="H550" i="8"/>
  <c r="I550" i="8" s="1"/>
  <c r="H571" i="8"/>
  <c r="I571" i="8" s="1"/>
  <c r="M663" i="8"/>
  <c r="H681" i="8"/>
  <c r="H844" i="8"/>
  <c r="I844" i="8" s="1"/>
  <c r="H879" i="8"/>
  <c r="I879" i="8" s="1"/>
  <c r="I380" i="8"/>
  <c r="G366" i="8"/>
  <c r="I366" i="8" s="1"/>
  <c r="H515" i="8"/>
  <c r="I515" i="8" s="1"/>
  <c r="I739" i="8"/>
  <c r="M330" i="8"/>
  <c r="L424" i="8"/>
  <c r="I439" i="8"/>
  <c r="H425" i="8"/>
  <c r="I425" i="8" s="1"/>
  <c r="M665" i="8"/>
  <c r="K462" i="8"/>
  <c r="M462" i="8" s="1"/>
  <c r="L680" i="8"/>
  <c r="H711" i="8"/>
  <c r="H704" i="8" s="1"/>
  <c r="I704" i="8" s="1"/>
  <c r="M767" i="8"/>
  <c r="H900" i="8"/>
  <c r="I900" i="8" s="1"/>
  <c r="J935" i="8"/>
  <c r="H460" i="8"/>
  <c r="I460" i="8" s="1"/>
  <c r="I545" i="8"/>
  <c r="H694" i="8"/>
  <c r="I694" i="8" s="1"/>
  <c r="M711" i="8"/>
  <c r="H333" i="8"/>
  <c r="M350" i="8"/>
  <c r="H536" i="8"/>
  <c r="I536" i="8" s="1"/>
  <c r="M571" i="8"/>
  <c r="M585" i="8"/>
  <c r="M648" i="8"/>
  <c r="I695" i="8"/>
  <c r="H795" i="8"/>
  <c r="I795" i="8" s="1"/>
  <c r="G921" i="8"/>
  <c r="H823" i="8"/>
  <c r="I823" i="8" s="1"/>
  <c r="L907" i="8"/>
  <c r="H350" i="8"/>
  <c r="I350" i="8" s="1"/>
  <c r="J367" i="8"/>
  <c r="J325" i="8" s="1"/>
  <c r="L367" i="8"/>
  <c r="L325" i="8" s="1"/>
  <c r="J424" i="8"/>
  <c r="H428" i="8"/>
  <c r="H426" i="8"/>
  <c r="J459" i="8"/>
  <c r="M473" i="8"/>
  <c r="H564" i="8"/>
  <c r="I564" i="8" s="1"/>
  <c r="M627" i="8"/>
  <c r="H627" i="8"/>
  <c r="I627" i="8" s="1"/>
  <c r="M781" i="8"/>
  <c r="M816" i="8"/>
  <c r="H816" i="8"/>
  <c r="I816" i="8" s="1"/>
  <c r="H851" i="8"/>
  <c r="I851" i="8" s="1"/>
  <c r="K329" i="8"/>
  <c r="H336" i="8"/>
  <c r="I336" i="8" s="1"/>
  <c r="H400" i="8"/>
  <c r="J329" i="8"/>
  <c r="J324" i="8"/>
  <c r="I379" i="8"/>
  <c r="G365" i="8"/>
  <c r="L365" i="8"/>
  <c r="L378" i="8"/>
  <c r="K424" i="8"/>
  <c r="I330" i="8"/>
  <c r="G378" i="8"/>
  <c r="M382" i="8"/>
  <c r="K368" i="8"/>
  <c r="I509" i="8"/>
  <c r="H858" i="8"/>
  <c r="I858" i="8" s="1"/>
  <c r="I859" i="8"/>
  <c r="H924" i="8"/>
  <c r="H921" i="8" s="1"/>
  <c r="I921" i="8" s="1"/>
  <c r="H928" i="8"/>
  <c r="I928" i="8" s="1"/>
  <c r="I937" i="8"/>
  <c r="G935" i="8"/>
  <c r="L329" i="8"/>
  <c r="M332" i="8"/>
  <c r="H332" i="8"/>
  <c r="H343" i="8"/>
  <c r="I343" i="8" s="1"/>
  <c r="I344" i="8"/>
  <c r="I351" i="8"/>
  <c r="K367" i="8"/>
  <c r="H371" i="8"/>
  <c r="I371" i="8" s="1"/>
  <c r="I372" i="8"/>
  <c r="J378" i="8"/>
  <c r="L400" i="8"/>
  <c r="G424" i="8"/>
  <c r="H427" i="8"/>
  <c r="I427" i="8" s="1"/>
  <c r="I434" i="8"/>
  <c r="H473" i="8"/>
  <c r="M487" i="8"/>
  <c r="H522" i="8"/>
  <c r="I522" i="8" s="1"/>
  <c r="H557" i="8"/>
  <c r="I557" i="8" s="1"/>
  <c r="I558" i="8"/>
  <c r="I565" i="8"/>
  <c r="I602" i="8"/>
  <c r="H599" i="8"/>
  <c r="I599" i="8" s="1"/>
  <c r="I614" i="8"/>
  <c r="H613" i="8"/>
  <c r="I613" i="8" s="1"/>
  <c r="H655" i="8"/>
  <c r="I655" i="8" s="1"/>
  <c r="G680" i="8"/>
  <c r="G703" i="8"/>
  <c r="M710" i="8"/>
  <c r="K703" i="8"/>
  <c r="J701" i="8"/>
  <c r="J708" i="8"/>
  <c r="I714" i="8"/>
  <c r="H709" i="8"/>
  <c r="I709" i="8" s="1"/>
  <c r="H732" i="8"/>
  <c r="I732" i="8" s="1"/>
  <c r="H774" i="8"/>
  <c r="I774" i="8" s="1"/>
  <c r="I775" i="8"/>
  <c r="I782" i="8"/>
  <c r="I332" i="8"/>
  <c r="H445" i="8"/>
  <c r="I445" i="8" s="1"/>
  <c r="I446" i="8"/>
  <c r="I508" i="8"/>
  <c r="G708" i="8"/>
  <c r="G702" i="8"/>
  <c r="H746" i="8"/>
  <c r="I746" i="8" s="1"/>
  <c r="I747" i="8"/>
  <c r="H809" i="8"/>
  <c r="I809" i="8" s="1"/>
  <c r="I810" i="8"/>
  <c r="H893" i="8"/>
  <c r="I893" i="8" s="1"/>
  <c r="I894" i="8"/>
  <c r="K400" i="8"/>
  <c r="I473" i="8"/>
  <c r="H501" i="8"/>
  <c r="I501" i="8" s="1"/>
  <c r="I502" i="8"/>
  <c r="H529" i="8"/>
  <c r="I529" i="8" s="1"/>
  <c r="I530" i="8"/>
  <c r="I537" i="8"/>
  <c r="G329" i="8"/>
  <c r="H331" i="8"/>
  <c r="K378" i="8"/>
  <c r="M379" i="8"/>
  <c r="K365" i="8"/>
  <c r="I382" i="8"/>
  <c r="G368" i="8"/>
  <c r="G326" i="8" s="1"/>
  <c r="I326" i="8" s="1"/>
  <c r="G400" i="8"/>
  <c r="H417" i="8"/>
  <c r="I417" i="8" s="1"/>
  <c r="I418" i="8"/>
  <c r="H452" i="8"/>
  <c r="I452" i="8" s="1"/>
  <c r="I487" i="8"/>
  <c r="M515" i="8"/>
  <c r="M543" i="8"/>
  <c r="I586" i="8"/>
  <c r="H585" i="8"/>
  <c r="I585" i="8" s="1"/>
  <c r="H620" i="8"/>
  <c r="I620" i="8" s="1"/>
  <c r="I621" i="8"/>
  <c r="I636" i="8"/>
  <c r="H634" i="8"/>
  <c r="I634" i="8" s="1"/>
  <c r="M664" i="8"/>
  <c r="K662" i="8"/>
  <c r="M662" i="8" s="1"/>
  <c r="K461" i="8"/>
  <c r="L708" i="8"/>
  <c r="L703" i="8"/>
  <c r="L701" i="8" s="1"/>
  <c r="H886" i="8"/>
  <c r="I886" i="8" s="1"/>
  <c r="I887" i="8"/>
  <c r="M909" i="8"/>
  <c r="K907" i="8"/>
  <c r="H914" i="8"/>
  <c r="I914" i="8" s="1"/>
  <c r="H908" i="8"/>
  <c r="I915" i="8"/>
  <c r="H592" i="8"/>
  <c r="I592" i="8" s="1"/>
  <c r="H648" i="8"/>
  <c r="I648" i="8" s="1"/>
  <c r="J662" i="8"/>
  <c r="I664" i="8"/>
  <c r="G662" i="8"/>
  <c r="M694" i="8"/>
  <c r="M704" i="8"/>
  <c r="H725" i="8"/>
  <c r="I725" i="8" s="1"/>
  <c r="M760" i="8"/>
  <c r="H802" i="8"/>
  <c r="I802" i="8" s="1"/>
  <c r="I803" i="8"/>
  <c r="H837" i="8"/>
  <c r="I837" i="8" s="1"/>
  <c r="K921" i="8"/>
  <c r="M922" i="8"/>
  <c r="M937" i="8"/>
  <c r="K935" i="8"/>
  <c r="M935" i="8" s="1"/>
  <c r="H942" i="8"/>
  <c r="I942" i="8" s="1"/>
  <c r="H936" i="8"/>
  <c r="I943" i="8"/>
  <c r="M681" i="8"/>
  <c r="K680" i="8"/>
  <c r="M680" i="8" s="1"/>
  <c r="H687" i="8"/>
  <c r="I687" i="8" s="1"/>
  <c r="M709" i="8"/>
  <c r="K708" i="8"/>
  <c r="K702" i="8"/>
  <c r="H753" i="8"/>
  <c r="I753" i="8" s="1"/>
  <c r="M788" i="8"/>
  <c r="H830" i="8"/>
  <c r="I830" i="8" s="1"/>
  <c r="I831" i="8"/>
  <c r="H865" i="8"/>
  <c r="I865" i="8" s="1"/>
  <c r="M900" i="8"/>
  <c r="J907" i="8"/>
  <c r="I909" i="8"/>
  <c r="G907" i="8"/>
  <c r="I922" i="8"/>
  <c r="L921" i="8"/>
  <c r="I462" i="8" l="1"/>
  <c r="H378" i="8"/>
  <c r="M703" i="8"/>
  <c r="G325" i="8"/>
  <c r="H365" i="8"/>
  <c r="H367" i="8"/>
  <c r="I367" i="8" s="1"/>
  <c r="H662" i="8"/>
  <c r="I381" i="8"/>
  <c r="J364" i="8"/>
  <c r="M424" i="8"/>
  <c r="J326" i="8"/>
  <c r="J322" i="8" s="1"/>
  <c r="M460" i="8"/>
  <c r="M378" i="8"/>
  <c r="H461" i="8"/>
  <c r="I461" i="8" s="1"/>
  <c r="H329" i="8"/>
  <c r="I329" i="8" s="1"/>
  <c r="H326" i="8"/>
  <c r="I662" i="8"/>
  <c r="M368" i="8"/>
  <c r="K326" i="8"/>
  <c r="M326" i="8" s="1"/>
  <c r="H680" i="8"/>
  <c r="M907" i="8"/>
  <c r="M400" i="8"/>
  <c r="M367" i="8"/>
  <c r="I680" i="8"/>
  <c r="K325" i="8"/>
  <c r="M325" i="8" s="1"/>
  <c r="L364" i="8"/>
  <c r="M921" i="8"/>
  <c r="I400" i="8"/>
  <c r="L323" i="8"/>
  <c r="I681" i="8"/>
  <c r="M329" i="8"/>
  <c r="K701" i="8"/>
  <c r="M701" i="8" s="1"/>
  <c r="M702" i="8"/>
  <c r="M708" i="8"/>
  <c r="I908" i="8"/>
  <c r="H907" i="8"/>
  <c r="I907" i="8" s="1"/>
  <c r="I703" i="8"/>
  <c r="G364" i="8"/>
  <c r="I365" i="8"/>
  <c r="G323" i="8"/>
  <c r="H424" i="8"/>
  <c r="I424" i="8" s="1"/>
  <c r="I936" i="8"/>
  <c r="H935" i="8"/>
  <c r="I935" i="8" s="1"/>
  <c r="K364" i="8"/>
  <c r="K323" i="8"/>
  <c r="M365" i="8"/>
  <c r="I378" i="8"/>
  <c r="L324" i="8"/>
  <c r="M461" i="8"/>
  <c r="K459" i="8"/>
  <c r="M459" i="8" s="1"/>
  <c r="K324" i="8"/>
  <c r="I368" i="8"/>
  <c r="G701" i="8"/>
  <c r="H708" i="8"/>
  <c r="I708" i="8" s="1"/>
  <c r="H702" i="8"/>
  <c r="H701" i="8" s="1"/>
  <c r="G324" i="8"/>
  <c r="H325" i="8" l="1"/>
  <c r="I325" i="8" s="1"/>
  <c r="H364" i="8"/>
  <c r="I701" i="8"/>
  <c r="M324" i="8"/>
  <c r="G322" i="8"/>
  <c r="M364" i="8"/>
  <c r="H324" i="8"/>
  <c r="I324" i="8" s="1"/>
  <c r="H459" i="8"/>
  <c r="I459" i="8" s="1"/>
  <c r="L322" i="8"/>
  <c r="I364" i="8"/>
  <c r="M323" i="8"/>
  <c r="K322" i="8"/>
  <c r="H323" i="8"/>
  <c r="I702" i="8"/>
  <c r="H322" i="8" l="1"/>
  <c r="I322" i="8" s="1"/>
  <c r="M322" i="8"/>
  <c r="I323" i="8"/>
  <c r="L168" i="8" l="1"/>
  <c r="M168" i="8" s="1"/>
  <c r="L229" i="8"/>
  <c r="H107" i="8"/>
  <c r="H106" i="8" s="1"/>
  <c r="G107" i="8"/>
  <c r="G106" i="8" s="1"/>
  <c r="K107" i="8"/>
  <c r="K106" i="8" s="1"/>
  <c r="H314" i="8"/>
  <c r="H313" i="8" s="1"/>
  <c r="G314" i="8"/>
  <c r="G313" i="8" s="1"/>
  <c r="I313" i="8" s="1"/>
  <c r="L314" i="8"/>
  <c r="L313" i="8" s="1"/>
  <c r="J314" i="8"/>
  <c r="J313" i="8" s="1"/>
  <c r="K314" i="8"/>
  <c r="K313" i="8" s="1"/>
  <c r="M319" i="8"/>
  <c r="I319" i="8"/>
  <c r="M318" i="8"/>
  <c r="I318" i="8"/>
  <c r="L317" i="8"/>
  <c r="K317" i="8"/>
  <c r="M317" i="8" s="1"/>
  <c r="J317" i="8"/>
  <c r="H317" i="8"/>
  <c r="G317" i="8"/>
  <c r="I317" i="8" s="1"/>
  <c r="K153" i="8"/>
  <c r="J153" i="8"/>
  <c r="H153" i="8"/>
  <c r="G153" i="8"/>
  <c r="H299" i="8"/>
  <c r="G299" i="8"/>
  <c r="K78" i="8"/>
  <c r="L78" i="8"/>
  <c r="J78" i="8"/>
  <c r="H78" i="8"/>
  <c r="G78" i="8"/>
  <c r="K94" i="8"/>
  <c r="L81" i="8"/>
  <c r="K81" i="8"/>
  <c r="H81" i="8"/>
  <c r="G81" i="8"/>
  <c r="M82" i="8"/>
  <c r="M79" i="8"/>
  <c r="L79" i="8"/>
  <c r="K79" i="8"/>
  <c r="J79" i="8"/>
  <c r="J77" i="8" s="1"/>
  <c r="H79" i="8"/>
  <c r="G79" i="8"/>
  <c r="I79" i="8" s="1"/>
  <c r="M78" i="8"/>
  <c r="K68" i="8"/>
  <c r="L68" i="8"/>
  <c r="M68" i="8"/>
  <c r="K67" i="8"/>
  <c r="L67" i="8"/>
  <c r="J67" i="8"/>
  <c r="J68" i="8"/>
  <c r="H68" i="8"/>
  <c r="H67" i="8"/>
  <c r="G68" i="8"/>
  <c r="I68" i="8" s="1"/>
  <c r="G67" i="8"/>
  <c r="L71" i="8"/>
  <c r="K71" i="8"/>
  <c r="M71" i="8" s="1"/>
  <c r="M258" i="8"/>
  <c r="K257" i="8"/>
  <c r="K256" i="8" s="1"/>
  <c r="H257" i="8"/>
  <c r="G257" i="8"/>
  <c r="I264" i="8"/>
  <c r="G247" i="8"/>
  <c r="G246" i="8" s="1"/>
  <c r="H229" i="8"/>
  <c r="K147" i="8"/>
  <c r="K143" i="8" s="1"/>
  <c r="H147" i="8"/>
  <c r="H143" i="8" s="1"/>
  <c r="I143" i="8" s="1"/>
  <c r="L111" i="8"/>
  <c r="L107" i="8" s="1"/>
  <c r="L106" i="8" s="1"/>
  <c r="G134" i="8"/>
  <c r="L143" i="8"/>
  <c r="L147" i="8"/>
  <c r="L162" i="8"/>
  <c r="K162" i="8"/>
  <c r="J162" i="8"/>
  <c r="L157" i="8"/>
  <c r="K157" i="8"/>
  <c r="J157" i="8"/>
  <c r="K309" i="8"/>
  <c r="K299" i="8"/>
  <c r="J299" i="8"/>
  <c r="K115" i="8"/>
  <c r="J114" i="8"/>
  <c r="K226" i="8"/>
  <c r="L226" i="8"/>
  <c r="J226" i="8"/>
  <c r="H226" i="8"/>
  <c r="K87" i="8"/>
  <c r="L87" i="8"/>
  <c r="J87" i="8"/>
  <c r="H87" i="8"/>
  <c r="G87" i="8"/>
  <c r="L94" i="8"/>
  <c r="J94" i="8"/>
  <c r="H94" i="8"/>
  <c r="G94" i="8"/>
  <c r="L299" i="8"/>
  <c r="G226" i="8"/>
  <c r="H162" i="8"/>
  <c r="I162" i="8" s="1"/>
  <c r="H157" i="8"/>
  <c r="I157" i="8" s="1"/>
  <c r="M311" i="8"/>
  <c r="I311" i="8"/>
  <c r="M310" i="8"/>
  <c r="I310" i="8"/>
  <c r="L309" i="8"/>
  <c r="J309" i="8"/>
  <c r="H309" i="8"/>
  <c r="G309" i="8"/>
  <c r="M308" i="8"/>
  <c r="I308" i="8"/>
  <c r="M307" i="8"/>
  <c r="I307" i="8"/>
  <c r="L306" i="8"/>
  <c r="K306" i="8"/>
  <c r="J306" i="8"/>
  <c r="H306" i="8"/>
  <c r="G306" i="8"/>
  <c r="M304" i="8"/>
  <c r="I304" i="8"/>
  <c r="M303" i="8"/>
  <c r="I303" i="8"/>
  <c r="L302" i="8"/>
  <c r="K302" i="8"/>
  <c r="J302" i="8"/>
  <c r="H302" i="8"/>
  <c r="G302" i="8"/>
  <c r="L300" i="8"/>
  <c r="K300" i="8"/>
  <c r="M300" i="8" s="1"/>
  <c r="J300" i="8"/>
  <c r="J298" i="8" s="1"/>
  <c r="H300" i="8"/>
  <c r="G300" i="8"/>
  <c r="I300" i="8" s="1"/>
  <c r="M288" i="8"/>
  <c r="I288" i="8"/>
  <c r="L287" i="8"/>
  <c r="K287" i="8"/>
  <c r="M287" i="8" s="1"/>
  <c r="J287" i="8"/>
  <c r="H287" i="8"/>
  <c r="I287" i="8" s="1"/>
  <c r="G287" i="8"/>
  <c r="K295" i="8"/>
  <c r="L295" i="8"/>
  <c r="J295" i="8"/>
  <c r="H295" i="8"/>
  <c r="G295" i="8"/>
  <c r="L292" i="8"/>
  <c r="K292" i="8"/>
  <c r="J292" i="8"/>
  <c r="H292" i="8"/>
  <c r="M283" i="8"/>
  <c r="H282" i="8"/>
  <c r="L282" i="8"/>
  <c r="K282" i="8"/>
  <c r="J282" i="8"/>
  <c r="G282" i="8"/>
  <c r="M278" i="8"/>
  <c r="L277" i="8"/>
  <c r="K277" i="8"/>
  <c r="J277" i="8"/>
  <c r="G277" i="8"/>
  <c r="M273" i="8"/>
  <c r="I273" i="8"/>
  <c r="L272" i="8"/>
  <c r="K272" i="8"/>
  <c r="J272" i="8"/>
  <c r="G272" i="8"/>
  <c r="M263" i="8"/>
  <c r="J263" i="8"/>
  <c r="I263" i="8"/>
  <c r="M262" i="8"/>
  <c r="I262" i="8"/>
  <c r="M261" i="8"/>
  <c r="I261" i="8"/>
  <c r="J260" i="8"/>
  <c r="I260" i="8"/>
  <c r="M259" i="8"/>
  <c r="I259" i="8"/>
  <c r="I258" i="8"/>
  <c r="L257" i="8"/>
  <c r="L256" i="8" s="1"/>
  <c r="M252" i="8"/>
  <c r="I252" i="8"/>
  <c r="M251" i="8"/>
  <c r="I251" i="8"/>
  <c r="M250" i="8"/>
  <c r="I250" i="8"/>
  <c r="M249" i="8"/>
  <c r="I249" i="8"/>
  <c r="J248" i="8"/>
  <c r="J247" i="8" s="1"/>
  <c r="J246" i="8" s="1"/>
  <c r="I248" i="8"/>
  <c r="H247" i="8"/>
  <c r="I247" i="8" s="1"/>
  <c r="J242" i="8"/>
  <c r="M241" i="8"/>
  <c r="M240" i="8"/>
  <c r="I240" i="8"/>
  <c r="M239" i="8"/>
  <c r="I239" i="8"/>
  <c r="J237" i="8"/>
  <c r="M230" i="8"/>
  <c r="G229" i="8"/>
  <c r="M221" i="8"/>
  <c r="I221" i="8"/>
  <c r="M219" i="8"/>
  <c r="I219" i="8"/>
  <c r="L217" i="8"/>
  <c r="K217" i="8"/>
  <c r="J217" i="8"/>
  <c r="G217" i="8"/>
  <c r="M214" i="8"/>
  <c r="I214" i="8"/>
  <c r="M213" i="8"/>
  <c r="L212" i="8"/>
  <c r="K212" i="8"/>
  <c r="M212" i="8" s="1"/>
  <c r="J212" i="8"/>
  <c r="G212" i="8"/>
  <c r="M208" i="8"/>
  <c r="L207" i="8"/>
  <c r="K207" i="8"/>
  <c r="J207" i="8"/>
  <c r="G207" i="8"/>
  <c r="L200" i="8"/>
  <c r="M201" i="8"/>
  <c r="K200" i="8"/>
  <c r="J200" i="8"/>
  <c r="G200" i="8"/>
  <c r="M197" i="8"/>
  <c r="H195" i="8"/>
  <c r="M196" i="8"/>
  <c r="L195" i="8"/>
  <c r="K195" i="8"/>
  <c r="J195" i="8"/>
  <c r="G195" i="8"/>
  <c r="M192" i="8"/>
  <c r="I192" i="8"/>
  <c r="K186" i="8"/>
  <c r="J186" i="8"/>
  <c r="G186" i="8"/>
  <c r="M183" i="8"/>
  <c r="I183" i="8"/>
  <c r="M181" i="8"/>
  <c r="L177" i="8"/>
  <c r="K177" i="8"/>
  <c r="J177" i="8"/>
  <c r="G177" i="8"/>
  <c r="L174" i="8"/>
  <c r="K174" i="8"/>
  <c r="M174" i="8" s="1"/>
  <c r="J174" i="8"/>
  <c r="H174" i="8"/>
  <c r="G174" i="8"/>
  <c r="I174" i="8" s="1"/>
  <c r="M169" i="8"/>
  <c r="I169" i="8"/>
  <c r="I168" i="8"/>
  <c r="L167" i="8"/>
  <c r="M167" i="8" s="1"/>
  <c r="I167" i="8"/>
  <c r="M164" i="8"/>
  <c r="I164" i="8"/>
  <c r="M163" i="8"/>
  <c r="I163" i="8"/>
  <c r="M159" i="8"/>
  <c r="I159" i="8"/>
  <c r="M158" i="8"/>
  <c r="I158" i="8"/>
  <c r="L154" i="8"/>
  <c r="K154" i="8"/>
  <c r="J154" i="8"/>
  <c r="H154" i="8"/>
  <c r="G154" i="8"/>
  <c r="G152" i="8"/>
  <c r="M149" i="8"/>
  <c r="I149" i="8"/>
  <c r="M148" i="8"/>
  <c r="I148" i="8"/>
  <c r="M144" i="8"/>
  <c r="I144" i="8"/>
  <c r="L138" i="8"/>
  <c r="K138" i="8"/>
  <c r="J138" i="8"/>
  <c r="I138" i="8"/>
  <c r="H138" i="8"/>
  <c r="G138" i="8"/>
  <c r="M136" i="8"/>
  <c r="I136" i="8"/>
  <c r="L134" i="8"/>
  <c r="K134" i="8"/>
  <c r="J134" i="8"/>
  <c r="H134" i="8"/>
  <c r="M131" i="8"/>
  <c r="I131" i="8"/>
  <c r="M130" i="8"/>
  <c r="I130" i="8"/>
  <c r="L129" i="8"/>
  <c r="K129" i="8"/>
  <c r="J129" i="8"/>
  <c r="H129" i="8"/>
  <c r="G129" i="8"/>
  <c r="L126" i="8"/>
  <c r="K126" i="8"/>
  <c r="J126" i="8"/>
  <c r="I126" i="8"/>
  <c r="H126" i="8"/>
  <c r="L125" i="8"/>
  <c r="M125" i="8" s="1"/>
  <c r="K125" i="8"/>
  <c r="J125" i="8"/>
  <c r="H125" i="8"/>
  <c r="H124" i="8" s="1"/>
  <c r="G125" i="8"/>
  <c r="G124" i="8" s="1"/>
  <c r="K119" i="8"/>
  <c r="H119" i="8"/>
  <c r="M121" i="8"/>
  <c r="I121" i="8"/>
  <c r="I120" i="8"/>
  <c r="L119" i="8"/>
  <c r="G119" i="8"/>
  <c r="L116" i="8"/>
  <c r="L114" i="8" s="1"/>
  <c r="K116" i="8"/>
  <c r="J116" i="8"/>
  <c r="H116" i="8"/>
  <c r="G116" i="8"/>
  <c r="I116" i="8" s="1"/>
  <c r="L115" i="8"/>
  <c r="H115" i="8"/>
  <c r="G115" i="8"/>
  <c r="M102" i="8"/>
  <c r="M101" i="8"/>
  <c r="I101" i="8"/>
  <c r="M95" i="8"/>
  <c r="I95" i="8"/>
  <c r="M72" i="8"/>
  <c r="M67" i="8" s="1"/>
  <c r="I72" i="8"/>
  <c r="G71" i="8"/>
  <c r="I71" i="8" s="1"/>
  <c r="M88" i="8"/>
  <c r="M63" i="8"/>
  <c r="I63" i="8"/>
  <c r="G61" i="8"/>
  <c r="I61" i="8" s="1"/>
  <c r="M59" i="8"/>
  <c r="I59" i="8"/>
  <c r="G57" i="8"/>
  <c r="I57" i="8" s="1"/>
  <c r="M52" i="8"/>
  <c r="H51" i="8"/>
  <c r="L51" i="8"/>
  <c r="K51" i="8"/>
  <c r="J51" i="8"/>
  <c r="G51" i="8"/>
  <c r="I51" i="8" s="1"/>
  <c r="M50" i="8"/>
  <c r="L49" i="8"/>
  <c r="K49" i="8"/>
  <c r="J49" i="8"/>
  <c r="G49" i="8"/>
  <c r="M48" i="8"/>
  <c r="I48" i="8"/>
  <c r="L47" i="8"/>
  <c r="K47" i="8"/>
  <c r="J47" i="8"/>
  <c r="G47" i="8"/>
  <c r="M46" i="8"/>
  <c r="I46" i="8"/>
  <c r="L41" i="8"/>
  <c r="K41" i="8"/>
  <c r="M41" i="8" s="1"/>
  <c r="J41" i="8"/>
  <c r="H41" i="8"/>
  <c r="G41" i="8"/>
  <c r="I41" i="8" s="1"/>
  <c r="L25" i="8"/>
  <c r="K25" i="8"/>
  <c r="L26" i="8"/>
  <c r="K26" i="8"/>
  <c r="K24" i="8" s="1"/>
  <c r="H25" i="8"/>
  <c r="G26" i="8"/>
  <c r="J26" i="8"/>
  <c r="J36" i="8"/>
  <c r="J30" i="8" s="1"/>
  <c r="M38" i="8"/>
  <c r="M36" i="8"/>
  <c r="M33" i="8"/>
  <c r="M37" i="8"/>
  <c r="I33" i="8"/>
  <c r="K29" i="8"/>
  <c r="I58" i="8"/>
  <c r="M242" i="8"/>
  <c r="H47" i="8"/>
  <c r="I62" i="8"/>
  <c r="I190" i="8"/>
  <c r="K247" i="8"/>
  <c r="K246" i="8" s="1"/>
  <c r="H272" i="8"/>
  <c r="I272" i="8" s="1"/>
  <c r="M62" i="8"/>
  <c r="M57" i="8"/>
  <c r="M58" i="8"/>
  <c r="M61" i="8"/>
  <c r="M30" i="8"/>
  <c r="L29" i="8"/>
  <c r="H212" i="8"/>
  <c r="H217" i="8"/>
  <c r="I283" i="8"/>
  <c r="I197" i="8"/>
  <c r="M238" i="8"/>
  <c r="H186" i="8"/>
  <c r="I50" i="8"/>
  <c r="H49" i="8"/>
  <c r="I242" i="8"/>
  <c r="I278" i="8"/>
  <c r="H277" i="8"/>
  <c r="K298" i="8"/>
  <c r="I236" i="8"/>
  <c r="I241" i="8"/>
  <c r="I52" i="8"/>
  <c r="M260" i="8"/>
  <c r="M236" i="8"/>
  <c r="M237" i="8"/>
  <c r="H256" i="8"/>
  <c r="G234" i="8"/>
  <c r="M202" i="8"/>
  <c r="I238" i="8"/>
  <c r="L247" i="8"/>
  <c r="L246" i="8" s="1"/>
  <c r="M248" i="8"/>
  <c r="I237" i="8"/>
  <c r="K234" i="8"/>
  <c r="I202" i="8"/>
  <c r="H200" i="8"/>
  <c r="M235" i="8"/>
  <c r="L234" i="8"/>
  <c r="M234" i="8" s="1"/>
  <c r="I235" i="8"/>
  <c r="H234" i="8"/>
  <c r="I30" i="8"/>
  <c r="H26" i="8"/>
  <c r="I29" i="8"/>
  <c r="I36" i="8"/>
  <c r="G25" i="8"/>
  <c r="I181" i="8"/>
  <c r="H177" i="8"/>
  <c r="I177" i="8" s="1"/>
  <c r="M190" i="8"/>
  <c r="L186" i="8"/>
  <c r="M209" i="8"/>
  <c r="H207" i="8"/>
  <c r="I207" i="8" s="1"/>
  <c r="I209" i="8"/>
  <c r="M116" i="8"/>
  <c r="M115" i="8"/>
  <c r="G225" i="8" l="1"/>
  <c r="I67" i="8"/>
  <c r="I212" i="8"/>
  <c r="I119" i="8"/>
  <c r="M134" i="8"/>
  <c r="M157" i="8"/>
  <c r="G24" i="8"/>
  <c r="M119" i="8"/>
  <c r="J124" i="8"/>
  <c r="K152" i="8"/>
  <c r="I234" i="8"/>
  <c r="I200" i="8"/>
  <c r="I47" i="8"/>
  <c r="M49" i="8"/>
  <c r="K124" i="8"/>
  <c r="M207" i="8"/>
  <c r="J66" i="8"/>
  <c r="L66" i="8"/>
  <c r="M81" i="8"/>
  <c r="M314" i="8"/>
  <c r="K225" i="8"/>
  <c r="K224" i="8" s="1"/>
  <c r="I217" i="8"/>
  <c r="M256" i="8"/>
  <c r="K114" i="8"/>
  <c r="M313" i="8"/>
  <c r="G21" i="8"/>
  <c r="G16" i="8" s="1"/>
  <c r="I195" i="8"/>
  <c r="M94" i="8"/>
  <c r="H77" i="8"/>
  <c r="J152" i="8"/>
  <c r="M143" i="8"/>
  <c r="H66" i="8"/>
  <c r="H45" i="8"/>
  <c r="H44" i="8" s="1"/>
  <c r="H40" i="8" s="1"/>
  <c r="H39" i="8" s="1"/>
  <c r="K45" i="8"/>
  <c r="K44" i="8" s="1"/>
  <c r="M129" i="8"/>
  <c r="I186" i="8"/>
  <c r="M195" i="8"/>
  <c r="M200" i="8"/>
  <c r="M217" i="8"/>
  <c r="J235" i="8"/>
  <c r="J234" i="8" s="1"/>
  <c r="M272" i="8"/>
  <c r="M87" i="8"/>
  <c r="M162" i="8"/>
  <c r="L153" i="8"/>
  <c r="M153" i="8" s="1"/>
  <c r="H24" i="8"/>
  <c r="I24" i="8" s="1"/>
  <c r="G298" i="8"/>
  <c r="G66" i="8"/>
  <c r="G114" i="8"/>
  <c r="I147" i="8"/>
  <c r="G224" i="8"/>
  <c r="I277" i="8"/>
  <c r="H246" i="8"/>
  <c r="I246" i="8" s="1"/>
  <c r="M29" i="8"/>
  <c r="I129" i="8"/>
  <c r="I309" i="8"/>
  <c r="H152" i="8"/>
  <c r="I152" i="8" s="1"/>
  <c r="I314" i="8"/>
  <c r="H21" i="8"/>
  <c r="I21" i="8" s="1"/>
  <c r="I49" i="8"/>
  <c r="L173" i="8"/>
  <c r="L172" i="8" s="1"/>
  <c r="I282" i="8"/>
  <c r="L298" i="8"/>
  <c r="M298" i="8" s="1"/>
  <c r="M299" i="8"/>
  <c r="L45" i="8"/>
  <c r="L44" i="8" s="1"/>
  <c r="L40" i="8" s="1"/>
  <c r="I154" i="8"/>
  <c r="G256" i="8"/>
  <c r="I256" i="8" s="1"/>
  <c r="M114" i="8"/>
  <c r="I115" i="8"/>
  <c r="L21" i="8"/>
  <c r="M126" i="8"/>
  <c r="G77" i="8"/>
  <c r="H114" i="8"/>
  <c r="L152" i="8"/>
  <c r="M147" i="8"/>
  <c r="I257" i="8"/>
  <c r="I225" i="8" s="1"/>
  <c r="L24" i="8"/>
  <c r="M24" i="8" s="1"/>
  <c r="G45" i="8"/>
  <c r="G44" i="8" s="1"/>
  <c r="M51" i="8"/>
  <c r="M154" i="8"/>
  <c r="J173" i="8"/>
  <c r="J172" i="8" s="1"/>
  <c r="K173" i="8"/>
  <c r="K172" i="8" s="1"/>
  <c r="M172" i="8" s="1"/>
  <c r="M277" i="8"/>
  <c r="M282" i="8"/>
  <c r="I94" i="8"/>
  <c r="K66" i="8"/>
  <c r="I302" i="8"/>
  <c r="M306" i="8"/>
  <c r="K77" i="8"/>
  <c r="I153" i="8"/>
  <c r="G292" i="8"/>
  <c r="I292" i="8" s="1"/>
  <c r="J15" i="8"/>
  <c r="L39" i="8"/>
  <c r="L225" i="8"/>
  <c r="L224" i="8" s="1"/>
  <c r="M247" i="8"/>
  <c r="I299" i="8"/>
  <c r="G173" i="8"/>
  <c r="G172" i="8" s="1"/>
  <c r="L124" i="8"/>
  <c r="M124" i="8" s="1"/>
  <c r="I125" i="8"/>
  <c r="M177" i="8"/>
  <c r="M257" i="8"/>
  <c r="M25" i="8"/>
  <c r="M186" i="8"/>
  <c r="I25" i="8"/>
  <c r="J45" i="8"/>
  <c r="J44" i="8" s="1"/>
  <c r="J40" i="8" s="1"/>
  <c r="J39" i="8" s="1"/>
  <c r="H225" i="8"/>
  <c r="H224" i="8" s="1"/>
  <c r="H298" i="8"/>
  <c r="M302" i="8"/>
  <c r="L77" i="8"/>
  <c r="I78" i="8"/>
  <c r="L15" i="8"/>
  <c r="J257" i="8"/>
  <c r="J256" i="8" s="1"/>
  <c r="I306" i="8"/>
  <c r="M309" i="8"/>
  <c r="M246" i="8"/>
  <c r="J29" i="8"/>
  <c r="J25" i="8"/>
  <c r="H173" i="8"/>
  <c r="J21" i="8"/>
  <c r="J16" i="8" s="1"/>
  <c r="M47" i="8"/>
  <c r="I124" i="8"/>
  <c r="M26" i="8"/>
  <c r="K21" i="8"/>
  <c r="G15" i="8"/>
  <c r="I26" i="8"/>
  <c r="I66" i="8" l="1"/>
  <c r="M44" i="8"/>
  <c r="K40" i="8"/>
  <c r="K20" i="8" s="1"/>
  <c r="K19" i="8" s="1"/>
  <c r="M152" i="8"/>
  <c r="M45" i="8"/>
  <c r="I298" i="8"/>
  <c r="M66" i="8"/>
  <c r="M77" i="8"/>
  <c r="M173" i="8"/>
  <c r="I114" i="8"/>
  <c r="I45" i="8"/>
  <c r="I77" i="8"/>
  <c r="L20" i="8"/>
  <c r="L14" i="8" s="1"/>
  <c r="H20" i="8"/>
  <c r="H19" i="8" s="1"/>
  <c r="I44" i="8"/>
  <c r="G40" i="8"/>
  <c r="J225" i="8"/>
  <c r="J224" i="8" s="1"/>
  <c r="M20" i="8"/>
  <c r="K16" i="8"/>
  <c r="M21" i="8"/>
  <c r="J24" i="8"/>
  <c r="L16" i="8"/>
  <c r="H172" i="8"/>
  <c r="I172" i="8" s="1"/>
  <c r="I173" i="8"/>
  <c r="K39" i="8"/>
  <c r="M39" i="8" s="1"/>
  <c r="H15" i="8"/>
  <c r="K14" i="8" l="1"/>
  <c r="M14" i="8" s="1"/>
  <c r="M40" i="8"/>
  <c r="L19" i="8"/>
  <c r="M19" i="8" s="1"/>
  <c r="J20" i="8"/>
  <c r="G39" i="8"/>
  <c r="I39" i="8" s="1"/>
  <c r="I40" i="8"/>
  <c r="G20" i="8"/>
  <c r="G14" i="8" s="1"/>
  <c r="L13" i="8"/>
  <c r="K15" i="8"/>
  <c r="K13" i="8" s="1"/>
  <c r="H14" i="8"/>
  <c r="J14" i="8"/>
  <c r="J13" i="8" s="1"/>
  <c r="J19" i="8"/>
  <c r="M16" i="8"/>
  <c r="M13" i="8" l="1"/>
  <c r="G19" i="8"/>
  <c r="G13" i="8"/>
  <c r="I20" i="8"/>
  <c r="H16" i="8"/>
  <c r="I16" i="8" s="1"/>
  <c r="I14" i="8"/>
  <c r="I19" i="8" l="1"/>
  <c r="H13" i="8"/>
  <c r="I13" i="8" s="1"/>
</calcChain>
</file>

<file path=xl/sharedStrings.xml><?xml version="1.0" encoding="utf-8"?>
<sst xmlns="http://schemas.openxmlformats.org/spreadsheetml/2006/main" count="1542" uniqueCount="558">
  <si>
    <t>(9)</t>
  </si>
  <si>
    <t>(10)</t>
  </si>
  <si>
    <t>(11)</t>
  </si>
  <si>
    <t>Stan zaawansowania prac,                                                                          zrealizowany zakres rzeczowy - wskaźniki ilościowe</t>
  </si>
  <si>
    <t>1.</t>
  </si>
  <si>
    <t>I.</t>
  </si>
  <si>
    <t>A</t>
  </si>
  <si>
    <t>w zł</t>
  </si>
  <si>
    <t>(1)</t>
  </si>
  <si>
    <t>(2)</t>
  </si>
  <si>
    <t>(3)</t>
  </si>
  <si>
    <t>(4)</t>
  </si>
  <si>
    <t>(5)</t>
  </si>
  <si>
    <t>(6)</t>
  </si>
  <si>
    <t>(7)</t>
  </si>
  <si>
    <t>(8)</t>
  </si>
  <si>
    <t>Lp.</t>
  </si>
  <si>
    <t>Źródło</t>
  </si>
  <si>
    <t>- środki własne miasta</t>
  </si>
  <si>
    <t>Miasto Kielce</t>
  </si>
  <si>
    <t>Nazwa i cel przedsięwzięcia</t>
  </si>
  <si>
    <t>Ogółem przedsięwzięcia:</t>
  </si>
  <si>
    <t>Ogółem przedsięwzięcia bieżące:</t>
  </si>
  <si>
    <t>- środki inne</t>
  </si>
  <si>
    <t>Cel:</t>
  </si>
  <si>
    <t>Łączne nakłady finansowe</t>
  </si>
  <si>
    <t>Przewidywane nakłady i źródła finansowania</t>
  </si>
  <si>
    <t>Okres                 realizacji</t>
  </si>
  <si>
    <t>(12)</t>
  </si>
  <si>
    <t>Przedsięwzięcie:</t>
  </si>
  <si>
    <t>Wartość przedsięwzięcia:</t>
  </si>
  <si>
    <t>(13)</t>
  </si>
  <si>
    <t>Wykaz pozostałych programów, projektów lub zadań</t>
  </si>
  <si>
    <t>Dział             Rozdział</t>
  </si>
  <si>
    <t>Stopień realizacji  przedsięwzięć %               11:10</t>
  </si>
  <si>
    <t>Stopień realizacji  przedsięwzięć          %                         7:6</t>
  </si>
  <si>
    <t>MIEJSKI ZARZĄD BUDYNKÓW</t>
  </si>
  <si>
    <t>Zabezpieczenie niezbędnych usług i mediów dla zarządzanego zasobu</t>
  </si>
  <si>
    <t>Zabezpieczono dostawy wody, gazu, c.o.,energii elektrycznej, odprowadzenie ścieków, wywóz śmieci i nieczystości, dozorowanie budynków, administrowanie nieruchomości, zakup oleju opałowego do kotłowni, opłaty na zaliczki na utrzymanie części wspólnych, ubezpieczenie nieruchomości, opłaty za emisję gazów.</t>
  </si>
  <si>
    <t>2011-2018</t>
  </si>
  <si>
    <t>Rok 2013</t>
  </si>
  <si>
    <t>Plan na początek roku</t>
  </si>
  <si>
    <t>Cel:Zarządzanie mieszkaniowym zasobem Gminy Kielce</t>
  </si>
  <si>
    <t>ZAKŁAD OBSŁUGI I INFORMATYKI URZĘDU MIASTA KIELCE</t>
  </si>
  <si>
    <t>Utrzymanie pozostałych zarządzanych nieruchomości</t>
  </si>
  <si>
    <t>2011-2014</t>
  </si>
  <si>
    <t>Zapewnienie utrzymania pozostałych zarządzanych nieruchomości i majątku</t>
  </si>
  <si>
    <t>700
70095</t>
  </si>
  <si>
    <t>710
71015</t>
  </si>
  <si>
    <t>750
75075</t>
  </si>
  <si>
    <t>Wydatki dotyczą opłat :
1/ za energię elektryczną, dostarczaną do zasilania monitorów ekranowych zainstalowanych na budynku Parkingu Centrum  - za okres XII.2012r. - maj 2013r.,
2/ z tytułu czynszu za udostępnienie powierzchni pod w/w monitory ekranowe za okres I - VI.2013r..</t>
  </si>
  <si>
    <t>2.</t>
  </si>
  <si>
    <t>WYD.BIEŻ.- TRWAŁOŚĆ PROJEKTU "e- Świętokrzyskie - budowa sieci światłowodowych wraz z urządzeniami na terenie Miasta Kielce"</t>
  </si>
  <si>
    <t>2014-2018</t>
  </si>
  <si>
    <t>750
75023</t>
  </si>
  <si>
    <t>Utrzymanie trwałości Projektu pn. "e- Świętokrzyskie - budowa sieci światłowodowych wraz z urządzeniami na terenie Miasta Kielce"</t>
  </si>
  <si>
    <t>3.</t>
  </si>
  <si>
    <t>WYD.BIEŻ.- TRWAŁOŚĆ PROJEKTU "e- Świętokrzyskie Budowa Systemu Informacji Przestrzennej Województwa Świętokrzyskiego"</t>
  </si>
  <si>
    <t>720
72095</t>
  </si>
  <si>
    <t>Utrzymanie trwałości PROJEKTU pn. "e- Świętokrzyskie Budowa Systemu Informacji Przestrzennej Województwa Świętokrzyskiego"</t>
  </si>
  <si>
    <t>System Gospodarki Odpadami Komunalnymi.</t>
  </si>
  <si>
    <t>2013-2018</t>
  </si>
  <si>
    <t>900   90002</t>
  </si>
  <si>
    <t>Wdrożenie Systemu Gospodarki Odpadami komunalnymi którego głównym celem jest zmniejszenie powstawania dzikich wysypisk na terenie gminy.</t>
  </si>
  <si>
    <t xml:space="preserve"> - </t>
  </si>
  <si>
    <t>Utrzymanie szaletów miesjkich.</t>
  </si>
  <si>
    <t>900  90003</t>
  </si>
  <si>
    <t>Przedsięwzięcie obejmuje utrzymanie  i obsługę     10 szt. ogólnodostępnych szaletów na terenie miasta. W szczególności wykonywanie zabiegów higieniczno-sanitarnych oraz konserwacji obiektów oraz ich wyposażenia.</t>
  </si>
  <si>
    <t>Utrzymanie czystości i porządku na teremie miasta.</t>
  </si>
  <si>
    <t>Uchwałą Nr XVI/292/2007 Rady Miejskiej w Kielcach z dnia 25.10.2007 roku przyjęty został „Program usuwania i unieszkodliwiania z terenu Miasta Kielce odpadów zawierających azbest”, którego głównym celem jest doprowadzenie do stopniowej eliminacji wyrobów zawierających azbest oraz ich bezpieczne unieszkodliwianie. Przedsięwziecie obejmuje demontaż, załadunek, wywóz i utylizację odpadów.</t>
  </si>
  <si>
    <t>Przedsięwzięcie związane z usuwaniem azbestu</t>
  </si>
  <si>
    <t>900        90019</t>
  </si>
  <si>
    <t>przedsięwzięcie związane z usuwaniem azbestu</t>
  </si>
  <si>
    <t>4.</t>
  </si>
  <si>
    <t xml:space="preserve"> Dostawa wody i energii elektrycznej na potrzeby Miasta Kielce.</t>
  </si>
  <si>
    <t>900        90003</t>
  </si>
  <si>
    <t>Utrzymnaie czystości i porządku na terenie miasta. Poprawa jakości wód na terenie miasta.</t>
  </si>
  <si>
    <t>900      90095</t>
  </si>
  <si>
    <t>Wydział Zarządzania Kryzysowego i Bezpieczeństwa</t>
  </si>
  <si>
    <t>-</t>
  </si>
  <si>
    <t xml:space="preserve">Przedsięwzięcie:  </t>
  </si>
  <si>
    <t>Usuwanie odpadów poakcyjnych przez Komend e Miejską Państwowej Straży Pożarnej po akcjach ratowniczo-gaśniczych na terenie Miasta Kielce</t>
  </si>
  <si>
    <t>2011-               2018</t>
  </si>
  <si>
    <t>754                   75411</t>
  </si>
  <si>
    <t>Środki przeznaczono w szczególności na utylizację odpadów poakcyjnych, powstałychw wyniku zbierania plam i rozlewisk materiałów niebezpiecznych, ropopochodnych pochodzących z likwidacji skutków miejscowych zagrożeń na ternie miasta Kielce podczas działań ratowniczych KMPSP.</t>
  </si>
  <si>
    <t>Eliminacja odpadów poakcyjnych z terenu Miasta Kielce</t>
  </si>
  <si>
    <t>Wydział  Gospodarki Nieruchomościami i Geodezji</t>
  </si>
  <si>
    <t xml:space="preserve">Regulacja stanu prawnego nieruchomości </t>
  </si>
  <si>
    <t xml:space="preserve">Trwają szczegółowe prace związane z regulacją stanu prawnego nieruchomości  w celu uzyskania  wpisu do ksiąg wieczystych. Środki zostaną wydatkowane w II półroczu br roku. 
</t>
  </si>
  <si>
    <t xml:space="preserve">Cel: Uzyskanie tytułu własności przez Gminę Kielce </t>
  </si>
  <si>
    <t>68 000</t>
  </si>
  <si>
    <t>Geopark Kielce</t>
  </si>
  <si>
    <t>W zakresie wydatków dot. utrzymania rezerwatówprzyrody poniesiono wydatki na opłaty za energię elektryczną, wodę, wywóz śmieci, usługi dostepu do sieci internet, za telefony stacjonarne,opłaty za czynsz, opłaty za ubezpieczenie majątku, za prace porządkowe w rezerwatach, za ochronę obiektów- Amfiteatru Kadzielnia i Centrum Geoedukacji, za usługi pocztowe.</t>
  </si>
  <si>
    <t>Utrzymanie rezerwatów przyrody i innych jednostek pozostających w administracji Geopark Kielce</t>
  </si>
  <si>
    <t>Promowanie walorów geologicznych Miasta Kielce</t>
  </si>
  <si>
    <t>710   71095</t>
  </si>
  <si>
    <t>Utrzymanie trwałości projektu pn. Przebudowa Amfiteatru Kadzielnia</t>
  </si>
  <si>
    <t>2011-2015</t>
  </si>
  <si>
    <t>W ramach utrzymania trwłości projektu dokonano przeglądu ruchomego zdaszenia sceny, zapłacono za energie elektryczną i częsciowo za pozostałe usługi.</t>
  </si>
  <si>
    <t>Stymulowanie rozwoju turystyki i promowanie Kielce oraz regionu w Polsce i za granicą</t>
  </si>
  <si>
    <t>Przedsięwzięcie : Utrzymanie trwałosci projektu pn "Budowa Centrum Geoedukacji"                                                                                                                                                                                                                                                                                                                                                                                  Cel:                          Propagowanie edukacji i turystyki gologicznej regionu</t>
  </si>
  <si>
    <t>2012-2017</t>
  </si>
  <si>
    <r>
      <t xml:space="preserve">Wydział  </t>
    </r>
    <r>
      <rPr>
        <b/>
        <sz val="9"/>
        <rFont val="Arial"/>
        <family val="2"/>
        <charset val="238"/>
      </rPr>
      <t>Komunikacji  Działalności Gospodarczej</t>
    </r>
  </si>
  <si>
    <t>Zakup dowodów stalych, pozwoleń czsowych itp.. Dokumentów komunikacyjnych, praw jazdy.</t>
  </si>
  <si>
    <t>2011-2017</t>
  </si>
  <si>
    <t>750         75095</t>
  </si>
  <si>
    <t>Weryfikacja ilości i własności pojazd ów oraz weryfikacja uprawnień kierowców.</t>
  </si>
  <si>
    <t>Przedsięwzięcie: BIZNESSTARTER</t>
  </si>
  <si>
    <t>2012-2014</t>
  </si>
  <si>
    <t>730      73006</t>
  </si>
  <si>
    <t>Przeprowadzono I edycję konkursu na najlepszy biznes plan. Wyłoniono laureatów, nagrody zostaną wypłacone w m-cu VII .Zorganizowano Galę Biznesu.</t>
  </si>
  <si>
    <t>Cel:Rozwój postaw i kompetencji biznesowych w środowisku akademickim od poziomu edukacji do etapu podjęcia działalności gospodarczej i wejścia na rynek w formie przedsiębiorstw typu spin off/out</t>
  </si>
  <si>
    <t xml:space="preserve">Przedsięwzięcie: </t>
  </si>
  <si>
    <t>Design-nowy wymiar komercjalizacji wiedzy(Iiedycja)</t>
  </si>
  <si>
    <t>2012-2013</t>
  </si>
  <si>
    <t>Zorganizowano wyjazd studentów wyższych uczelnina warsztaty w zakresie nwzornictwa, wyposażono bibliotekę Designu.</t>
  </si>
  <si>
    <t>Cel:Głównym celem projektu jest upowszechnianie i doskonalenie modelowego systemu komercjalizacji wiedzy w zakresie wzornictwa przemysłowego i użytkowego (design)</t>
  </si>
  <si>
    <t>Trwałość Projektu pn.Kielecki Park Technologiczny</t>
  </si>
  <si>
    <t>710    71095</t>
  </si>
  <si>
    <t>Jednostka realizuje zadania w zakresie wynajmu powierzchni biurowyych, hal produkcyjnych, świadczy usługi teleinformatyczne.</t>
  </si>
  <si>
    <t>Cel: Świadczenie usług w wielofunkcyjnym terenie aktywności gospodarczej w zakresie usług wynajmu powierzchni biurowej, laboratoryjno-produkcyjnej, usług informatycznych, doradczych, szkoleniowych</t>
  </si>
  <si>
    <t>Miejski Zarząd Dróg</t>
  </si>
  <si>
    <t>Administracja bezpieczeństwem ruchu drogowego</t>
  </si>
  <si>
    <t>Zapewnienie bezpieczeństwa ruchu drogowego</t>
  </si>
  <si>
    <t>Bieżące utrzymanie dróg</t>
  </si>
  <si>
    <t>Utrzymanie należytego stanu dróg i chodników na terenie Miasta</t>
  </si>
  <si>
    <t>Oczyszczanie miasta</t>
  </si>
  <si>
    <t>Letnie i zimowe utrzymanie czystości infrastruktury drogowej</t>
  </si>
  <si>
    <t>Oczyszczanie wód deszczowych</t>
  </si>
  <si>
    <t>Utrzymanie parametrów czystości odprowadzanych wód opadowych</t>
  </si>
  <si>
    <t>5.</t>
  </si>
  <si>
    <t>Oświetlenie uliczne</t>
  </si>
  <si>
    <t>Oświetlenie ulic na terenie Miasta</t>
  </si>
  <si>
    <t>6.</t>
  </si>
  <si>
    <t>Trwałość projektów realizowanych w udziałem środków UE (analiza osiągnięcia wskaźnika realizacji celów projektów)</t>
  </si>
  <si>
    <t>Monitoring pomiaru i utrzymanie głównych wartości wskaźników w projektach UE</t>
  </si>
  <si>
    <t>7.</t>
  </si>
  <si>
    <t>Utrzymanie zieleni miejskiej</t>
  </si>
  <si>
    <t>Zapewnienie wyglądu i estetyki Miasta</t>
  </si>
  <si>
    <t>WYDZIAŁ EDUKACJI, KULTURY I SPORTU</t>
  </si>
  <si>
    <t>Dotowanie Miejskiego Ośrodka  Sportu i Rekreacji w Kielcach</t>
  </si>
  <si>
    <t>926             92604</t>
  </si>
  <si>
    <t>Środki wykorzystano m.in. na przebudowę central wentylacyjnych na Stadionie Piłkarskim przy ul. Ściegiennego, przebudowa kanalizacji sanitarnej hotelu i hali sportowej przy ul. Ściegiennego.. Zorganizowano wiele imprez  i zajęć sportowo-rekreacyjnych i turystycznych dla dzieci i młodzieży, w tym: gry i zabawy na śniegu, narciarskie zawody zjazdowe w ramach akcji zima w mieście,  jesienną edycję Czwarków Lekkoatletycznych, Rodzinną Majówkę Rowerową, turniej halowej piłki noznej i wiele innych.</t>
  </si>
  <si>
    <t>Upowszechnianie kultury fizycznej i turystyki poprzez organizowanie imprez i zajęć sportowo - rekreacyjnych i turystycznych oraz administrowanie obiektami sportowymi</t>
  </si>
  <si>
    <t>Dotowanie samorządowych instytucji kultury</t>
  </si>
  <si>
    <t>Środki przeznaczone na realizację zadania "Dotowanie samorzadowych instytucji kultury" zostały wydatkowane na pokrycie wydatków bieżących instytucji.</t>
  </si>
  <si>
    <t>Zapewnienie mieszkańcom miasta powszechnego dostępu do zróżnicowanej oferty kulturalnej</t>
  </si>
  <si>
    <t>921      92106</t>
  </si>
  <si>
    <t>921   92109</t>
  </si>
  <si>
    <t>921   92110</t>
  </si>
  <si>
    <t>921   92113</t>
  </si>
  <si>
    <t>921   92114</t>
  </si>
  <si>
    <t>921   92116</t>
  </si>
  <si>
    <t>921   92118</t>
  </si>
  <si>
    <t>Środki przeznaczone na realizację zadania "Dotowanie szkół i placówek oświatowych publicznych i niepublicznych prowadzonych przez inne podmioty niż j.s.t (Zadania Powiatu) zostały wydatkowane  na pokrycie wydatków bieżacych w szkołach publicznych i niepublicznych oraz w ośrodkach prowadzonych przez inne podmioty niż jst.</t>
  </si>
  <si>
    <t>Dotowanie szkół i placówek oświatowych publicznych 
i niepublicznych prowadzonych przez inne podmioty 
niż j.s.t (Zadania Powiatu)</t>
  </si>
  <si>
    <t>Zapewnienie finansowania poszerzonej oferty oświatowo - wychowawczej uzupełniającej ofertę publiczną samorzadową.</t>
  </si>
  <si>
    <t>801   80120</t>
  </si>
  <si>
    <t>801   80123</t>
  </si>
  <si>
    <t>801   80130</t>
  </si>
  <si>
    <t>854  85402</t>
  </si>
  <si>
    <t>854   85419</t>
  </si>
  <si>
    <t>Środki przeznaczone na realizację zadania "Dotowanie szkół i placówek oświatowych publicznych i niepublicznych prowadzonych przez inne podmioty niż j.s.t (Zadania Gminy) zostały wydatkowane  na pokrycie wydatków bieżacych w szkołach publicznych i niepublicznych oraz w ośrodkach prowadzonych przez inne podmioty niż jst.</t>
  </si>
  <si>
    <t>Dotowanie szkół i placówek oświatowych publicznych 
i niepublicznych prowadzonych przez inne podmioty 
niż j.s.t (Zadania Gminy)</t>
  </si>
  <si>
    <t>801   80101</t>
  </si>
  <si>
    <t>801   80103</t>
  </si>
  <si>
    <t>801   80104</t>
  </si>
  <si>
    <t>801   80105</t>
  </si>
  <si>
    <t>801   80106</t>
  </si>
  <si>
    <t>801   80110</t>
  </si>
  <si>
    <t>Organizacja i współorganizowanie transportu osób niepełnosprawnych</t>
  </si>
  <si>
    <t>851   85195</t>
  </si>
  <si>
    <t>Środki przeznaczone na usługi transportowe oraz ubezpieczenie samochodów przystosowanych do przewozu osób niepełnosprawnych z terenu Miasta Kielce, który wykonywany jest przez Świętokrzyskie Centrum Ratownictwa Medycznego i Transportu Sanitarnego w Kielcach, zgodnie z zawartym w tym zakresie porozumieniem</t>
  </si>
  <si>
    <t>Ułatwienie osobom niepełnosprawnym dostępu do instytucji publicznych</t>
  </si>
  <si>
    <t>Profilaktyka i Promocja zdrowia</t>
  </si>
  <si>
    <t>851   85149</t>
  </si>
  <si>
    <t>Środki przeznaczone na realizację programów profilaktyki zdrowotnej</t>
  </si>
  <si>
    <t>Poprawa zdrowia mieszkańców miasta</t>
  </si>
  <si>
    <t>Trwałość projektu - Wzgórze Zamkowe</t>
  </si>
  <si>
    <t>2011-2016</t>
  </si>
  <si>
    <t>921    92195</t>
  </si>
  <si>
    <t>Promocja współczesnego designu oraz prowadzenie i inspirowanie działalności o charakterze edukacyjnym z zakresu dziejów Kielc</t>
  </si>
  <si>
    <t>851       85195</t>
  </si>
  <si>
    <t>2013-2017</t>
  </si>
  <si>
    <t>Spłata zonbowiązań z tyt. poręczenia kredytu dla ZOZ w Kielcach - NORDEA Bank Polska S.A. (kapitał + odsetki)</t>
  </si>
  <si>
    <t xml:space="preserve">Pokrycie przejętych przez Miasto Kielce zobowiązania po zlikwidowanym samodzielnym publicznym zakładzie opieki zdrowotnej </t>
  </si>
  <si>
    <t>"Gminowo"</t>
  </si>
  <si>
    <t>Projekt mający na celu zapoznanie z działaniem Gmin</t>
  </si>
  <si>
    <t>801    80120</t>
  </si>
  <si>
    <t>ZARZĄD TRANSPORTU MIEJSKIEGO W KIELCACH</t>
  </si>
  <si>
    <t xml:space="preserve">Trwałość projektu pn. "Rozwój systemu komunikacji publicznej  w Kieleckim Obszarze Metropolitalnym - zakup 40 szt. autobusów komunikacji miejskiej wraz z mobilnymi automatami do sprzedaży biletów komunikacji miejskiej"
</t>
  </si>
  <si>
    <t>600    60004</t>
  </si>
  <si>
    <t>Utrzymanie  autobusów komunikacji miejskiej wraz z mobilnymi autobusami do sprzedaży biletów</t>
  </si>
  <si>
    <t xml:space="preserve">Trwałość projektu pn. "Rozwój systemu komunikacji publicznej  w Kieleckim Obszarze Metropolitalnym - zakup i montaż elektronicznych tablic informacyjnych i stacjonarnych automatów do sprzedaży biletów"
</t>
  </si>
  <si>
    <t>2012-2016</t>
  </si>
  <si>
    <t>600      60004</t>
  </si>
  <si>
    <t>Utrzymanie elektronicznych tablic informacyjnych oraz automatów do sprzedaży biletów komunikacji miejskiej</t>
  </si>
  <si>
    <t xml:space="preserve">Zakup usług przewozu pasazerów srodkami komunikacji miejskiej
</t>
  </si>
  <si>
    <t xml:space="preserve">Dotyczy zakupu usług od przewoźnika za wykonywane wozokilometry na terenie Miasta i Gmin ościennych </t>
  </si>
  <si>
    <t>Zapewnienie dobrej jakosci komunikacji</t>
  </si>
  <si>
    <t>miejskiej</t>
  </si>
  <si>
    <t>KIELECKI PARK TECHNOLOGICZNY</t>
  </si>
  <si>
    <t>WYDZIAŁ BUDŻETU</t>
  </si>
  <si>
    <t>Środki przeznaczone na realizację zadania "Trwałość projektu Wzórze Zamkowe" (Zadania Gminy) zostały wydatkowane  na pokrycie wydatków bieżących jednostki.</t>
  </si>
  <si>
    <t>Wydatki dotyczą podatku od środkiów transportowych</t>
  </si>
  <si>
    <t>Dotyczy zakupu energii elektrycznej</t>
  </si>
  <si>
    <t>8.</t>
  </si>
  <si>
    <t>9.</t>
  </si>
  <si>
    <t>10.</t>
  </si>
  <si>
    <t>11.</t>
  </si>
  <si>
    <t>12.</t>
  </si>
  <si>
    <t>Utrzymanie trwałosci projektu pn "Budowa Centrum Geoedukacji"</t>
  </si>
  <si>
    <t xml:space="preserve"> Propagowanie edukacji i turystyki gologicznej regionu</t>
  </si>
  <si>
    <t xml:space="preserve">Realizacja wydatków rozpocznie się w 2014r. </t>
  </si>
  <si>
    <t>Realizacja wydatków rozpocznie się w 2014r.</t>
  </si>
  <si>
    <t>Spłata zobowiązań przejętych po zlikwidowanym samodzielnym zakładzie opieki zdrowotnej</t>
  </si>
  <si>
    <t>Przedsięwzięcie obejmuje: kamapnię informacyjną dotyczącą nowego systemu, wykonanie opracowań niezbędnych do wdrażania nowego systemu, rozbudowę , funkcjonowanie    i serwisowanie systemów informatycznych oraz koszty administracyjne.</t>
  </si>
  <si>
    <t>Przedsięwzięcie obejmuje: dostawę wody i energii oraz odbiór ścieków do 10 szt. szaletów miejskich, dostawę energii do  5 szt. skrzynek energetycznych wykorzystywanych w czasie imprez (np. Święto Kielc) oraz dostawę wody   do ok. 85 szt. zdroi ulicznych wraz z pitnikami i fonatnny na Placu Artystów. Wykorzystanie środków finansowych jest uzależnione od rzeczywistego zużycia wody i energii w danym okresie (wskazanie liczników).</t>
  </si>
  <si>
    <t xml:space="preserve">Projekt mający na celu zapoznanie młodzieży z prowadzeniem  samorządów gminnych, wyborów samorządowych </t>
  </si>
  <si>
    <t>II.</t>
  </si>
  <si>
    <t>Ogółem przedsięwzięcia majątkowe:</t>
  </si>
  <si>
    <t>- kredyty, pożyczki i obligacje</t>
  </si>
  <si>
    <t>Zakład Obsługi i Informatyki Urzędu Miasta</t>
  </si>
  <si>
    <t>Zapewnienie bezpieczeństwa przeciwpożarowego w budynku</t>
  </si>
  <si>
    <t>2008  2015</t>
  </si>
  <si>
    <t>2014  2018</t>
  </si>
  <si>
    <t>Realizacja wydatków rozpocznie się w 2018r.</t>
  </si>
  <si>
    <t>2007   2013</t>
  </si>
  <si>
    <t>710  71095</t>
  </si>
  <si>
    <t>Edukacyjno-turystyczny i rekreacyjny</t>
  </si>
  <si>
    <t>Geopark Kielce - Ogród botaniczny</t>
  </si>
  <si>
    <t>2005   2014</t>
  </si>
  <si>
    <t>Edukacyjno-rekreacyjny</t>
  </si>
  <si>
    <t>710      71095</t>
  </si>
  <si>
    <t>900  90019</t>
  </si>
  <si>
    <t>Geopark Kielce - udostępnienie jaskiń</t>
  </si>
  <si>
    <t>2004   2013</t>
  </si>
  <si>
    <t>Promowanie obiektów geologicznych Miasta</t>
  </si>
  <si>
    <t>2011   2013</t>
  </si>
  <si>
    <t>Zakończono procedurę związaną z dokumentacją projektową dojazdu do Centrum Geoedukacji.</t>
  </si>
  <si>
    <t>Geoedukacji</t>
  </si>
  <si>
    <t xml:space="preserve">Wykonanie drogi dojazdowej do nowopowstałego Centrum </t>
  </si>
  <si>
    <t>Miejski Ośrodek Pomocy Rodzinie</t>
  </si>
  <si>
    <t>Budowa Kieleckiego Centrum Niepełnosprawnych ul. Bodzentyńska</t>
  </si>
  <si>
    <t>853  85311</t>
  </si>
  <si>
    <t>2011  2014</t>
  </si>
  <si>
    <t>852  85202</t>
  </si>
  <si>
    <t>2012   2013</t>
  </si>
  <si>
    <t>852  85220</t>
  </si>
  <si>
    <t>z przeznaczeniem na utworzenie lokali aktywizacyjnych (mieszkania</t>
  </si>
  <si>
    <t>chronione) dla osób niepełnosprawnych</t>
  </si>
  <si>
    <t>Aktywizacja osób starszych i niepełnosprawnych</t>
  </si>
  <si>
    <t>Przebudowa i rozbudowa części budynku Domu Pomocy Społecznej</t>
  </si>
  <si>
    <t>13.</t>
  </si>
  <si>
    <t xml:space="preserve">Budowa bus-pasa w ciągu ulic Tarnowska - Źródłowa - </t>
  </si>
  <si>
    <t>600          60015</t>
  </si>
  <si>
    <t>Rozwój systemów komunikacji</t>
  </si>
  <si>
    <t>14.</t>
  </si>
  <si>
    <t>Poprawa i rozbudowa infrastruktury drogowej</t>
  </si>
  <si>
    <t>15.</t>
  </si>
  <si>
    <t>z Rondem "Czwartaków", bus-pasów i ścieżki rowerowej</t>
  </si>
  <si>
    <t>16.</t>
  </si>
  <si>
    <t>2012  2014</t>
  </si>
  <si>
    <t>17.</t>
  </si>
  <si>
    <t>2012  2013</t>
  </si>
  <si>
    <t>600  60015</t>
  </si>
  <si>
    <t>18.</t>
  </si>
  <si>
    <t>2009   2013</t>
  </si>
  <si>
    <t>19.</t>
  </si>
  <si>
    <t>20.</t>
  </si>
  <si>
    <t>Rozbudowa ul. Łopuszniańskiej</t>
  </si>
  <si>
    <t>21.</t>
  </si>
  <si>
    <t>2010  2015</t>
  </si>
  <si>
    <t>22.</t>
  </si>
  <si>
    <t>2013  2014</t>
  </si>
  <si>
    <t>23.</t>
  </si>
  <si>
    <t>Budowa ul. Daleszyckiej w Kielcach</t>
  </si>
  <si>
    <t>600  60016</t>
  </si>
  <si>
    <t>Poprawa infrastruktury drogowej</t>
  </si>
  <si>
    <t>24.</t>
  </si>
  <si>
    <t>Budowa ul. Wydryńskiej w Kielcach</t>
  </si>
  <si>
    <t>2009  2016</t>
  </si>
  <si>
    <t>25.</t>
  </si>
  <si>
    <t>Kładka dla pieszych w ciągu ul. Karczówkowskiej</t>
  </si>
  <si>
    <t>Poprawa  infrastruktury drogowej</t>
  </si>
  <si>
    <t>26.</t>
  </si>
  <si>
    <t>27.</t>
  </si>
  <si>
    <t>2010  2013</t>
  </si>
  <si>
    <t>28.</t>
  </si>
  <si>
    <t>29.</t>
  </si>
  <si>
    <t>2006  2013</t>
  </si>
  <si>
    <t>30.</t>
  </si>
  <si>
    <t>31.</t>
  </si>
  <si>
    <t xml:space="preserve">Wiadukt nad trenami PKP w ciągu ul. 1-Maja w Kielcach </t>
  </si>
  <si>
    <t>2009  2013</t>
  </si>
  <si>
    <t>32.</t>
  </si>
  <si>
    <t>900  90001</t>
  </si>
  <si>
    <t>33.</t>
  </si>
  <si>
    <t xml:space="preserve">Cel: </t>
  </si>
  <si>
    <t>900      90001</t>
  </si>
  <si>
    <t>Wydział Gospodarki Nieruchomościami  i Geodezji</t>
  </si>
  <si>
    <t>34.</t>
  </si>
  <si>
    <t>Regionalny Port Lotniczy Kielce - pozyskiwanie gruntów</t>
  </si>
  <si>
    <t>600     60095</t>
  </si>
  <si>
    <t>35.</t>
  </si>
  <si>
    <t>Wykupy gruntów pod drogi - Dąbrowa II</t>
  </si>
  <si>
    <t>700     70005</t>
  </si>
  <si>
    <t>Wydział Inwestycji</t>
  </si>
  <si>
    <t>36.</t>
  </si>
  <si>
    <t>Poprawa estetyki i komunikacji na terenie Miasta Kielce</t>
  </si>
  <si>
    <t>600      60095</t>
  </si>
  <si>
    <t>37.</t>
  </si>
  <si>
    <t>2011  2015</t>
  </si>
  <si>
    <t>700  70095</t>
  </si>
  <si>
    <t>Zaspokojenie potrzeb mieszkaniowych mieszkańców Kielc</t>
  </si>
  <si>
    <t>38.</t>
  </si>
  <si>
    <t>Budowa szkoły podstawowej wraz z przedszkolem - Dąbrowa</t>
  </si>
  <si>
    <t>2008  2016</t>
  </si>
  <si>
    <t>801  80101</t>
  </si>
  <si>
    <t>Dokumentacja opracowana. Realizacja zadania zaplanowana na lata 2015-2016</t>
  </si>
  <si>
    <t>Polepszenie standardów dostarczenia usług oświatowo-wychowaw-</t>
  </si>
  <si>
    <t>czych w mieście</t>
  </si>
  <si>
    <t>39.</t>
  </si>
  <si>
    <t>Budynek mieszkalny wielorodzinny przy ul. Chrobrego w Kielcach</t>
  </si>
  <si>
    <t>Realizacja zadania przewidziana w latach późniejszych</t>
  </si>
  <si>
    <t>40.</t>
  </si>
  <si>
    <t>801  80110</t>
  </si>
  <si>
    <t>Przedsięwzięcie związane z termomodernizacją obiektu oświatowego</t>
  </si>
  <si>
    <t>41.</t>
  </si>
  <si>
    <t>42.</t>
  </si>
  <si>
    <t>801  80120</t>
  </si>
  <si>
    <t>43.</t>
  </si>
  <si>
    <t>853  85305</t>
  </si>
  <si>
    <t>Podniesienie standardów w zakresie zapewnienia opieki dzieciom</t>
  </si>
  <si>
    <t>44.</t>
  </si>
  <si>
    <t>Budowa kanalizacji sanitarnej w ul. Lubicznej</t>
  </si>
  <si>
    <t>900  90095</t>
  </si>
  <si>
    <t xml:space="preserve">Dostosowanie posiadanych zasobów do zwiększających się potrzeb </t>
  </si>
  <si>
    <t>mieszkańców</t>
  </si>
  <si>
    <t>45.</t>
  </si>
  <si>
    <t>Budowa kanalizacji sanitarnej w ul. Łazy</t>
  </si>
  <si>
    <t>46.</t>
  </si>
  <si>
    <t>Budowa kanalizacji sanitarnej w ul. Ściegiennego</t>
  </si>
  <si>
    <t>47.</t>
  </si>
  <si>
    <t>2008  2014</t>
  </si>
  <si>
    <t xml:space="preserve">Dostosawanie posiadanych zasobów do zwiększających się potrzeb </t>
  </si>
  <si>
    <t>48.</t>
  </si>
  <si>
    <t>49.</t>
  </si>
  <si>
    <t>50.</t>
  </si>
  <si>
    <t>2009  2015</t>
  </si>
  <si>
    <t>51.</t>
  </si>
  <si>
    <t>Poprawa estetyki i komunikacji pieszej w Mieście</t>
  </si>
  <si>
    <t>52.</t>
  </si>
  <si>
    <t>Zespół budynków mieszkalnych  przy ul. Lecha w Kielcach</t>
  </si>
  <si>
    <t>2011  2016</t>
  </si>
  <si>
    <t>53.</t>
  </si>
  <si>
    <t>Zespół budynków mieszkalnych  przy ul. Piekoszowskiej w Kielcach</t>
  </si>
  <si>
    <t>54.</t>
  </si>
  <si>
    <t>2011  2017</t>
  </si>
  <si>
    <t>55.</t>
  </si>
  <si>
    <t>2013  2016</t>
  </si>
  <si>
    <t xml:space="preserve">Przedsięwzięcie związane z rozbudową Cmentarza Komunalnego </t>
  </si>
  <si>
    <t>w Cedzynie</t>
  </si>
  <si>
    <t xml:space="preserve">Wydział Zarządzania Kryzysowego </t>
  </si>
  <si>
    <t>56.</t>
  </si>
  <si>
    <t>754     75495</t>
  </si>
  <si>
    <t>Podnoszenie bezpieczeństwa obywateli Miasta Kielce</t>
  </si>
  <si>
    <t>Wydatki poniesione                do dnia               31.12.2013 r.</t>
  </si>
  <si>
    <t>Planowane wydatki                      po zmianach                          na 31.12.2013 r.</t>
  </si>
  <si>
    <t xml:space="preserve">Wykonanie                       na dzień      31.12.2013 r.     </t>
  </si>
  <si>
    <t xml:space="preserve">Wydział Środowiska </t>
  </si>
  <si>
    <t>Wydział Zarządzania Usługami Komunalnymi</t>
  </si>
  <si>
    <r>
      <rPr>
        <b/>
        <sz val="8"/>
        <rFont val="Arial"/>
        <family val="2"/>
        <charset val="238"/>
      </rPr>
      <t xml:space="preserve">W ramach Przedsięwzięcia realizuje się:  </t>
    </r>
    <r>
      <rPr>
        <sz val="8"/>
        <rFont val="Arial"/>
        <family val="2"/>
        <charset val="238"/>
      </rPr>
      <t xml:space="preserve">                                                          - zakup energii do sygnalizacji świetlnych na terenie Miasta Kielce,                                                                                             - wykonuje się oznakowanie pionowe i poziome dróg,                       </t>
    </r>
  </si>
  <si>
    <r>
      <rPr>
        <b/>
        <sz val="8"/>
        <rFont val="Arial"/>
        <family val="2"/>
        <charset val="238"/>
      </rPr>
      <t xml:space="preserve">W ramach Przedsięwzięcia realizuje się:  </t>
    </r>
    <r>
      <rPr>
        <sz val="8"/>
        <rFont val="Arial"/>
        <family val="2"/>
        <charset val="238"/>
      </rPr>
      <t xml:space="preserve">                                                               - remonty bitumiczne dróg,                                                                           - remonty niebitumiczne dróg,                                                                    - remonty przystanków,                                                                                -  monitorowanie  mostów i wiaduktów,                                        - remonty chodników i ścieżek rowerowych</t>
    </r>
  </si>
  <si>
    <r>
      <rPr>
        <b/>
        <sz val="8"/>
        <rFont val="Arial"/>
        <family val="2"/>
        <charset val="238"/>
      </rPr>
      <t>W ramach Przedsięwzięcia realizuje się:</t>
    </r>
    <r>
      <rPr>
        <sz val="8"/>
        <rFont val="Arial"/>
        <family val="2"/>
        <charset val="238"/>
      </rPr>
      <t xml:space="preserve">                                                                - letnie utrzymanie dróg i chodników,                                                                             - zimowe utrzymanie dróg i chodników,                                                             - opróżnianie koszy,                                                                                      - zakup nowych koszy,                                                                                      </t>
    </r>
  </si>
  <si>
    <r>
      <rPr>
        <b/>
        <sz val="8"/>
        <rFont val="Arial"/>
        <family val="2"/>
        <charset val="238"/>
      </rPr>
      <t xml:space="preserve">W ramach Przedsięwzięcia realizuje się:   </t>
    </r>
    <r>
      <rPr>
        <sz val="8"/>
        <rFont val="Arial"/>
        <family val="2"/>
        <charset val="238"/>
      </rPr>
      <t xml:space="preserve">                                                            - konserwacja kanalizacji deszczowej,                                          - konserwacja podczyszczalni wód deszczowych,                                                   - konserwacja rowów komunalnych,                                             - badania labolatoryne ścieków,                                                                                  - opłaty na rzecz budżetów jednostek samorządu terytorialnego</t>
    </r>
  </si>
  <si>
    <r>
      <rPr>
        <b/>
        <sz val="8"/>
        <rFont val="Arial"/>
        <family val="2"/>
        <charset val="238"/>
      </rPr>
      <t xml:space="preserve">W ramach Przedsięwzięcia realizuje się: </t>
    </r>
    <r>
      <rPr>
        <sz val="8"/>
        <rFont val="Arial"/>
        <family val="2"/>
        <charset val="238"/>
      </rPr>
      <t xml:space="preserve">                                                                                      - zakup energii elektrycznej do oświetlenia ulicznego na terenie Miasta  Kielce,                                                                                   - zakup onowych opraw i słupów oświetleniowych </t>
    </r>
  </si>
  <si>
    <r>
      <rPr>
        <b/>
        <sz val="8"/>
        <rFont val="Arial"/>
        <family val="2"/>
        <charset val="238"/>
      </rPr>
      <t xml:space="preserve">W ramach Przedsięwzięcia realizuje się: </t>
    </r>
    <r>
      <rPr>
        <sz val="8"/>
        <rFont val="Arial"/>
        <family val="2"/>
        <charset val="238"/>
      </rPr>
      <t xml:space="preserve">                                               utrzymanie i konserwację zieleni mieskiej: w tym: kwietniki, gazony, zielone ciągi komunikacyjne w pasie drogowym </t>
    </r>
  </si>
  <si>
    <t>WYDZIAŁ PROJEKTÓW STRUKTURALNYCH I STRATEGII MIASTA</t>
  </si>
  <si>
    <t>Opracowanie dokumentów strategicznych dla Miasta Kielce i jego obszaru funkcjonalnego na lata 2014-2020</t>
  </si>
  <si>
    <t>Opracowanie dokumentów strategicznych niezbędnych w procesie aplikacji o środki z UE w perspektywie finansowej 2014-2020</t>
  </si>
  <si>
    <t>2013-2015</t>
  </si>
  <si>
    <t>750    75095</t>
  </si>
  <si>
    <t>- środki własne miasta pozaprojektowe</t>
  </si>
  <si>
    <t>Zaplanowane dalsze etapy wykonania zabudowy przeciwpożarowej w budynku Urzędu Miasta przy Rynek 1 przeniesiono do realizacji na 2015r., ze względu na politykę oszczędności budżetowych w latach 2011-2014.</t>
  </si>
  <si>
    <t>Realizację zadania przeniesiono na 2014r.</t>
  </si>
  <si>
    <t>Wydatki poniesiono na dodatkowe koszty dokumentacji projektowej, dotyczącej planowanej zabudowy dziedzińca budynku Urzędu Miasta przy Rynek 1. Realizacja zadania w zakresie wykonania zabudowy dziedzińca zgodnie z dokumentacją projektową przesunięta na  2016r.</t>
  </si>
  <si>
    <t xml:space="preserve">Wykonano i zamontowano tablice informacyjne na terenie Rezerwatu Wietrznia. Wykonano geotechniczne zabezpieczenie skarpy w parku kadzielnia w rejonie wejścia do jaskini Szczelina. </t>
  </si>
  <si>
    <t>Wykonano fragment ścieżek i schodów, przygotowano teren pod kolekcję roślin chronionych,wykonano podbudowę pod ciągi komunikacyjne oraz odcinki wody do podlewania wraz z przygotowaniem terenu pod nasadzenia, wykonano dokumentację przebudowy budynku przy ulicy Jagiellońskiej, wykonano modernizację budynku przeznaczonego na potrzeby magazynowo techniczne - etap I.  Wykonano przygotowanie terenu pod nasadzenia ogrodu francuskiego. Rozpoczęto prace przy budowie zielonej szkoły oraz przygotowano teren pod nasadzenia.</t>
  </si>
  <si>
    <t>150   15095</t>
  </si>
  <si>
    <t>Zaprojektowano  i wykonano instalację i przestrzenną w podziemnej trasie turystycznej w jaskiniach na Kadzielni - etap I.</t>
  </si>
  <si>
    <t xml:space="preserve">Geopark Kielce - Opracowanie projektu drogi dojazdowej do Centrum </t>
  </si>
  <si>
    <t>Realizacja planowana w latach następnych</t>
  </si>
  <si>
    <t>Dokończenie realizacji zadania inwestycyjnego przewidziane na 2015 r.</t>
  </si>
  <si>
    <t>Wykonanie docieplenia i elewacji budynku domu pomocy społecznej</t>
  </si>
  <si>
    <t>Przebudowa (adaptacja) budynku przy ul. Nowowiejskiej 14 w Kielcach</t>
  </si>
  <si>
    <t>2012   2014</t>
  </si>
  <si>
    <t xml:space="preserve">Dokonano rozbiórki budynku gospodarczego, przeszacowano kosztorys, podpisano umowę na realizcję zadania inwestycyjnego. Termin realizacji 01.03.2014r. </t>
  </si>
  <si>
    <t>Podpisano umowę na realizację zdania inwestycyjnego. Termin realizacji 30.06.2014r.</t>
  </si>
  <si>
    <t>MZD - przygotowano część dokumentacyjną oraz dotyczącą wykupu gruntów. Realizacja zadania przez ZTM.</t>
  </si>
  <si>
    <t xml:space="preserve">Przetarg na realizację robót po zakończeniu inwetycji przez WFOŚ. Wykonano cześć robót niezbędnych do wykonania drogi technologicznej (przepust, oczyszczanie terenu). Po zakończeniu robót ciężkim sprzętem WFOŚ będzie możliwa realizacja nowej drogi w 2014 r. </t>
  </si>
  <si>
    <t>2012  2019</t>
  </si>
  <si>
    <t xml:space="preserve">Trwają prace projektowe. </t>
  </si>
  <si>
    <t>W roku 2013 rozliczono dokumentację projektową. Realizacja zadania przez ZTM.</t>
  </si>
  <si>
    <t xml:space="preserve">W ramach inwestycji wykonano: sygnalizację świetlną, jezdnię o nawierzchni z masy mineralno - bitumicznej, chodniki, zjazdy, zbudowano ekrany dźwiękochłonne, przebudowana kanalizację deszczową, zamontowano oświetlenie uliczne, przebudowano linię energetyczną i teletechniczną. </t>
  </si>
  <si>
    <t>Wykonano: nawierzchnię z masy mineralno - bitumicznej, nawierzchnię z kostki betonowej (chodniki, zjazdy, zatoki autobusowe), budowę kanalizacji deszczowej, budowę oświetlenia ulicznego - lampy oświetleniowe - 24 szt., przebudowano linie energetyczne i teletechniczne.</t>
  </si>
  <si>
    <t>2007   2019</t>
  </si>
  <si>
    <t>Dokumentacja odebrana, wystąpiono o ZRID. Planowana realizacja skrzyżowania Piekoszowska - Malików w 2015 r.</t>
  </si>
  <si>
    <t>2009  2019</t>
  </si>
  <si>
    <t>Dokumentacja gotowa. Inwestycja przewidziana do realizacji po roku 2015 - jak zostaną uruchomione środki z UE na dofinansowanie.</t>
  </si>
  <si>
    <t>2008  2019</t>
  </si>
  <si>
    <t>2010  2017</t>
  </si>
  <si>
    <t xml:space="preserve">Trwają prace nad dokumentacją projektową. </t>
  </si>
  <si>
    <t>MZD jest na etapie uzgadniania możliwości wejścia w teren Exbudu celem wybudowania drogi, ponieważ pas drogowy nie mieści się w terenie pasa drogowego Gminy i GDDKiA. Realizacja planowana w 2014 r.</t>
  </si>
  <si>
    <t>W ramach inwestycji wykonano: nawierzchnię z masy mineralno - bitumicznej, nawierzchnię z kostki betonowej (chodniki, zjazdy), nawierzchnię bitumiczną ścieżki rowerowej, budowę kanalizacji deszczowej, budowę oświetlenia ulicznego,  linii energetycznej i teletechnicznej.</t>
  </si>
  <si>
    <t>Budowa ul. Skrajnej w Kielcach na odcinku od ul. 1 Maja do posesji Nr 70</t>
  </si>
  <si>
    <t>2007  2016</t>
  </si>
  <si>
    <t>Dokumentacja gotowa. Jest ZRID (zgoda na realizację inwestycji drogowej). Trwa procedura odszkodowawcza.</t>
  </si>
  <si>
    <t xml:space="preserve">W ramach inwestycji wykonano: modernizację konstrukcji stalowej kładki oraz schodów żelbetowych. Dodatkowo wykonano pochylnię dla osób niepełnosprawnych. </t>
  </si>
  <si>
    <t>Przebudowa odcinka ul. Karczówkowskiej</t>
  </si>
  <si>
    <t>Dokumentacja gotowa. Realizacja zadania w roku 2014 r.</t>
  </si>
  <si>
    <t xml:space="preserve">Inwestycja w tracie realizacji. Dokumentacja gotowa.  Trwają prace budowlane, których zakończenie przewidziano w roku 2014. </t>
  </si>
  <si>
    <t>Poprawa  infrastruktury rowerowej</t>
  </si>
  <si>
    <t>Wycofano ZRID. Realizacja planowana w istniejącym pasie drogowym. Dokonano zgłoszenia o zamiarze wykonania prac budowlanych. Zapłacono w br końcową kwotę za dokumentację. Do wykonania fragment drogi dojazdowej do Przedszkola Samorządowego. Realizacja w 2015 r.</t>
  </si>
  <si>
    <t>Wykonano: nawierzchnię z masy mineralno - bitumicznej, ścieżkę rowerową,chodniki, zjazdy, parkingi, zatoki autobusowe, budowę kanalizacji deszczowej, oświetlenia ulicznego, budowę sygnalizacji świetlnej akomodacyjnej, przebudowę sieci wodociągowej, energetycznej.</t>
  </si>
  <si>
    <t xml:space="preserve">Po kolejnym  przetargu wykonawca (jedyna oferta) zrezygnował z podpisania umowy twierdząc, że źle skalkulował roboty.  Tymczasowo odłożono prace - nawierzchnia do obserawcji. W roku 2014 ogłoszony zostanie przetag na wymainę nawierzchni. </t>
  </si>
  <si>
    <t>Wykonano oświetlenie uliczne na odcinku ul. Orląt Lwowskich od ul. Sikorskiego do drogi wewnętrznej na dz. Nr 844/288. Wykonano: montaż słupów aluminiowych h - 6m,  Oprawy oświetleniowe Clear Way - family - 14 szt.</t>
  </si>
  <si>
    <t>2008   2017</t>
  </si>
  <si>
    <t xml:space="preserve">Aktualizacja dokumentacji projektowej. W 2014 r. odszkodowania za grunty. Realizacja zadania w latach 2016-2017. </t>
  </si>
  <si>
    <t>Zakup parkometrów do Strefy Płatnego Parkowania</t>
  </si>
  <si>
    <t xml:space="preserve">W roku 2013 pierwszy przetag został unieważniony ze względu na zbyt wysokie kwoty oferentów. Przeprowadzono kolejne postępowanie przetargowe, zabezpieczono w budżecie wyższą kwotę. Przetarg rozstrzygnięty. Montaż urządzeń rozpocznie się w 2014 r. </t>
  </si>
  <si>
    <t>Poprawa obsługi Strefy Płatnego Parkowania</t>
  </si>
  <si>
    <t xml:space="preserve">Wykonano: modernizację wiaduktu oraz murów oporowych, pogrubienia płyty pomostu warstwą betonu zbrojonego wraz z gzymsami, zamontowano krawężniki kamienne,  balustrady, słupy oświetleniowe. </t>
  </si>
  <si>
    <t>ul. Kazimierza Wielkiego w Kielcach (I i II etap)</t>
  </si>
  <si>
    <t>2010  2016</t>
  </si>
  <si>
    <t xml:space="preserve">Inwestycja w trakcie realizacji. Trwają prace budowlane, których zakończenie przewidziano w roku 2014. </t>
  </si>
  <si>
    <t>Inwestycja zakończona. W ramach inwestycji wykonano: - kanał deszczowy z rur PCV 315 - 60 m, DN 200 - 25 m, studnie rewizyjne DN 1200 - 2 szt., wpusty deszczowe PP DN 425 - 1 szt.</t>
  </si>
  <si>
    <t>2007   2017</t>
  </si>
  <si>
    <t>Inwestycja w trakcie realizacji. W roku 2013 wykonano oczyszczalnię wód deszczowych. W ulicy Łopianowa/ Domki realizowana jest budowa kanału deszczowego.</t>
  </si>
  <si>
    <t xml:space="preserve">W l;atach 2006-2013 wykupiono 581,36 ha nieruchomości na potrzeby budowy lotniska. Jednocześnie trwa postępowanie wywłaszczeniowe w Starostwie Powiatowym - dotyczy ono ok. 26 ha gruntów. </t>
  </si>
  <si>
    <t xml:space="preserve">Powierzchnia, za którą zostały wypłacone odszkodowania w okresie od 2011 roku do 2013 roku wynosi 8,0251 ha. Przewiduje się jeszcze wypłatę odszkodowań za grunty o pow. ok. 2,5534 ha. </t>
  </si>
  <si>
    <t xml:space="preserve">Zadanie w trakcie realizacji. Termin zakończenia przesunięty z winy wykonawcy na II kw. 2014r. Poniesione wydatki obejmują zobowiazania niewygasające w wys. 2.329.330 zł. </t>
  </si>
  <si>
    <t>Zrealizowano I etap inwestycji, którego przedmiotem było wykonanie budynku wielorodzinnego składajacego się z 23 mieszkań oraz 1-go lokalu pracy administacyjnej. Końcowe płatności i rozliczenie zadania nastapi w styczniu 2014 r. Poniesione wydatki zawieraja zobowiazania niewygasające w wys. 502.000 zł</t>
  </si>
  <si>
    <t>2008  2018</t>
  </si>
  <si>
    <t>Zadanie zrealizowano</t>
  </si>
  <si>
    <t>Opracowano dokumentację projektowo-kosztorysową.</t>
  </si>
  <si>
    <t>Rozwój bazy sportowej w mieście</t>
  </si>
  <si>
    <t>Zadanie w trakcie realizacji z terminem zakończenia w roku 2014. poniesi0one wydatki zawierają zobowiazania niewygasajace w wys. 20.000 zł</t>
  </si>
  <si>
    <t>Inwestycja przewidziana do realizacji w latach 2013-2016. W roku 2013 dokonano określenia zakresu prac projektowych. W roku 2014 opracowanie dokumentacji projektowo-kosztorysowej.</t>
  </si>
  <si>
    <t>Zadanie w trakcie realizacji z terminem zakończenia w roku 2014. poniesi0one wydatki zawierają zobowiazania niewygasajace w wys. 258.800 zł</t>
  </si>
  <si>
    <t>Poniesiono wydatki z tytułu opracowania dokumentacji wykonawczej. Zadanie przejęte do realizacji przez Międzygminny Zwiazek Wodociągów i Kanalizacji w Kielcach</t>
  </si>
  <si>
    <t>W roku 2013 odstąpiono od realizacji tego zadania</t>
  </si>
  <si>
    <t>57.</t>
  </si>
  <si>
    <t>Dokumentacja na wykonanie sieci wodociągowo - kanalizacyjnej o dł. ok 7 km w trakcie opracowania. Wydatki zawierają zobowiązania niewygasające w wys. 258.000 zł</t>
  </si>
  <si>
    <t>58.</t>
  </si>
  <si>
    <t>Zrealizowano zakres prac roku 2013. Zadanie kontynuowane w latach 2014-2016</t>
  </si>
  <si>
    <t>59.</t>
  </si>
  <si>
    <t>Budowa wodociągu w rejonie ul. Skrajnej</t>
  </si>
  <si>
    <t>2013   2014</t>
  </si>
  <si>
    <t>Przygotowanie inwestycji do realizacji. Roboty budowlane i zakończenie zadania w roku 2014.</t>
  </si>
  <si>
    <t>60.</t>
  </si>
  <si>
    <t>Budowa wodociągu w rejonie Al.. Ks. J. Popiełuszki</t>
  </si>
  <si>
    <t>Zadanie w trakcie realizacji z terminem zakończenia w I kw. 2014 r. poniesione wydatki obejmuja zobowiazania niewygasające w wys. 172.600 zł</t>
  </si>
  <si>
    <t>61.</t>
  </si>
  <si>
    <t>Sieć wodociągowo-kanalizacyjna w rejonie ul. Cedro Mazur w Kielcach</t>
  </si>
  <si>
    <t>Odstąpiono od umowy z winy projektanta. Dalsza realizacja zadania w latach 2014-2015. W roku 2014 opracowanie dokumentacji projektowo=kosztorysowej.</t>
  </si>
  <si>
    <t>62.</t>
  </si>
  <si>
    <t>Przebudowa schodów na Placu Wolności od strony ul. Głowackiego</t>
  </si>
  <si>
    <t>Opracowano dokumentację projektowo-kosztorysową. Realizacja zadania w roku 2014. Wydatki zawierają zobowiazania niewygasające w wys. 16.000 zł</t>
  </si>
  <si>
    <t>Poprawa estetyki Miasta</t>
  </si>
  <si>
    <t>63.</t>
  </si>
  <si>
    <t>Zrealizowano zakres prac roku 2013. dalsza realizacja i zakonczenie zadania w roku 2014</t>
  </si>
  <si>
    <t>Upamiętnienie pomordowanych Polaków na Wschodzie</t>
  </si>
  <si>
    <t>64.</t>
  </si>
  <si>
    <t>926   92601</t>
  </si>
  <si>
    <t>Opracowano audyt energetyczny; określono zaktes inwestycji. Realizacja i zakończenie zadania w roku 2014.</t>
  </si>
  <si>
    <t>Przedsięwzięcie związane z termomodernizacją obiektu sportowego</t>
  </si>
  <si>
    <t>65.</t>
  </si>
  <si>
    <t>851   85154</t>
  </si>
  <si>
    <t>Opracowano dokumentację projektowo-kosztorysową. Realizacja zadania w roku 2014.</t>
  </si>
  <si>
    <t>Ograniczenie emisji CO2 do środowiska</t>
  </si>
  <si>
    <t>66.</t>
  </si>
  <si>
    <t>2011  2018</t>
  </si>
  <si>
    <t>Posiadamy koncepcję opracowaną przez Wydział Mieszkalnictwa. Realizacja zadania zaplanowana na lata 2015-2016</t>
  </si>
  <si>
    <t>67.</t>
  </si>
  <si>
    <t>2009  2018</t>
  </si>
  <si>
    <t>68.</t>
  </si>
  <si>
    <t>Zadanie w trakcie realizacji z terminem zakonczenia w roku 2015. Poniesione wydatki obejmuja zobowiązania niewygasające w wys. 114.132zł</t>
  </si>
  <si>
    <t>69.</t>
  </si>
  <si>
    <t>2013  2015</t>
  </si>
  <si>
    <t>Zrealizowano zakres prac przewidziany na rok 2013. zakończenie zadania w roku 2014. poniesione wydatki obejmuja zobowiązania niewygasające w wys. 2.460 zł</t>
  </si>
  <si>
    <t>70.</t>
  </si>
  <si>
    <t>900   90095</t>
  </si>
  <si>
    <t>Opracowano dokumentację projektowo-kosztorysową. Realizacja zadania w roku 2014. Wydatki zawierają zobowiazania niewygasające w wys. 56.500 zł</t>
  </si>
  <si>
    <t>71.</t>
  </si>
  <si>
    <t xml:space="preserve">Wydatki poniesiono m.in. na  rozbudowę i modernizację monitoringu wizyjnego miasta Kielce, wykonanie przyłącza rurowego na ul. Mickiewicza i Wesołej na potrzeby monitoringu wizyjnego, budowę kanalizacji teletechnicznej wraz ze studniami kablowymi na potrzeby monitoringu wizyjnego miasta Kielce w obrębie ul. Św. Leonarda. </t>
  </si>
  <si>
    <t>72.</t>
  </si>
  <si>
    <t xml:space="preserve">Wykonano drogę dojazdową, przejście między nową a starą częścią cmentarza, tymczasowe alejki i ogrodzenie. </t>
  </si>
  <si>
    <t>Wydział Edukacji, Kultury i Sportu</t>
  </si>
  <si>
    <t>73.</t>
  </si>
  <si>
    <t>rozbudowa infrastruktury kulturalnej w Kielcach</t>
  </si>
  <si>
    <t xml:space="preserve">Wydatki dotyczą opłat związanych z zarządzaną nieruchomością (budynkiem) przy ul. Mazurskiej 48, tj. z tytułu:
1/  dostaw energii elektrycznej, gazu ( do ogrzewania) i wody, 
2/ opłat za odprowadzenie ścieków,
3/  monitoringu (ochrony) nieruchomości,
4/  usług dostępu do sieci internet oraz usług telekomunikacyjnych ( stacjonarnej sieci telefonicznej),
5/ ubezpieczenia majątku.
</t>
  </si>
  <si>
    <t>Wydatki dotyczą opłat z tytułu czynszu za pomieszczenia wynajmowane na potrzeby Powiatowego Inspektoratu Nadzoru Budowlanego.</t>
  </si>
  <si>
    <t>W ramach utrzymania trwałości projektu dokonano opłat za energię elektryczną i wodę dot. budynku Centrum Geoedukacji oraz opłat za nadzór i konserwację  klimatyzacji w budynku - Centrum Geoedukacji, za nadzór instalacji p.poz, usługi informatyczne,usługi odprowadzenia ścieków.</t>
  </si>
  <si>
    <t xml:space="preserve">Zakupiono druki komunikacyjne: dowody rejestracyjne, nalepki kontrolne, prawo jazdy i inne druki komunikacyjne. </t>
  </si>
  <si>
    <t>Tabela Nr 3</t>
  </si>
  <si>
    <t>Zwiększenie powierzchni użytkowej (poprawa funkcjonalności budynku Urzędu Miasta)</t>
  </si>
  <si>
    <t>Przebudowa, rozbudowa siedziby Urzędu Miasta Kielce przy ul. Rynek 1</t>
  </si>
  <si>
    <t>Zapewnienie warunków technicznych (wentylacji mechanicznej nawiewno-wywiewnej), wynikających z przepisów prawa (rozp.</t>
  </si>
  <si>
    <t>Utworzenie miejsca rehabilitacji, integracji i pracy dla osób niepełnosprawnych</t>
  </si>
  <si>
    <t>Docieplenie i elewacja budynku DPS im. Jana Pawła II ul. Jagiellońska 76</t>
  </si>
  <si>
    <t>Budowa pętli autobusowej na Bukówce wraz z parkingiem przesiadkowym i infrastrukturą towarzyszącą oraz budowa pętli manewrowej dla autobusów komunikacji miejskiej przy ul. Sikorskiego</t>
  </si>
  <si>
    <t>Budowa pętli autobusowej i parkingu przesiadkowego w rejonie ul. Tarnowskiej wraz  z budową nowego połączenia ul. Tarnowskiej</t>
  </si>
  <si>
    <t>Budowa sygnalizacji świetlnej wraz z częściową przebudową ul. Chorzowskiej w rejonie skrzyżowania z ul. Krakowską w Kielcach</t>
  </si>
  <si>
    <t>Przebudowa i rozbudowa ulicy 1-go Maja na odcinku od skrzyżowania z ul. Skrajną  do ul. Łódzkiej</t>
  </si>
  <si>
    <t>Rozbudowa i przebudowa ul. Piekoszowskiej na odcinku od ul. Grunwaldzkiej do granic miasta (droga wojewódzka nr 786)w Kielcach - dokumentacja projektowa i odszkodowania</t>
  </si>
  <si>
    <t>Rozbudowa ulic usprawniających powiązania komunikacyjne miasta Kielce - rozbudowa ul. Wapiennikowej wraz z rozbudową skrzyżowańz ulicą Ściegiennego i Husarską oraz z ul. Ks. J. Popiełuszki i Armii Ludowej w Kielcach</t>
  </si>
  <si>
    <t>Przebudowa ul. Górników Staszicowskich wraz z budową kanalizacji deszczowej, chodników i ścieżki rowerowej - dokumentacja, wykupy gruntów oraz OWD</t>
  </si>
  <si>
    <t>Włączenie drogi rozprowadzającej zlokalizowanej w pasie drogowym drogi krajowej Nr 74 do al. Solidarności w Kielcach</t>
  </si>
  <si>
    <t>Budowa ul. Skalistej wraz z odwodnieniem i oświetleniem (droga gminna) wraz z przebudową kolizji z istniejącymi urządzeniami infrastruktury technicznej</t>
  </si>
  <si>
    <t>Modernizacja chodnika w ciągu ulicy Warszawskiej poprzez wydzielenie przestrzeni dla pieszych i rowerzystów</t>
  </si>
  <si>
    <t>Przebudowa i rozbudowa ul. Żółkiewskiego w Kielcach na odcinku od ul. Janczarskiej do ul. Pancernej</t>
  </si>
  <si>
    <t>Rozbudowa Al. Tysiąclecia Państwa Polskiego i ulicy Radiowej w Kielcach</t>
  </si>
  <si>
    <t>Rozbudowa i przebudowa układu komunikacyjnego obejmującego skrzyżowanie ul. Warszawskiej z ul. Polną oraz ulice: Polną, Radiową i Niską w Kielcach</t>
  </si>
  <si>
    <t>Rozbudowa ulicy łączącej ul. Piłsudskiego z ul. Sikorskiego (obecnie ul. Orląt Lwowskich) w Kielcach</t>
  </si>
  <si>
    <t>Ul. Jagiellońska, Podklasztorna, Bernardyńska, Karczówkowska w Kielcach - przebudowa i budowa zewnętrznego układu komunikacyjnego  Ogrodu Botanicznego w Kielcach</t>
  </si>
  <si>
    <t>ul. Kwarciana w Kielcach etap I - Budowa kanału deszczowego z wpięciem w ul. Wybraniecką</t>
  </si>
  <si>
    <t>Lokalne Inicjatywy Inwestycyjne pn.:"Budowa kanału deszczowego w ul. Prostej i ul. Wojska Polskiego w Kielcach"</t>
  </si>
  <si>
    <t>Przebudowa, rozbudowa i budowa ulic w osiedlu Ostra Górka w Kielcach(ulice: Domki, Łopianowa, Monte Casino, Studziankowska, Narwicka, Torbucka, Helska i Oksywska) wraz z budową i przebudową infrastruktury technicznej i budową oczyszczalni wód deszczowych</t>
  </si>
  <si>
    <t xml:space="preserve">Bulwar spacerowy wzdłuż rzeki Silnicy na odcinku od ulicy Sienkiewicza do ulicy Solnej </t>
  </si>
  <si>
    <t>Budowa budynków mieszkalnych "Zlota Jesień" przy ul. Kazimierza Wielkiego w Kielcach</t>
  </si>
  <si>
    <t>Termomodernizacja Gimnazjum Nr 7 im. S. Moniuszki w Kielcach przy ul. Krzyżanowskiej 8 w Kielcach</t>
  </si>
  <si>
    <t>Budowa boiska wielofunkcyjnego przy Gimnazjum nr 3, ul. Toporowskiego 40</t>
  </si>
  <si>
    <t>Termomodernizacja IV Liceum Ogolnokształcącego im. H. Sawickiej w Kielcach ul. Radiowa 1</t>
  </si>
  <si>
    <t>Adaptacja pomieszczeń w budynku Żłobka samorządowego Nr 15 z przeznaczeniem na utworzenie dodatkowych 25 miejsc, w tym dla dzieci dzieci niepełnosprawnych z dostosowaniem obiektu do obowiązujacych przepisów</t>
  </si>
  <si>
    <t>Kanał sanitarny w os. Baranówek-Kawetczyzna w ulicach: Buska, Iłżecka, Konecka, Opoczyńska, Kalinowskiego, Opatowska, Łagowska - dokumentacja + realizacja</t>
  </si>
  <si>
    <t>Regulacja rzeki Silnicy z uwzgl. czynników ekologicznych i zabezpieczenia przeciwpowodziowego - dokumentacja + realizacja</t>
  </si>
  <si>
    <t>Sieć wodociągowo-kanalizacyjna w os. Ostrogórka w Kielcach - dokumentacja + realizacja</t>
  </si>
  <si>
    <t xml:space="preserve">Kanalizacja sanitarna w ul. Aleksandrówka i ul. Dobromyśl wraz z przyłączeniem do istniejącego kanału sanitarnego z przyłączeniem do istniejącego kanału </t>
  </si>
  <si>
    <t>Zagospodarowanie przestrzeni Skweru Pamięci Ofiar Katynia na wzgórzu u zbiegu ulic Krakowskiej i Gagarina w Kielcach</t>
  </si>
  <si>
    <t>Termomodernizacja budynku Klubu Sportowego "STELLA" przy ul. Krakowskiej 374 w Kielcach</t>
  </si>
  <si>
    <t>Termomodernizacja budynku Świętokrzyskiego Centrum Edukacji i Profilaktyki w Kielcach ul. Jana Nowaka Jeziorańskiego 65</t>
  </si>
  <si>
    <t>Zespół budynków mieszkalnych segmentowych przy ul. Hutniczej w Kielcach</t>
  </si>
  <si>
    <t>Termomodernizacja Zespół Szkół Ogólnokształcących Nr 15 w Kielcach ul. Krzemionkowa 1</t>
  </si>
  <si>
    <t>Rewitalizacja Śródmieścia Kielc-Przebudowa Skweru Żeromskiego w Kielcach</t>
  </si>
  <si>
    <t xml:space="preserve">Rozbudowa, modernizacja oraz wyposażenie miejskiego systemu monitoringu wizyjnego Miasta Kielce </t>
  </si>
  <si>
    <t>Projekt budowlany rozbudowy Cmentarza Komunalnego w Cedzynie -realizacja</t>
  </si>
  <si>
    <t>Światowy Projekt Pokoju "Wieczna Miłość", rozbudowa infrastruktury kulturalnej w Kielcach</t>
  </si>
  <si>
    <t>Rozwój gospodarczy i społeczny oraz poprawa konkurencyjności Regionu Świętokrzyskiego  w zakresie intensyfikacji rozwoju infrastruktury lotniczej</t>
  </si>
  <si>
    <t>Budowa drogi wewnętrznej z włączeniem do ul. Popiełuszki, na potrzeby obsługi komunikacyjnej Starostwa Powiatowego w Kielcach</t>
  </si>
  <si>
    <t xml:space="preserve"> Al. Solidarności (na odcinku od ul. Bohaterów Warszawy  Al. Tysiąclecia PP)</t>
  </si>
  <si>
    <t>im. Jana Pawła II przy ul. Jagiellońskiej 76 w Kielcach z przeznaczeniem na utworzenie lokali aktywizacyjnych (mieszkania chronione) dla osób starszych i niepełnosprawnych</t>
  </si>
  <si>
    <t>Geopark Kielce - otwarcie obszarów poprzemysłowych pod potrzeby turystyki, edukacji i wypoczynku. Modernizacja i budowa urządzeń techniczno-budowlanych w Parku Kadzielnia, Rezerwacie Ślichowice, Rezerwacie Wietrznia</t>
  </si>
  <si>
    <t>Utrzymanie trwałości Projektu pn. "e-Świętokszyskie - budowa sieci światłowodowych wraz z urządzeniami na terenie Miasta Kielce"</t>
  </si>
  <si>
    <t>Wyd. maj. - trwałość projektu "e-Świętokszyskie - budowa sieci światłowodowych wraz z urządzeniami na terenie Miasta Kielce"</t>
  </si>
  <si>
    <t xml:space="preserve">Montaż klimatyzatorów w pomieszczeniach biurowych w budynkach Urzędu Miasta </t>
  </si>
  <si>
    <t>Dostosowanie budynku Urzędu Miasta przy ul. Rynek 1 do obowiązujących wymagań w zakresie ochrony przeciwpożarowej</t>
  </si>
  <si>
    <t>Wydatki objemują analizę wskaźników rezultatów:  „Oszczędność czasu w przewozach pasażerskich” i „Oszczędność czasu w przewozach towarowych” ul. Chęcińska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</si>
</sst>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 _z_ł_-;\-* #,##0\ _z_ł_-;_-* &quot;-&quot;\ _z_ł_-;_-@_-"/>
    <numFmt numFmtId="43" formatCode="_-* #,##0.00\ _z_ł_-;\-* #,##0.00\ _z_ł_-;_-* &quot;-&quot;??\ _z_ł_-;_-@_-"/>
    <numFmt numFmtId="164" formatCode="#,##0.0"/>
    <numFmt numFmtId="165" formatCode="#,##0_ ;\-#,##0\ "/>
    <numFmt numFmtId="166" formatCode="_-* #,##0.0\ _z_ł_-;\-* #,##0.0\ _z_ł_-;_-* &quot;-&quot;?\ _z_ł_-;_-@_-"/>
    <numFmt numFmtId="167" formatCode="#,##0.00\ &quot;zł&quot;"/>
  </numFmts>
  <fonts count="33">
    <font>
      <sz val="10"/>
      <name val="Arial"/>
      <charset val="238"/>
    </font>
    <font>
      <sz val="10"/>
      <name val="Arial"/>
      <family val="2"/>
      <charset val="238"/>
    </font>
    <font>
      <b/>
      <sz val="11"/>
      <name val="Arial"/>
      <family val="2"/>
      <charset val="238"/>
    </font>
    <font>
      <b/>
      <i/>
      <sz val="7"/>
      <name val="Arial"/>
      <family val="2"/>
      <charset val="238"/>
    </font>
    <font>
      <sz val="7"/>
      <name val="Arial"/>
      <family val="2"/>
      <charset val="238"/>
    </font>
    <font>
      <sz val="10"/>
      <name val="Arial"/>
      <family val="2"/>
      <charset val="238"/>
    </font>
    <font>
      <b/>
      <sz val="8.5"/>
      <name val="Arial"/>
      <family val="2"/>
      <charset val="238"/>
    </font>
    <font>
      <b/>
      <sz val="10"/>
      <name val="Arial"/>
      <family val="2"/>
      <charset val="238"/>
    </font>
    <font>
      <sz val="8.5"/>
      <name val="Arial"/>
      <family val="2"/>
      <charset val="238"/>
    </font>
    <font>
      <sz val="8"/>
      <name val="Arial"/>
      <family val="2"/>
      <charset val="238"/>
    </font>
    <font>
      <b/>
      <sz val="8"/>
      <name val="Arial"/>
      <family val="2"/>
      <charset val="238"/>
    </font>
    <font>
      <b/>
      <i/>
      <sz val="8"/>
      <name val="Arial"/>
      <family val="2"/>
      <charset val="238"/>
    </font>
    <font>
      <b/>
      <sz val="9"/>
      <name val="Arial"/>
      <family val="2"/>
      <charset val="238"/>
    </font>
    <font>
      <sz val="9"/>
      <name val="Arial"/>
      <family val="2"/>
      <charset val="238"/>
    </font>
    <font>
      <u/>
      <sz val="8"/>
      <name val="Arial"/>
      <family val="2"/>
      <charset val="238"/>
    </font>
    <font>
      <b/>
      <sz val="16"/>
      <name val="Arial"/>
      <family val="2"/>
      <charset val="238"/>
    </font>
    <font>
      <sz val="8.5"/>
      <color indexed="8"/>
      <name val="Czcionka tekstu podstawowego"/>
      <family val="2"/>
      <charset val="238"/>
    </font>
    <font>
      <sz val="8.5"/>
      <color indexed="8"/>
      <name val="Arial"/>
      <family val="2"/>
      <charset val="238"/>
    </font>
    <font>
      <i/>
      <sz val="8.5"/>
      <name val="Arial"/>
      <family val="2"/>
      <charset val="238"/>
    </font>
    <font>
      <sz val="8.5"/>
      <name val="Czcionka tekstu podstawowego"/>
      <family val="2"/>
      <charset val="238"/>
    </font>
    <font>
      <sz val="8.5"/>
      <color rgb="FFFF0000"/>
      <name val="Arial"/>
      <family val="2"/>
      <charset val="238"/>
    </font>
    <font>
      <sz val="8"/>
      <color rgb="FFFF0000"/>
      <name val="Arial"/>
      <family val="2"/>
      <charset val="238"/>
    </font>
    <font>
      <b/>
      <sz val="16"/>
      <color rgb="FFFF0000"/>
      <name val="Arial"/>
      <family val="2"/>
      <charset val="238"/>
    </font>
    <font>
      <b/>
      <sz val="8"/>
      <color rgb="FFFF0000"/>
      <name val="Arial"/>
      <family val="2"/>
      <charset val="238"/>
    </font>
    <font>
      <sz val="10"/>
      <color rgb="FFFF0000"/>
      <name val="Arial"/>
      <family val="2"/>
      <charset val="238"/>
    </font>
    <font>
      <b/>
      <sz val="11"/>
      <color rgb="FFFF0000"/>
      <name val="Arial"/>
      <family val="2"/>
      <charset val="238"/>
    </font>
    <font>
      <b/>
      <sz val="8.5"/>
      <color rgb="FFFF0000"/>
      <name val="Arial"/>
      <family val="2"/>
      <charset val="238"/>
    </font>
    <font>
      <sz val="9"/>
      <color rgb="FFFF0000"/>
      <name val="Arial"/>
      <family val="2"/>
      <charset val="238"/>
    </font>
    <font>
      <b/>
      <sz val="8.5"/>
      <color rgb="FF00B0F0"/>
      <name val="Arial"/>
      <family val="2"/>
      <charset val="238"/>
    </font>
    <font>
      <sz val="8.5"/>
      <color rgb="FF00B0F0"/>
      <name val="Arial"/>
      <family val="2"/>
      <charset val="238"/>
    </font>
    <font>
      <b/>
      <sz val="16"/>
      <color rgb="FF00B0F0"/>
      <name val="Arial"/>
      <family val="2"/>
      <charset val="238"/>
    </font>
    <font>
      <sz val="10"/>
      <color rgb="FF00B0F0"/>
      <name val="Arial"/>
      <family val="2"/>
      <charset val="238"/>
    </font>
    <font>
      <sz val="9"/>
      <color rgb="FF00B0F0"/>
      <name val="Arial"/>
      <family val="2"/>
      <charset val="238"/>
    </font>
  </fonts>
  <fills count="9">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CCFF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0"/>
      </left>
      <right style="thin">
        <color indexed="0"/>
      </right>
      <top style="thin">
        <color indexed="64"/>
      </top>
      <bottom/>
      <diagonal/>
    </border>
    <border>
      <left style="thin">
        <color indexed="0"/>
      </left>
      <right style="thin">
        <color indexed="0"/>
      </right>
      <top/>
      <bottom style="thin">
        <color indexed="0"/>
      </bottom>
      <diagonal/>
    </border>
    <border>
      <left/>
      <right/>
      <top style="thin">
        <color indexed="64"/>
      </top>
      <bottom/>
      <diagonal/>
    </border>
    <border>
      <left style="thin">
        <color indexed="0"/>
      </left>
      <right style="thin">
        <color indexed="0"/>
      </right>
      <top/>
      <bottom/>
      <diagonal/>
    </border>
    <border>
      <left style="thin">
        <color indexed="0"/>
      </left>
      <right/>
      <top/>
      <bottom/>
      <diagonal/>
    </border>
    <border>
      <left style="thin">
        <color indexed="0"/>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0"/>
      </left>
      <right/>
      <top style="thin">
        <color indexed="0"/>
      </top>
      <bottom/>
      <diagonal/>
    </border>
    <border>
      <left/>
      <right style="thin">
        <color indexed="0"/>
      </right>
      <top style="thin">
        <color indexed="0"/>
      </top>
      <bottom/>
      <diagonal/>
    </border>
    <border>
      <left style="thin">
        <color indexed="0"/>
      </left>
      <right style="thin">
        <color indexed="0"/>
      </right>
      <top style="thin">
        <color indexed="0"/>
      </top>
      <bottom/>
      <diagonal/>
    </border>
    <border>
      <left/>
      <right/>
      <top style="thin">
        <color indexed="0"/>
      </top>
      <bottom/>
      <diagonal/>
    </border>
    <border>
      <left/>
      <right style="thin">
        <color indexed="0"/>
      </right>
      <top/>
      <bottom/>
      <diagonal/>
    </border>
    <border>
      <left style="thin">
        <color indexed="0"/>
      </left>
      <right/>
      <top/>
      <bottom style="thin">
        <color indexed="0"/>
      </bottom>
      <diagonal/>
    </border>
    <border>
      <left/>
      <right style="thin">
        <color indexed="0"/>
      </right>
      <top/>
      <bottom style="thin">
        <color indexed="0"/>
      </bottom>
      <diagonal/>
    </border>
    <border>
      <left/>
      <right/>
      <top/>
      <bottom style="thin">
        <color indexed="0"/>
      </bottom>
      <diagonal/>
    </border>
    <border>
      <left style="thin">
        <color indexed="64"/>
      </left>
      <right style="thin">
        <color indexed="0"/>
      </right>
      <top/>
      <bottom/>
      <diagonal/>
    </border>
    <border>
      <left style="thin">
        <color indexed="0"/>
      </left>
      <right style="thin">
        <color indexed="64"/>
      </right>
      <top/>
      <bottom style="thin">
        <color indexed="64"/>
      </bottom>
      <diagonal/>
    </border>
    <border>
      <left style="thin">
        <color indexed="64"/>
      </left>
      <right style="thin">
        <color indexed="0"/>
      </right>
      <top/>
      <bottom style="thin">
        <color indexed="64"/>
      </bottom>
      <diagonal/>
    </border>
  </borders>
  <cellStyleXfs count="2">
    <xf numFmtId="0" fontId="0" fillId="0" borderId="0"/>
    <xf numFmtId="0" fontId="5" fillId="0" borderId="0"/>
  </cellStyleXfs>
  <cellXfs count="792">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9" fontId="4" fillId="0" borderId="1" xfId="0" applyNumberFormat="1" applyFont="1" applyBorder="1" applyAlignment="1">
      <alignment horizontal="center" vertical="center"/>
    </xf>
    <xf numFmtId="0" fontId="8" fillId="0" borderId="0" xfId="0" applyFont="1" applyAlignment="1">
      <alignment vertical="center"/>
    </xf>
    <xf numFmtId="0" fontId="6"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4" fontId="6"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xf>
    <xf numFmtId="0" fontId="8" fillId="2" borderId="3" xfId="0" applyFont="1" applyFill="1" applyBorder="1" applyAlignment="1">
      <alignment vertical="center"/>
    </xf>
    <xf numFmtId="49" fontId="8" fillId="2" borderId="3" xfId="0" applyNumberFormat="1" applyFont="1" applyFill="1" applyBorder="1" applyAlignment="1">
      <alignment vertical="center"/>
    </xf>
    <xf numFmtId="4" fontId="8" fillId="2" borderId="2" xfId="0" applyNumberFormat="1" applyFont="1" applyFill="1" applyBorder="1" applyAlignment="1">
      <alignment vertical="center"/>
    </xf>
    <xf numFmtId="164" fontId="8" fillId="2" borderId="2" xfId="0" applyNumberFormat="1" applyFont="1" applyFill="1" applyBorder="1" applyAlignment="1">
      <alignment horizontal="center" vertical="center"/>
    </xf>
    <xf numFmtId="4" fontId="6" fillId="0" borderId="2" xfId="0" applyNumberFormat="1" applyFont="1" applyBorder="1" applyAlignment="1">
      <alignment vertical="center"/>
    </xf>
    <xf numFmtId="164" fontId="6" fillId="0" borderId="2" xfId="0" applyNumberFormat="1" applyFont="1" applyBorder="1" applyAlignment="1">
      <alignment horizontal="center" vertical="center"/>
    </xf>
    <xf numFmtId="0" fontId="8" fillId="2" borderId="4" xfId="0" applyFont="1" applyFill="1" applyBorder="1" applyAlignment="1">
      <alignment vertical="center"/>
    </xf>
    <xf numFmtId="0" fontId="8" fillId="2" borderId="4" xfId="0" applyFont="1" applyFill="1" applyBorder="1" applyAlignment="1">
      <alignment horizontal="center" vertical="center"/>
    </xf>
    <xf numFmtId="4" fontId="8" fillId="2" borderId="4" xfId="0" applyNumberFormat="1" applyFont="1" applyFill="1" applyBorder="1" applyAlignment="1">
      <alignment vertical="center"/>
    </xf>
    <xf numFmtId="164" fontId="8" fillId="2" borderId="4" xfId="0" applyNumberFormat="1" applyFont="1" applyFill="1" applyBorder="1" applyAlignment="1">
      <alignment horizontal="center" vertical="center"/>
    </xf>
    <xf numFmtId="0" fontId="8" fillId="2" borderId="5" xfId="0" applyFont="1" applyFill="1" applyBorder="1" applyAlignment="1">
      <alignment vertical="center"/>
    </xf>
    <xf numFmtId="0" fontId="8" fillId="2" borderId="6" xfId="0" applyFont="1" applyFill="1" applyBorder="1" applyAlignment="1">
      <alignment vertical="center"/>
    </xf>
    <xf numFmtId="0" fontId="8" fillId="2" borderId="5" xfId="0" applyFont="1" applyFill="1" applyBorder="1" applyAlignment="1">
      <alignment horizontal="center" vertical="center"/>
    </xf>
    <xf numFmtId="4" fontId="8" fillId="2" borderId="5" xfId="0" applyNumberFormat="1" applyFont="1" applyFill="1" applyBorder="1" applyAlignment="1">
      <alignment vertical="center"/>
    </xf>
    <xf numFmtId="164" fontId="8" fillId="2" borderId="5" xfId="0" applyNumberFormat="1" applyFont="1" applyFill="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vertical="center"/>
    </xf>
    <xf numFmtId="4" fontId="8" fillId="0" borderId="4" xfId="0" applyNumberFormat="1" applyFont="1" applyBorder="1" applyAlignment="1">
      <alignment vertical="center"/>
    </xf>
    <xf numFmtId="164" fontId="8" fillId="0" borderId="4" xfId="0" applyNumberFormat="1" applyFont="1" applyBorder="1" applyAlignment="1">
      <alignment horizontal="center" vertical="center"/>
    </xf>
    <xf numFmtId="0" fontId="8" fillId="0" borderId="3" xfId="0" applyFont="1" applyBorder="1" applyAlignment="1">
      <alignment vertical="center"/>
    </xf>
    <xf numFmtId="0" fontId="6" fillId="0" borderId="2" xfId="0" applyFont="1" applyBorder="1" applyAlignment="1">
      <alignment vertical="center"/>
    </xf>
    <xf numFmtId="49" fontId="8" fillId="0" borderId="2" xfId="0" applyNumberFormat="1" applyFont="1" applyBorder="1" applyAlignment="1">
      <alignment vertical="center"/>
    </xf>
    <xf numFmtId="4" fontId="8" fillId="0" borderId="2" xfId="0" applyNumberFormat="1" applyFont="1" applyBorder="1" applyAlignment="1">
      <alignment vertical="center"/>
    </xf>
    <xf numFmtId="164" fontId="8" fillId="0" borderId="2" xfId="0" applyNumberFormat="1" applyFont="1" applyBorder="1" applyAlignment="1">
      <alignment horizontal="center" vertical="center"/>
    </xf>
    <xf numFmtId="4" fontId="8" fillId="0" borderId="2" xfId="0" applyNumberFormat="1" applyFont="1" applyFill="1" applyBorder="1" applyAlignment="1">
      <alignment vertical="center"/>
    </xf>
    <xf numFmtId="0" fontId="8" fillId="0" borderId="5" xfId="0" applyFont="1" applyBorder="1" applyAlignment="1">
      <alignment horizontal="center" vertical="center"/>
    </xf>
    <xf numFmtId="0" fontId="8" fillId="0" borderId="6" xfId="0" applyFont="1" applyBorder="1" applyAlignment="1">
      <alignment vertical="center"/>
    </xf>
    <xf numFmtId="4" fontId="8" fillId="0" borderId="6" xfId="0" applyNumberFormat="1" applyFont="1" applyBorder="1" applyAlignment="1">
      <alignment vertical="center"/>
    </xf>
    <xf numFmtId="164" fontId="8" fillId="0" borderId="5" xfId="0" applyNumberFormat="1" applyFont="1" applyBorder="1" applyAlignment="1">
      <alignment horizontal="center" vertical="center"/>
    </xf>
    <xf numFmtId="4" fontId="8" fillId="0" borderId="0" xfId="0" applyNumberFormat="1" applyFont="1" applyFill="1" applyAlignment="1">
      <alignment vertical="center"/>
    </xf>
    <xf numFmtId="0" fontId="8" fillId="0" borderId="0" xfId="0" applyFont="1" applyFill="1" applyAlignment="1">
      <alignment vertical="center"/>
    </xf>
    <xf numFmtId="0" fontId="3" fillId="0" borderId="0" xfId="0" applyFont="1" applyFill="1" applyAlignment="1">
      <alignment horizontal="center" vertical="center"/>
    </xf>
    <xf numFmtId="49" fontId="4" fillId="0" borderId="0" xfId="0" applyNumberFormat="1" applyFont="1" applyFill="1" applyAlignment="1">
      <alignment horizontal="center" vertical="center"/>
    </xf>
    <xf numFmtId="0" fontId="7" fillId="0" borderId="0" xfId="0" applyFont="1"/>
    <xf numFmtId="0" fontId="8" fillId="0" borderId="2" xfId="0" applyFont="1" applyBorder="1" applyAlignment="1">
      <alignment vertical="center" wrapText="1"/>
    </xf>
    <xf numFmtId="0" fontId="8" fillId="0" borderId="3" xfId="0" applyFont="1" applyBorder="1" applyAlignment="1">
      <alignment vertical="top" wrapText="1"/>
    </xf>
    <xf numFmtId="49" fontId="8" fillId="0" borderId="5" xfId="0" applyNumberFormat="1" applyFont="1" applyBorder="1" applyAlignment="1">
      <alignment vertical="center"/>
    </xf>
    <xf numFmtId="0" fontId="8" fillId="0" borderId="2" xfId="0" applyFont="1" applyBorder="1" applyAlignment="1">
      <alignment horizontal="center" vertical="center" wrapText="1"/>
    </xf>
    <xf numFmtId="0" fontId="20" fillId="2" borderId="4" xfId="0" applyFont="1" applyFill="1" applyBorder="1" applyAlignment="1">
      <alignment vertical="center"/>
    </xf>
    <xf numFmtId="0" fontId="20" fillId="2" borderId="5" xfId="0" applyFont="1" applyFill="1" applyBorder="1" applyAlignment="1">
      <alignment vertical="center"/>
    </xf>
    <xf numFmtId="0" fontId="20" fillId="0" borderId="7" xfId="0" applyFont="1" applyBorder="1" applyAlignment="1">
      <alignment vertical="center"/>
    </xf>
    <xf numFmtId="4" fontId="20" fillId="0" borderId="6" xfId="0" applyNumberFormat="1" applyFont="1" applyBorder="1" applyAlignment="1">
      <alignment vertical="center"/>
    </xf>
    <xf numFmtId="49" fontId="8" fillId="0" borderId="6" xfId="0" applyNumberFormat="1" applyFont="1" applyBorder="1" applyAlignment="1">
      <alignment vertical="center"/>
    </xf>
    <xf numFmtId="49" fontId="8" fillId="0" borderId="3" xfId="0" applyNumberFormat="1" applyFont="1" applyBorder="1" applyAlignment="1">
      <alignment vertical="center"/>
    </xf>
    <xf numFmtId="4" fontId="8" fillId="0" borderId="3" xfId="0" applyNumberFormat="1" applyFont="1" applyBorder="1" applyAlignment="1">
      <alignment vertical="center"/>
    </xf>
    <xf numFmtId="0" fontId="8" fillId="0" borderId="5" xfId="0" applyFont="1" applyBorder="1" applyAlignment="1">
      <alignment horizontal="center" vertical="center" wrapText="1"/>
    </xf>
    <xf numFmtId="0" fontId="10" fillId="0" borderId="0" xfId="0" applyFont="1" applyAlignment="1">
      <alignment horizontal="left"/>
    </xf>
    <xf numFmtId="4" fontId="11" fillId="0" borderId="1" xfId="0" applyNumberFormat="1" applyFont="1" applyFill="1" applyBorder="1" applyAlignment="1">
      <alignment horizontal="center" vertical="center" wrapText="1"/>
    </xf>
    <xf numFmtId="4" fontId="6" fillId="0" borderId="2" xfId="0" applyNumberFormat="1" applyFont="1" applyFill="1" applyBorder="1" applyAlignment="1">
      <alignment vertical="center"/>
    </xf>
    <xf numFmtId="0" fontId="8" fillId="0" borderId="7" xfId="0" applyFont="1" applyFill="1" applyBorder="1" applyAlignment="1">
      <alignment vertical="center"/>
    </xf>
    <xf numFmtId="0" fontId="6" fillId="0" borderId="3" xfId="0" applyFont="1" applyBorder="1" applyAlignment="1">
      <alignment vertical="center"/>
    </xf>
    <xf numFmtId="0" fontId="8" fillId="0" borderId="2" xfId="0" applyFont="1" applyBorder="1" applyAlignment="1">
      <alignment vertical="center"/>
    </xf>
    <xf numFmtId="0" fontId="8" fillId="0" borderId="5" xfId="0" applyFont="1" applyBorder="1" applyAlignment="1">
      <alignment vertical="center"/>
    </xf>
    <xf numFmtId="4" fontId="6" fillId="2" borderId="2" xfId="0" applyNumberFormat="1" applyFont="1" applyFill="1" applyBorder="1" applyAlignment="1">
      <alignment horizontal="center" vertical="center"/>
    </xf>
    <xf numFmtId="4" fontId="8" fillId="2" borderId="2" xfId="0" applyNumberFormat="1" applyFont="1" applyFill="1" applyBorder="1" applyAlignment="1">
      <alignment horizontal="right" vertical="center"/>
    </xf>
    <xf numFmtId="4" fontId="8" fillId="2" borderId="2" xfId="0" applyNumberFormat="1" applyFont="1" applyFill="1" applyBorder="1" applyAlignment="1">
      <alignment horizontal="center" vertical="center"/>
    </xf>
    <xf numFmtId="4" fontId="6" fillId="0" borderId="2" xfId="0" applyNumberFormat="1" applyFont="1" applyBorder="1" applyAlignment="1">
      <alignment horizontal="center" vertical="center"/>
    </xf>
    <xf numFmtId="4" fontId="8" fillId="0" borderId="2" xfId="0" applyNumberFormat="1" applyFont="1" applyBorder="1" applyAlignment="1">
      <alignment horizontal="right" vertical="center"/>
    </xf>
    <xf numFmtId="4" fontId="8" fillId="0" borderId="2" xfId="0" applyNumberFormat="1" applyFont="1" applyBorder="1" applyAlignment="1">
      <alignment horizontal="center" vertical="center"/>
    </xf>
    <xf numFmtId="2" fontId="8" fillId="0" borderId="2" xfId="0" applyNumberFormat="1" applyFont="1" applyBorder="1" applyAlignment="1">
      <alignment horizontal="right" vertical="center"/>
    </xf>
    <xf numFmtId="3" fontId="3"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8" fillId="2" borderId="4" xfId="0" applyNumberFormat="1" applyFont="1" applyFill="1" applyBorder="1" applyAlignment="1">
      <alignment vertical="center"/>
    </xf>
    <xf numFmtId="3" fontId="6" fillId="2" borderId="2" xfId="0" applyNumberFormat="1" applyFont="1" applyFill="1" applyBorder="1" applyAlignment="1">
      <alignment vertical="center"/>
    </xf>
    <xf numFmtId="3" fontId="8" fillId="2" borderId="2" xfId="0" applyNumberFormat="1" applyFont="1" applyFill="1" applyBorder="1" applyAlignment="1">
      <alignment vertical="center"/>
    </xf>
    <xf numFmtId="3" fontId="8" fillId="2" borderId="5" xfId="0" applyNumberFormat="1" applyFont="1" applyFill="1" applyBorder="1" applyAlignment="1">
      <alignment vertical="center"/>
    </xf>
    <xf numFmtId="3" fontId="8" fillId="0" borderId="4" xfId="0" applyNumberFormat="1" applyFont="1" applyBorder="1" applyAlignment="1">
      <alignment vertical="center"/>
    </xf>
    <xf numFmtId="3" fontId="8" fillId="0" borderId="7" xfId="0" applyNumberFormat="1" applyFont="1" applyBorder="1" applyAlignment="1">
      <alignment vertical="center"/>
    </xf>
    <xf numFmtId="3" fontId="6" fillId="0" borderId="2" xfId="0" applyNumberFormat="1" applyFont="1" applyBorder="1" applyAlignment="1">
      <alignment vertical="center"/>
    </xf>
    <xf numFmtId="3" fontId="8" fillId="0" borderId="2" xfId="0" applyNumberFormat="1" applyFont="1" applyBorder="1" applyAlignment="1">
      <alignment vertical="center"/>
    </xf>
    <xf numFmtId="3" fontId="8" fillId="0" borderId="2" xfId="0" applyNumberFormat="1" applyFont="1" applyFill="1" applyBorder="1" applyAlignment="1">
      <alignment vertical="center"/>
    </xf>
    <xf numFmtId="3" fontId="8" fillId="0" borderId="5" xfId="0" applyNumberFormat="1" applyFont="1" applyBorder="1" applyAlignment="1">
      <alignment vertical="center"/>
    </xf>
    <xf numFmtId="3" fontId="8" fillId="0" borderId="3" xfId="0" applyNumberFormat="1" applyFont="1" applyBorder="1" applyAlignment="1">
      <alignment vertical="center"/>
    </xf>
    <xf numFmtId="3" fontId="6" fillId="0" borderId="2" xfId="0" applyNumberFormat="1" applyFont="1" applyFill="1" applyBorder="1" applyAlignment="1">
      <alignment vertical="center"/>
    </xf>
    <xf numFmtId="3" fontId="8" fillId="0" borderId="4" xfId="0" applyNumberFormat="1" applyFont="1" applyFill="1" applyBorder="1" applyAlignment="1">
      <alignment vertical="center"/>
    </xf>
    <xf numFmtId="0" fontId="6" fillId="0" borderId="7" xfId="0" applyFont="1" applyBorder="1" applyAlignment="1">
      <alignment vertical="center"/>
    </xf>
    <xf numFmtId="164" fontId="8" fillId="0" borderId="8" xfId="0" applyNumberFormat="1" applyFont="1" applyBorder="1" applyAlignment="1">
      <alignment horizontal="center" vertical="center"/>
    </xf>
    <xf numFmtId="164" fontId="8" fillId="0" borderId="9" xfId="0" applyNumberFormat="1" applyFont="1" applyBorder="1" applyAlignment="1">
      <alignment horizontal="center" vertical="center"/>
    </xf>
    <xf numFmtId="0" fontId="6" fillId="0" borderId="6" xfId="0" applyFont="1" applyBorder="1" applyAlignment="1">
      <alignment vertical="center"/>
    </xf>
    <xf numFmtId="164" fontId="8" fillId="0" borderId="10" xfId="0" applyNumberFormat="1" applyFont="1" applyBorder="1" applyAlignment="1">
      <alignment horizontal="center" vertical="center"/>
    </xf>
    <xf numFmtId="4" fontId="6" fillId="0" borderId="7" xfId="0" applyNumberFormat="1" applyFont="1" applyBorder="1" applyAlignment="1">
      <alignment vertical="center"/>
    </xf>
    <xf numFmtId="4" fontId="8" fillId="0" borderId="9" xfId="0" applyNumberFormat="1" applyFont="1" applyBorder="1" applyAlignment="1">
      <alignment vertical="center"/>
    </xf>
    <xf numFmtId="164" fontId="8" fillId="0" borderId="3" xfId="0" applyNumberFormat="1" applyFont="1" applyBorder="1" applyAlignment="1">
      <alignment horizontal="center" vertical="center"/>
    </xf>
    <xf numFmtId="164" fontId="8" fillId="0" borderId="6" xfId="0" applyNumberFormat="1" applyFont="1" applyBorder="1" applyAlignment="1">
      <alignment horizontal="center" vertical="center"/>
    </xf>
    <xf numFmtId="4" fontId="6" fillId="7" borderId="2" xfId="0" applyNumberFormat="1" applyFont="1" applyFill="1" applyBorder="1" applyAlignment="1">
      <alignment vertical="center"/>
    </xf>
    <xf numFmtId="0" fontId="6" fillId="8" borderId="2"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2" xfId="0" applyFont="1" applyFill="1" applyBorder="1" applyAlignment="1">
      <alignment vertical="center"/>
    </xf>
    <xf numFmtId="4" fontId="6" fillId="8" borderId="2" xfId="0" applyNumberFormat="1" applyFont="1" applyFill="1" applyBorder="1" applyAlignment="1">
      <alignment vertical="center"/>
    </xf>
    <xf numFmtId="164" fontId="6" fillId="8" borderId="2" xfId="0" applyNumberFormat="1" applyFont="1" applyFill="1" applyBorder="1" applyAlignment="1">
      <alignment horizontal="center" vertical="center"/>
    </xf>
    <xf numFmtId="0" fontId="8" fillId="8" borderId="3" xfId="0" applyFont="1" applyFill="1" applyBorder="1" applyAlignment="1">
      <alignment vertical="center"/>
    </xf>
    <xf numFmtId="49" fontId="8" fillId="8" borderId="3" xfId="0" applyNumberFormat="1" applyFont="1" applyFill="1" applyBorder="1" applyAlignment="1">
      <alignment vertical="center"/>
    </xf>
    <xf numFmtId="164" fontId="8" fillId="8" borderId="2" xfId="0" applyNumberFormat="1" applyFont="1" applyFill="1" applyBorder="1" applyAlignment="1">
      <alignment horizontal="center" vertical="center"/>
    </xf>
    <xf numFmtId="0" fontId="8" fillId="8" borderId="5" xfId="0" applyFont="1" applyFill="1" applyBorder="1" applyAlignment="1">
      <alignment vertical="center"/>
    </xf>
    <xf numFmtId="0" fontId="8" fillId="8" borderId="6" xfId="0" applyFont="1" applyFill="1" applyBorder="1" applyAlignment="1">
      <alignment vertical="center"/>
    </xf>
    <xf numFmtId="0" fontId="8" fillId="8" borderId="5" xfId="0" applyFont="1" applyFill="1" applyBorder="1" applyAlignment="1">
      <alignment horizontal="center" vertical="center"/>
    </xf>
    <xf numFmtId="164" fontId="8" fillId="8" borderId="5" xfId="0" applyNumberFormat="1" applyFont="1" applyFill="1" applyBorder="1" applyAlignment="1">
      <alignment horizontal="center" vertical="center"/>
    </xf>
    <xf numFmtId="0" fontId="8" fillId="0" borderId="4" xfId="0" applyFont="1" applyBorder="1" applyAlignment="1">
      <alignment horizontal="center" vertical="center" wrapText="1"/>
    </xf>
    <xf numFmtId="0" fontId="8" fillId="0" borderId="2" xfId="0"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3" fontId="8" fillId="0" borderId="2" xfId="0" applyNumberFormat="1" applyFont="1" applyBorder="1" applyAlignment="1">
      <alignment horizontal="center" vertical="center" wrapText="1"/>
    </xf>
    <xf numFmtId="0" fontId="20" fillId="2" borderId="6" xfId="0" applyFont="1" applyFill="1" applyBorder="1" applyAlignment="1">
      <alignment vertical="center"/>
    </xf>
    <xf numFmtId="0" fontId="20" fillId="2" borderId="5" xfId="0" applyFont="1" applyFill="1" applyBorder="1" applyAlignment="1">
      <alignment horizontal="center" vertical="center"/>
    </xf>
    <xf numFmtId="0" fontId="20" fillId="2" borderId="5" xfId="0" applyFont="1" applyFill="1" applyBorder="1" applyAlignment="1">
      <alignment horizontal="center" vertical="center" wrapText="1"/>
    </xf>
    <xf numFmtId="3" fontId="20" fillId="2" borderId="5" xfId="0" applyNumberFormat="1" applyFont="1" applyFill="1" applyBorder="1" applyAlignment="1">
      <alignment vertical="center"/>
    </xf>
    <xf numFmtId="164" fontId="20" fillId="2" borderId="5" xfId="0" applyNumberFormat="1" applyFont="1" applyFill="1" applyBorder="1" applyAlignment="1">
      <alignment horizontal="center" vertical="center"/>
    </xf>
    <xf numFmtId="3" fontId="20" fillId="2" borderId="10" xfId="0" applyNumberFormat="1" applyFont="1" applyFill="1" applyBorder="1" applyAlignment="1">
      <alignment vertical="center"/>
    </xf>
    <xf numFmtId="4" fontId="21" fillId="4" borderId="5" xfId="0" applyNumberFormat="1" applyFont="1" applyFill="1" applyBorder="1" applyAlignment="1">
      <alignment vertical="center" wrapText="1"/>
    </xf>
    <xf numFmtId="0" fontId="20" fillId="0" borderId="4" xfId="0" applyFont="1" applyBorder="1" applyAlignment="1">
      <alignment horizontal="center" vertical="center" wrapText="1"/>
    </xf>
    <xf numFmtId="3" fontId="20" fillId="0" borderId="7" xfId="0" applyNumberFormat="1" applyFont="1" applyBorder="1" applyAlignment="1">
      <alignment vertical="center"/>
    </xf>
    <xf numFmtId="164" fontId="20" fillId="0" borderId="2" xfId="0" applyNumberFormat="1" applyFont="1" applyBorder="1" applyAlignment="1">
      <alignment horizontal="center" vertical="center"/>
    </xf>
    <xf numFmtId="3" fontId="20" fillId="0" borderId="4" xfId="0" applyNumberFormat="1" applyFont="1" applyBorder="1" applyAlignment="1">
      <alignment vertical="center"/>
    </xf>
    <xf numFmtId="4" fontId="21" fillId="0" borderId="4" xfId="0" applyNumberFormat="1" applyFont="1" applyFill="1" applyBorder="1" applyAlignment="1">
      <alignment vertical="center" wrapText="1"/>
    </xf>
    <xf numFmtId="0" fontId="20" fillId="0" borderId="6" xfId="0" applyFont="1" applyBorder="1" applyAlignment="1">
      <alignment vertical="center"/>
    </xf>
    <xf numFmtId="0" fontId="20" fillId="0" borderId="5" xfId="0" applyFont="1" applyBorder="1" applyAlignment="1">
      <alignment horizontal="center" vertical="center" wrapText="1"/>
    </xf>
    <xf numFmtId="49" fontId="20" fillId="0" borderId="6" xfId="0" applyNumberFormat="1" applyFont="1" applyBorder="1" applyAlignment="1">
      <alignment vertical="center"/>
    </xf>
    <xf numFmtId="3" fontId="20" fillId="0" borderId="6" xfId="0" applyNumberFormat="1" applyFont="1" applyBorder="1" applyAlignment="1">
      <alignment vertical="center"/>
    </xf>
    <xf numFmtId="164" fontId="20" fillId="0" borderId="5" xfId="0" applyNumberFormat="1" applyFont="1" applyBorder="1" applyAlignment="1">
      <alignment horizontal="center" vertical="center"/>
    </xf>
    <xf numFmtId="3" fontId="20" fillId="0" borderId="5" xfId="0" applyNumberFormat="1" applyFont="1" applyBorder="1" applyAlignment="1">
      <alignment vertical="center"/>
    </xf>
    <xf numFmtId="4" fontId="20" fillId="0" borderId="6" xfId="0" applyNumberFormat="1" applyFont="1" applyFill="1" applyBorder="1" applyAlignment="1">
      <alignment vertical="center"/>
    </xf>
    <xf numFmtId="164" fontId="20" fillId="0" borderId="4" xfId="0" applyNumberFormat="1" applyFont="1" applyBorder="1" applyAlignment="1">
      <alignment horizontal="center" vertical="center"/>
    </xf>
    <xf numFmtId="3" fontId="8" fillId="0" borderId="0" xfId="0" applyNumberFormat="1" applyFont="1" applyBorder="1" applyAlignment="1">
      <alignment vertical="center"/>
    </xf>
    <xf numFmtId="0" fontId="20" fillId="0" borderId="3" xfId="0" applyFont="1" applyBorder="1" applyAlignment="1">
      <alignment vertical="center"/>
    </xf>
    <xf numFmtId="0" fontId="20" fillId="0" borderId="7" xfId="0" applyFont="1" applyFill="1" applyBorder="1" applyAlignment="1">
      <alignment vertical="center"/>
    </xf>
    <xf numFmtId="3" fontId="8" fillId="0" borderId="2" xfId="0" applyNumberFormat="1" applyFont="1" applyBorder="1" applyAlignment="1">
      <alignment horizontal="right" vertical="center" wrapText="1"/>
    </xf>
    <xf numFmtId="43" fontId="8" fillId="0" borderId="2" xfId="0" applyNumberFormat="1" applyFont="1" applyFill="1" applyBorder="1" applyAlignment="1">
      <alignment horizontal="right" vertical="center" wrapText="1"/>
    </xf>
    <xf numFmtId="41" fontId="8" fillId="0" borderId="2" xfId="0" applyNumberFormat="1" applyFont="1" applyBorder="1" applyAlignment="1">
      <alignment horizontal="right" vertical="center" wrapText="1"/>
    </xf>
    <xf numFmtId="3" fontId="8" fillId="0" borderId="6" xfId="0" applyNumberFormat="1" applyFont="1" applyBorder="1" applyAlignment="1">
      <alignment vertical="center"/>
    </xf>
    <xf numFmtId="3" fontId="20" fillId="0" borderId="2" xfId="0" applyNumberFormat="1" applyFont="1" applyBorder="1" applyAlignment="1">
      <alignment vertical="center"/>
    </xf>
    <xf numFmtId="0" fontId="20" fillId="0" borderId="4" xfId="0" applyFont="1" applyBorder="1" applyAlignment="1">
      <alignment horizontal="center" vertical="center"/>
    </xf>
    <xf numFmtId="3" fontId="20" fillId="0" borderId="2" xfId="0" applyNumberFormat="1" applyFont="1" applyFill="1" applyBorder="1" applyAlignment="1">
      <alignment vertical="center"/>
    </xf>
    <xf numFmtId="3" fontId="6" fillId="0" borderId="2" xfId="0" applyNumberFormat="1" applyFont="1" applyBorder="1" applyAlignment="1">
      <alignment horizontal="center" vertical="center"/>
    </xf>
    <xf numFmtId="164" fontId="8" fillId="0" borderId="7" xfId="0" applyNumberFormat="1" applyFont="1" applyBorder="1" applyAlignment="1">
      <alignment horizontal="center" vertical="center"/>
    </xf>
    <xf numFmtId="164" fontId="8" fillId="0" borderId="2" xfId="0" applyNumberFormat="1" applyFont="1" applyBorder="1" applyAlignment="1">
      <alignment horizontal="center" vertical="center" wrapText="1"/>
    </xf>
    <xf numFmtId="164" fontId="20" fillId="0" borderId="2" xfId="0" applyNumberFormat="1" applyFont="1" applyFill="1" applyBorder="1" applyAlignment="1">
      <alignment horizontal="center" vertical="center"/>
    </xf>
    <xf numFmtId="0" fontId="13" fillId="2" borderId="4" xfId="1" applyFont="1" applyFill="1" applyBorder="1" applyAlignment="1">
      <alignment vertical="center"/>
    </xf>
    <xf numFmtId="0" fontId="13" fillId="2" borderId="7" xfId="1" applyFont="1" applyFill="1" applyBorder="1" applyAlignment="1">
      <alignment vertical="center"/>
    </xf>
    <xf numFmtId="0" fontId="13" fillId="2" borderId="4" xfId="1" applyFont="1" applyFill="1" applyBorder="1" applyAlignment="1">
      <alignment horizontal="center" vertical="center"/>
    </xf>
    <xf numFmtId="164" fontId="13" fillId="2" borderId="2" xfId="1" applyNumberFormat="1" applyFont="1" applyFill="1" applyBorder="1" applyAlignment="1">
      <alignment horizontal="center" vertical="center"/>
    </xf>
    <xf numFmtId="3" fontId="13" fillId="2" borderId="4" xfId="1" applyNumberFormat="1" applyFont="1" applyFill="1" applyBorder="1" applyAlignment="1">
      <alignment vertical="center"/>
    </xf>
    <xf numFmtId="164" fontId="13" fillId="2" borderId="4" xfId="1" applyNumberFormat="1" applyFont="1" applyFill="1" applyBorder="1" applyAlignment="1">
      <alignment horizontal="center" vertical="center"/>
    </xf>
    <xf numFmtId="0" fontId="12" fillId="2" borderId="2" xfId="1" applyFont="1" applyFill="1" applyBorder="1" applyAlignment="1">
      <alignment horizontal="center" vertical="center"/>
    </xf>
    <xf numFmtId="0" fontId="13" fillId="2" borderId="2" xfId="1" applyFont="1" applyFill="1" applyBorder="1" applyAlignment="1">
      <alignment horizontal="center" vertical="center"/>
    </xf>
    <xf numFmtId="0" fontId="13" fillId="2" borderId="2" xfId="1" applyFont="1" applyFill="1" applyBorder="1" applyAlignment="1">
      <alignment vertical="center"/>
    </xf>
    <xf numFmtId="4" fontId="12" fillId="2" borderId="2" xfId="1" applyNumberFormat="1" applyFont="1" applyFill="1" applyBorder="1" applyAlignment="1">
      <alignment vertical="center"/>
    </xf>
    <xf numFmtId="164" fontId="12" fillId="2" borderId="2" xfId="1" applyNumberFormat="1" applyFont="1" applyFill="1" applyBorder="1" applyAlignment="1">
      <alignment horizontal="center" vertical="center"/>
    </xf>
    <xf numFmtId="3" fontId="12" fillId="2" borderId="2" xfId="1" applyNumberFormat="1" applyFont="1" applyFill="1" applyBorder="1" applyAlignment="1">
      <alignment vertical="center"/>
    </xf>
    <xf numFmtId="49" fontId="13" fillId="2" borderId="3" xfId="1" applyNumberFormat="1" applyFont="1" applyFill="1" applyBorder="1" applyAlignment="1">
      <alignment vertical="center" wrapText="1"/>
    </xf>
    <xf numFmtId="4" fontId="13" fillId="2" borderId="2" xfId="1" applyNumberFormat="1" applyFont="1" applyFill="1" applyBorder="1" applyAlignment="1">
      <alignment vertical="center"/>
    </xf>
    <xf numFmtId="3" fontId="13" fillId="2" borderId="2" xfId="1" applyNumberFormat="1" applyFont="1" applyFill="1" applyBorder="1" applyAlignment="1">
      <alignment vertical="center"/>
    </xf>
    <xf numFmtId="49" fontId="13" fillId="2" borderId="3" xfId="1" applyNumberFormat="1" applyFont="1" applyFill="1" applyBorder="1" applyAlignment="1">
      <alignment vertical="center"/>
    </xf>
    <xf numFmtId="0" fontId="13" fillId="2" borderId="5" xfId="1" applyFont="1" applyFill="1" applyBorder="1" applyAlignment="1">
      <alignment vertical="center"/>
    </xf>
    <xf numFmtId="0" fontId="13" fillId="2" borderId="6" xfId="1" applyFont="1" applyFill="1" applyBorder="1" applyAlignment="1">
      <alignment vertical="center"/>
    </xf>
    <xf numFmtId="0" fontId="13" fillId="2" borderId="5" xfId="1" applyFont="1" applyFill="1" applyBorder="1" applyAlignment="1">
      <alignment horizontal="center" vertical="center"/>
    </xf>
    <xf numFmtId="164" fontId="13" fillId="2" borderId="5" xfId="1" applyNumberFormat="1" applyFont="1" applyFill="1" applyBorder="1" applyAlignment="1">
      <alignment horizontal="center" vertical="center"/>
    </xf>
    <xf numFmtId="3" fontId="13" fillId="2" borderId="5" xfId="1" applyNumberFormat="1" applyFont="1" applyFill="1" applyBorder="1" applyAlignment="1">
      <alignment vertical="center"/>
    </xf>
    <xf numFmtId="0" fontId="13" fillId="0" borderId="3" xfId="1" applyFont="1" applyBorder="1" applyAlignment="1">
      <alignment vertical="center" wrapText="1"/>
    </xf>
    <xf numFmtId="0" fontId="12" fillId="0" borderId="2" xfId="1" applyFont="1" applyBorder="1" applyAlignment="1">
      <alignment vertical="center" wrapText="1"/>
    </xf>
    <xf numFmtId="4" fontId="12" fillId="0" borderId="2" xfId="1" applyNumberFormat="1" applyFont="1" applyBorder="1" applyAlignment="1">
      <alignment vertical="center"/>
    </xf>
    <xf numFmtId="3" fontId="12" fillId="0" borderId="2" xfId="1" applyNumberFormat="1" applyFont="1" applyBorder="1" applyAlignment="1">
      <alignment vertical="center"/>
    </xf>
    <xf numFmtId="0" fontId="13" fillId="0" borderId="3" xfId="1" applyFont="1" applyBorder="1" applyAlignment="1">
      <alignment vertical="center"/>
    </xf>
    <xf numFmtId="49" fontId="13" fillId="0" borderId="2" xfId="1" applyNumberFormat="1" applyFont="1" applyBorder="1" applyAlignment="1">
      <alignment vertical="center" wrapText="1"/>
    </xf>
    <xf numFmtId="2" fontId="13" fillId="0" borderId="2" xfId="1" applyNumberFormat="1" applyFont="1" applyBorder="1" applyAlignment="1">
      <alignment horizontal="right" vertical="center"/>
    </xf>
    <xf numFmtId="3" fontId="13" fillId="0" borderId="2" xfId="1" applyNumberFormat="1" applyFont="1" applyBorder="1" applyAlignment="1">
      <alignment vertical="center"/>
    </xf>
    <xf numFmtId="0" fontId="13" fillId="0" borderId="6" xfId="1" applyFont="1" applyBorder="1" applyAlignment="1">
      <alignment vertical="center"/>
    </xf>
    <xf numFmtId="49" fontId="13" fillId="0" borderId="5" xfId="1" applyNumberFormat="1" applyFont="1" applyBorder="1" applyAlignment="1">
      <alignment vertical="center"/>
    </xf>
    <xf numFmtId="3" fontId="13" fillId="0" borderId="5" xfId="1" applyNumberFormat="1" applyFont="1" applyBorder="1" applyAlignment="1">
      <alignment vertical="center"/>
    </xf>
    <xf numFmtId="3" fontId="8" fillId="0" borderId="2" xfId="0" applyNumberFormat="1" applyFont="1" applyBorder="1" applyAlignment="1">
      <alignment horizontal="right" vertical="center"/>
    </xf>
    <xf numFmtId="3" fontId="8" fillId="0" borderId="8" xfId="0" applyNumberFormat="1" applyFont="1" applyBorder="1" applyAlignment="1">
      <alignment vertical="center"/>
    </xf>
    <xf numFmtId="3" fontId="8" fillId="0" borderId="9" xfId="0" applyNumberFormat="1" applyFont="1" applyBorder="1" applyAlignment="1">
      <alignment vertical="center"/>
    </xf>
    <xf numFmtId="3" fontId="8" fillId="0" borderId="10" xfId="0" applyNumberFormat="1" applyFont="1" applyBorder="1" applyAlignment="1">
      <alignment vertical="center"/>
    </xf>
    <xf numFmtId="3" fontId="6" fillId="8" borderId="2" xfId="0" applyNumberFormat="1" applyFont="1" applyFill="1" applyBorder="1" applyAlignment="1">
      <alignment vertical="center"/>
    </xf>
    <xf numFmtId="3" fontId="8" fillId="8" borderId="5" xfId="0" applyNumberFormat="1" applyFont="1" applyFill="1" applyBorder="1" applyAlignment="1">
      <alignment vertical="center"/>
    </xf>
    <xf numFmtId="4" fontId="8" fillId="7" borderId="2" xfId="0" applyNumberFormat="1"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horizontal="center" vertical="center"/>
    </xf>
    <xf numFmtId="0" fontId="1" fillId="0" borderId="3" xfId="0" applyFont="1" applyBorder="1" applyAlignment="1"/>
    <xf numFmtId="0" fontId="8" fillId="0" borderId="3" xfId="0" applyFont="1" applyBorder="1" applyAlignment="1">
      <alignment vertical="center" wrapText="1"/>
    </xf>
    <xf numFmtId="0" fontId="9" fillId="2" borderId="9" xfId="0" applyFont="1" applyFill="1" applyBorder="1" applyAlignment="1">
      <alignment vertical="center"/>
    </xf>
    <xf numFmtId="0" fontId="9" fillId="2" borderId="10" xfId="0" applyFont="1" applyFill="1" applyBorder="1" applyAlignment="1">
      <alignment vertical="center"/>
    </xf>
    <xf numFmtId="0" fontId="9" fillId="0" borderId="8" xfId="0" applyFont="1" applyBorder="1" applyAlignment="1">
      <alignment vertical="center" wrapText="1"/>
    </xf>
    <xf numFmtId="0" fontId="9" fillId="0" borderId="9" xfId="0" applyFont="1" applyBorder="1" applyAlignment="1">
      <alignment vertical="top" wrapText="1"/>
    </xf>
    <xf numFmtId="0" fontId="9" fillId="0" borderId="9" xfId="0" applyFont="1" applyBorder="1" applyAlignment="1">
      <alignment vertical="center"/>
    </xf>
    <xf numFmtId="0" fontId="9" fillId="0" borderId="9" xfId="0" applyFont="1" applyBorder="1" applyAlignment="1">
      <alignment vertical="center" wrapText="1"/>
    </xf>
    <xf numFmtId="0" fontId="9" fillId="0" borderId="10" xfId="0" applyFont="1" applyBorder="1" applyAlignment="1">
      <alignment vertical="center" wrapText="1"/>
    </xf>
    <xf numFmtId="0" fontId="9" fillId="2" borderId="8" xfId="1" applyFont="1" applyFill="1" applyBorder="1" applyAlignment="1">
      <alignment vertical="center"/>
    </xf>
    <xf numFmtId="0" fontId="9" fillId="2" borderId="10" xfId="1" applyFont="1" applyFill="1" applyBorder="1" applyAlignment="1">
      <alignment vertical="center"/>
    </xf>
    <xf numFmtId="0" fontId="9" fillId="0" borderId="9" xfId="1" applyFont="1" applyBorder="1" applyAlignment="1">
      <alignment vertical="center" wrapText="1"/>
    </xf>
    <xf numFmtId="0" fontId="9" fillId="0" borderId="10" xfId="1" applyFont="1" applyBorder="1" applyAlignment="1">
      <alignment vertical="center" wrapText="1"/>
    </xf>
    <xf numFmtId="0" fontId="9" fillId="0" borderId="8" xfId="0" applyFont="1" applyBorder="1" applyAlignment="1"/>
    <xf numFmtId="0" fontId="9" fillId="0" borderId="9" xfId="0" applyFont="1" applyBorder="1" applyAlignment="1"/>
    <xf numFmtId="0" fontId="9" fillId="0" borderId="0" xfId="0" applyFont="1" applyAlignment="1">
      <alignment vertical="center" wrapText="1"/>
    </xf>
    <xf numFmtId="0" fontId="9" fillId="0" borderId="10" xfId="0" applyFont="1" applyBorder="1" applyAlignment="1"/>
    <xf numFmtId="0" fontId="9" fillId="8" borderId="9" xfId="0" applyFont="1" applyFill="1" applyBorder="1" applyAlignment="1">
      <alignment vertical="center"/>
    </xf>
    <xf numFmtId="0" fontId="9" fillId="8" borderId="10" xfId="0" applyFont="1" applyFill="1" applyBorder="1" applyAlignment="1">
      <alignment vertical="center"/>
    </xf>
    <xf numFmtId="0" fontId="10" fillId="0" borderId="9" xfId="0" applyFont="1" applyBorder="1" applyAlignment="1">
      <alignment vertical="center" wrapText="1"/>
    </xf>
    <xf numFmtId="0" fontId="21" fillId="2" borderId="10" xfId="0" applyFont="1" applyFill="1" applyBorder="1" applyAlignment="1">
      <alignment vertical="center"/>
    </xf>
    <xf numFmtId="0" fontId="21" fillId="0" borderId="8" xfId="0" applyFont="1" applyBorder="1" applyAlignment="1">
      <alignment vertical="center" wrapText="1"/>
    </xf>
    <xf numFmtId="0" fontId="21" fillId="0" borderId="10" xfId="0" applyFont="1" applyBorder="1" applyAlignment="1">
      <alignment vertical="center" wrapText="1"/>
    </xf>
    <xf numFmtId="0" fontId="21" fillId="0" borderId="9" xfId="0" applyFont="1" applyBorder="1" applyAlignment="1">
      <alignment vertical="center" wrapText="1"/>
    </xf>
    <xf numFmtId="49" fontId="9" fillId="0" borderId="1" xfId="0" applyNumberFormat="1" applyFont="1" applyFill="1" applyBorder="1" applyAlignment="1">
      <alignment horizontal="center" vertical="center"/>
    </xf>
    <xf numFmtId="4" fontId="9" fillId="0" borderId="4" xfId="0" applyNumberFormat="1" applyFont="1" applyFill="1" applyBorder="1" applyAlignment="1">
      <alignment vertical="center"/>
    </xf>
    <xf numFmtId="4" fontId="9" fillId="0" borderId="5" xfId="0" applyNumberFormat="1" applyFont="1" applyFill="1" applyBorder="1" applyAlignment="1">
      <alignment vertical="center"/>
    </xf>
    <xf numFmtId="4" fontId="9" fillId="8" borderId="2" xfId="0" applyNumberFormat="1" applyFont="1" applyFill="1" applyBorder="1" applyAlignment="1">
      <alignment vertical="center"/>
    </xf>
    <xf numFmtId="4" fontId="9" fillId="8" borderId="5" xfId="0" applyNumberFormat="1" applyFont="1" applyFill="1" applyBorder="1" applyAlignment="1">
      <alignment vertical="center"/>
    </xf>
    <xf numFmtId="4" fontId="9" fillId="8" borderId="4" xfId="1" applyNumberFormat="1" applyFont="1" applyFill="1" applyBorder="1" applyAlignment="1">
      <alignment vertical="center"/>
    </xf>
    <xf numFmtId="4" fontId="9" fillId="8" borderId="2" xfId="1" applyNumberFormat="1" applyFont="1" applyFill="1" applyBorder="1" applyAlignment="1">
      <alignment vertical="center"/>
    </xf>
    <xf numFmtId="4" fontId="9" fillId="8" borderId="5" xfId="1" applyNumberFormat="1" applyFont="1" applyFill="1" applyBorder="1" applyAlignment="1">
      <alignment vertical="center"/>
    </xf>
    <xf numFmtId="4" fontId="9" fillId="8" borderId="4" xfId="0" applyNumberFormat="1" applyFont="1" applyFill="1" applyBorder="1" applyAlignment="1">
      <alignment vertical="center"/>
    </xf>
    <xf numFmtId="0" fontId="9" fillId="0" borderId="5" xfId="0" applyNumberFormat="1" applyFont="1" applyFill="1" applyBorder="1" applyAlignment="1">
      <alignment vertical="center" wrapText="1"/>
    </xf>
    <xf numFmtId="4" fontId="21" fillId="0" borderId="5" xfId="0" applyNumberFormat="1" applyFont="1" applyFill="1" applyBorder="1" applyAlignment="1">
      <alignment vertical="center" wrapText="1"/>
    </xf>
    <xf numFmtId="4" fontId="21" fillId="0" borderId="4" xfId="0" applyNumberFormat="1" applyFont="1" applyFill="1" applyBorder="1" applyAlignment="1">
      <alignment horizontal="left" vertical="center" wrapText="1"/>
    </xf>
    <xf numFmtId="3" fontId="20" fillId="2" borderId="4" xfId="0" applyNumberFormat="1" applyFont="1" applyFill="1" applyBorder="1" applyAlignment="1">
      <alignment vertical="center"/>
    </xf>
    <xf numFmtId="3" fontId="13" fillId="0" borderId="2" xfId="1" applyNumberFormat="1" applyFont="1" applyBorder="1" applyAlignment="1">
      <alignment horizontal="right" vertical="center"/>
    </xf>
    <xf numFmtId="3" fontId="6" fillId="0" borderId="7" xfId="0" applyNumberFormat="1" applyFont="1" applyBorder="1" applyAlignment="1">
      <alignment vertical="center"/>
    </xf>
    <xf numFmtId="3" fontId="6" fillId="7" borderId="2" xfId="0" applyNumberFormat="1" applyFont="1" applyFill="1" applyBorder="1" applyAlignment="1">
      <alignment vertical="center"/>
    </xf>
    <xf numFmtId="3" fontId="8" fillId="7" borderId="2" xfId="0" applyNumberFormat="1" applyFont="1" applyFill="1" applyBorder="1" applyAlignment="1">
      <alignment vertical="center"/>
    </xf>
    <xf numFmtId="0" fontId="8" fillId="0" borderId="2" xfId="0" applyFont="1" applyBorder="1" applyAlignment="1">
      <alignment horizontal="center" vertical="center"/>
    </xf>
    <xf numFmtId="0" fontId="22" fillId="0" borderId="0" xfId="0" applyFont="1"/>
    <xf numFmtId="4" fontId="23" fillId="0" borderId="0" xfId="0" applyNumberFormat="1" applyFont="1"/>
    <xf numFmtId="4" fontId="22" fillId="0" borderId="0" xfId="0" applyNumberFormat="1" applyFont="1"/>
    <xf numFmtId="3" fontId="22" fillId="0" borderId="0" xfId="0" applyNumberFormat="1" applyFont="1"/>
    <xf numFmtId="0" fontId="23" fillId="0" borderId="0" xfId="0" applyFont="1" applyAlignment="1">
      <alignment horizontal="left"/>
    </xf>
    <xf numFmtId="0" fontId="24" fillId="0" borderId="0" xfId="0" applyFont="1"/>
    <xf numFmtId="4" fontId="21" fillId="0" borderId="0" xfId="0" applyNumberFormat="1" applyFont="1"/>
    <xf numFmtId="4" fontId="24" fillId="0" borderId="0" xfId="0" applyNumberFormat="1" applyFont="1"/>
    <xf numFmtId="3" fontId="24" fillId="0" borderId="0" xfId="0" applyNumberFormat="1" applyFont="1"/>
    <xf numFmtId="0" fontId="24" fillId="0" borderId="0" xfId="0" applyFont="1" applyAlignment="1">
      <alignment vertical="center"/>
    </xf>
    <xf numFmtId="0" fontId="20" fillId="0" borderId="0" xfId="0" applyFont="1" applyAlignment="1">
      <alignment vertical="center"/>
    </xf>
    <xf numFmtId="0" fontId="24" fillId="0" borderId="0" xfId="0" applyFont="1" applyAlignment="1">
      <alignment horizontal="right"/>
    </xf>
    <xf numFmtId="0" fontId="21" fillId="0" borderId="0" xfId="0" applyFont="1" applyAlignment="1">
      <alignment vertical="center"/>
    </xf>
    <xf numFmtId="0" fontId="20" fillId="0" borderId="0" xfId="0" applyFont="1" applyAlignment="1">
      <alignment horizontal="center" vertical="center"/>
    </xf>
    <xf numFmtId="3" fontId="20" fillId="0" borderId="0" xfId="0" applyNumberFormat="1" applyFont="1" applyAlignment="1">
      <alignment vertical="center"/>
    </xf>
    <xf numFmtId="0" fontId="20" fillId="0" borderId="0" xfId="0" applyFont="1" applyFill="1" applyAlignment="1">
      <alignment vertical="center"/>
    </xf>
    <xf numFmtId="0" fontId="25" fillId="0" borderId="0" xfId="0" applyFont="1" applyFill="1" applyAlignment="1">
      <alignment vertical="center"/>
    </xf>
    <xf numFmtId="0" fontId="20" fillId="0" borderId="0" xfId="0" applyFont="1" applyAlignment="1">
      <alignment horizontal="right" vertical="center"/>
    </xf>
    <xf numFmtId="49" fontId="20" fillId="5" borderId="4" xfId="0" applyNumberFormat="1" applyFont="1" applyFill="1" applyBorder="1" applyAlignment="1">
      <alignment horizontal="center" vertical="center"/>
    </xf>
    <xf numFmtId="49" fontId="20" fillId="5" borderId="7" xfId="0" applyNumberFormat="1" applyFont="1" applyFill="1" applyBorder="1" applyAlignment="1">
      <alignment horizontal="center" vertical="center"/>
    </xf>
    <xf numFmtId="49" fontId="21" fillId="5" borderId="8" xfId="0" applyNumberFormat="1" applyFont="1" applyFill="1" applyBorder="1" applyAlignment="1">
      <alignment horizontal="center" vertical="center"/>
    </xf>
    <xf numFmtId="3" fontId="20" fillId="5" borderId="4" xfId="0" applyNumberFormat="1" applyFont="1" applyFill="1" applyBorder="1" applyAlignment="1">
      <alignment horizontal="center" vertical="center" wrapText="1"/>
    </xf>
    <xf numFmtId="4" fontId="21" fillId="5" borderId="4" xfId="0" applyNumberFormat="1" applyFont="1" applyFill="1" applyBorder="1" applyAlignment="1">
      <alignment horizontal="center" vertical="center"/>
    </xf>
    <xf numFmtId="0" fontId="20" fillId="0" borderId="0" xfId="0" applyFont="1" applyFill="1" applyAlignment="1">
      <alignment horizontal="center" vertical="center"/>
    </xf>
    <xf numFmtId="4" fontId="21" fillId="5" borderId="5" xfId="0" applyNumberFormat="1" applyFont="1" applyFill="1" applyBorder="1" applyAlignment="1">
      <alignment vertical="center"/>
    </xf>
    <xf numFmtId="4" fontId="21" fillId="6" borderId="4" xfId="0" applyNumberFormat="1" applyFont="1" applyFill="1" applyBorder="1" applyAlignment="1">
      <alignment vertical="center"/>
    </xf>
    <xf numFmtId="4" fontId="21" fillId="6" borderId="2" xfId="0" applyNumberFormat="1" applyFont="1" applyFill="1" applyBorder="1" applyAlignment="1">
      <alignment vertical="center"/>
    </xf>
    <xf numFmtId="0" fontId="20" fillId="6" borderId="5" xfId="0" applyFont="1" applyFill="1" applyBorder="1" applyAlignment="1">
      <alignment vertical="center"/>
    </xf>
    <xf numFmtId="0" fontId="20" fillId="6" borderId="6" xfId="0" applyFont="1" applyFill="1" applyBorder="1" applyAlignment="1">
      <alignment vertical="center"/>
    </xf>
    <xf numFmtId="0" fontId="21" fillId="6" borderId="10" xfId="0" applyFont="1" applyFill="1" applyBorder="1" applyAlignment="1">
      <alignment vertical="center"/>
    </xf>
    <xf numFmtId="0" fontId="20" fillId="6" borderId="5" xfId="0" applyFont="1" applyFill="1" applyBorder="1" applyAlignment="1">
      <alignment horizontal="center" vertical="center"/>
    </xf>
    <xf numFmtId="3" fontId="20" fillId="6" borderId="5" xfId="0" applyNumberFormat="1" applyFont="1" applyFill="1" applyBorder="1" applyAlignment="1">
      <alignment vertical="center"/>
    </xf>
    <xf numFmtId="164" fontId="20" fillId="6" borderId="5" xfId="0" applyNumberFormat="1" applyFont="1" applyFill="1" applyBorder="1" applyAlignment="1">
      <alignment horizontal="center" vertical="center"/>
    </xf>
    <xf numFmtId="4" fontId="21" fillId="6" borderId="5" xfId="0" applyNumberFormat="1" applyFont="1" applyFill="1" applyBorder="1" applyAlignment="1">
      <alignment vertical="center"/>
    </xf>
    <xf numFmtId="0" fontId="20" fillId="2" borderId="7" xfId="0" applyFont="1" applyFill="1" applyBorder="1" applyAlignment="1">
      <alignment vertical="center"/>
    </xf>
    <xf numFmtId="0" fontId="21" fillId="2" borderId="8" xfId="0" applyFont="1" applyFill="1" applyBorder="1" applyAlignment="1">
      <alignment vertical="center"/>
    </xf>
    <xf numFmtId="0" fontId="20" fillId="2" borderId="4" xfId="0" applyFont="1" applyFill="1" applyBorder="1" applyAlignment="1">
      <alignment horizontal="center" vertical="center"/>
    </xf>
    <xf numFmtId="164" fontId="20" fillId="2" borderId="4" xfId="0" applyNumberFormat="1" applyFont="1" applyFill="1" applyBorder="1" applyAlignment="1">
      <alignment horizontal="center" vertical="center"/>
    </xf>
    <xf numFmtId="4" fontId="21" fillId="4" borderId="4" xfId="0" applyNumberFormat="1" applyFont="1" applyFill="1" applyBorder="1" applyAlignment="1">
      <alignment vertical="center"/>
    </xf>
    <xf numFmtId="0" fontId="20" fillId="2" borderId="2" xfId="0" applyFont="1" applyFill="1" applyBorder="1" applyAlignment="1">
      <alignment horizontal="center" vertical="center"/>
    </xf>
    <xf numFmtId="4" fontId="21" fillId="4" borderId="2" xfId="0" applyNumberFormat="1" applyFont="1" applyFill="1" applyBorder="1" applyAlignment="1">
      <alignment vertical="center"/>
    </xf>
    <xf numFmtId="0" fontId="20" fillId="2" borderId="3" xfId="0" applyFont="1" applyFill="1" applyBorder="1" applyAlignment="1">
      <alignment vertical="center"/>
    </xf>
    <xf numFmtId="0" fontId="21" fillId="2" borderId="9" xfId="0" applyFont="1" applyFill="1" applyBorder="1" applyAlignment="1">
      <alignment vertical="center"/>
    </xf>
    <xf numFmtId="4" fontId="21" fillId="4" borderId="5" xfId="0" applyNumberFormat="1" applyFont="1" applyFill="1" applyBorder="1" applyAlignment="1">
      <alignment vertical="center"/>
    </xf>
    <xf numFmtId="4" fontId="21" fillId="0" borderId="4" xfId="0" applyNumberFormat="1" applyFont="1" applyFill="1" applyBorder="1" applyAlignment="1">
      <alignment vertical="center"/>
    </xf>
    <xf numFmtId="4" fontId="20" fillId="0" borderId="0" xfId="0" applyNumberFormat="1" applyFont="1" applyFill="1" applyAlignment="1">
      <alignment vertical="center"/>
    </xf>
    <xf numFmtId="0" fontId="21" fillId="0" borderId="9" xfId="0" applyFont="1" applyBorder="1" applyAlignment="1">
      <alignment vertical="top" wrapText="1"/>
    </xf>
    <xf numFmtId="0" fontId="21" fillId="0" borderId="9" xfId="0" applyFont="1" applyBorder="1" applyAlignment="1">
      <alignment vertical="center"/>
    </xf>
    <xf numFmtId="4" fontId="20" fillId="0" borderId="2" xfId="0" applyNumberFormat="1" applyFont="1" applyBorder="1" applyAlignment="1">
      <alignment vertical="center"/>
    </xf>
    <xf numFmtId="0" fontId="20" fillId="0" borderId="5" xfId="0" applyFont="1" applyBorder="1" applyAlignment="1">
      <alignment horizontal="center" vertical="center"/>
    </xf>
    <xf numFmtId="4" fontId="21" fillId="0" borderId="5" xfId="0" applyNumberFormat="1" applyFont="1" applyFill="1" applyBorder="1" applyAlignment="1">
      <alignment vertical="center"/>
    </xf>
    <xf numFmtId="4" fontId="21" fillId="8" borderId="2" xfId="0" applyNumberFormat="1" applyFont="1" applyFill="1" applyBorder="1" applyAlignment="1">
      <alignment vertical="center"/>
    </xf>
    <xf numFmtId="4" fontId="21" fillId="8" borderId="5" xfId="0" applyNumberFormat="1" applyFont="1" applyFill="1" applyBorder="1" applyAlignment="1">
      <alignment vertical="center"/>
    </xf>
    <xf numFmtId="0" fontId="20" fillId="0" borderId="2" xfId="0" applyFont="1" applyBorder="1" applyAlignment="1">
      <alignment horizontal="center" vertical="center" wrapText="1"/>
    </xf>
    <xf numFmtId="3" fontId="20" fillId="0" borderId="3" xfId="0" applyNumberFormat="1" applyFont="1" applyBorder="1" applyAlignment="1">
      <alignment vertical="center"/>
    </xf>
    <xf numFmtId="4" fontId="21" fillId="0" borderId="2" xfId="0" applyNumberFormat="1" applyFont="1" applyFill="1" applyBorder="1" applyAlignment="1">
      <alignment horizontal="left" vertical="top" wrapText="1"/>
    </xf>
    <xf numFmtId="4" fontId="21" fillId="0" borderId="5" xfId="0" applyNumberFormat="1" applyFont="1" applyFill="1" applyBorder="1" applyAlignment="1">
      <alignment horizontal="left" vertical="top" wrapText="1"/>
    </xf>
    <xf numFmtId="0" fontId="20" fillId="0" borderId="2" xfId="0" applyFont="1" applyBorder="1" applyAlignment="1">
      <alignment horizontal="center" vertical="center"/>
    </xf>
    <xf numFmtId="4" fontId="21" fillId="0" borderId="2" xfId="0" applyNumberFormat="1" applyFont="1" applyFill="1" applyBorder="1" applyAlignment="1">
      <alignment vertical="center"/>
    </xf>
    <xf numFmtId="3" fontId="20" fillId="0" borderId="4" xfId="0" applyNumberFormat="1" applyFont="1" applyFill="1" applyBorder="1" applyAlignment="1">
      <alignment vertical="center"/>
    </xf>
    <xf numFmtId="3" fontId="20" fillId="0" borderId="5" xfId="0" applyNumberFormat="1" applyFont="1" applyFill="1" applyBorder="1" applyAlignment="1">
      <alignment vertical="center"/>
    </xf>
    <xf numFmtId="0" fontId="20" fillId="0" borderId="6" xfId="0" applyFont="1" applyFill="1" applyBorder="1" applyAlignment="1">
      <alignment vertical="center"/>
    </xf>
    <xf numFmtId="164" fontId="20" fillId="0" borderId="5" xfId="0" applyNumberFormat="1" applyFont="1" applyFill="1" applyBorder="1" applyAlignment="1">
      <alignment horizontal="center" vertical="center"/>
    </xf>
    <xf numFmtId="0" fontId="21" fillId="0" borderId="9" xfId="0" applyFont="1" applyBorder="1" applyAlignment="1">
      <alignment vertical="center" wrapText="1"/>
    </xf>
    <xf numFmtId="0" fontId="27" fillId="0" borderId="7" xfId="1" applyFont="1" applyBorder="1" applyAlignment="1">
      <alignment vertical="center"/>
    </xf>
    <xf numFmtId="0" fontId="21" fillId="0" borderId="8" xfId="1" applyFont="1" applyBorder="1" applyAlignment="1">
      <alignment vertical="center" wrapText="1"/>
    </xf>
    <xf numFmtId="0" fontId="27" fillId="0" borderId="4" xfId="1" applyFont="1" applyBorder="1" applyAlignment="1">
      <alignment horizontal="center" vertical="center"/>
    </xf>
    <xf numFmtId="3" fontId="27" fillId="0" borderId="7" xfId="1" applyNumberFormat="1" applyFont="1" applyBorder="1" applyAlignment="1">
      <alignment vertical="center"/>
    </xf>
    <xf numFmtId="164" fontId="27" fillId="0" borderId="4" xfId="1" applyNumberFormat="1" applyFont="1" applyBorder="1" applyAlignment="1">
      <alignment horizontal="center" vertical="center"/>
    </xf>
    <xf numFmtId="3" fontId="27" fillId="0" borderId="4" xfId="1" applyNumberFormat="1" applyFont="1" applyBorder="1" applyAlignment="1">
      <alignment vertical="center"/>
    </xf>
    <xf numFmtId="4" fontId="21" fillId="0" borderId="4" xfId="1" applyNumberFormat="1" applyFont="1" applyFill="1" applyBorder="1" applyAlignment="1">
      <alignment vertical="center"/>
    </xf>
    <xf numFmtId="3" fontId="27" fillId="0" borderId="5" xfId="1" applyNumberFormat="1" applyFont="1" applyBorder="1" applyAlignment="1">
      <alignment vertical="center"/>
    </xf>
    <xf numFmtId="164" fontId="27" fillId="0" borderId="5" xfId="1" applyNumberFormat="1" applyFont="1" applyBorder="1" applyAlignment="1">
      <alignment horizontal="center" vertical="center"/>
    </xf>
    <xf numFmtId="3" fontId="20" fillId="0" borderId="2" xfId="0" applyNumberFormat="1" applyFont="1" applyBorder="1" applyAlignment="1">
      <alignment horizontal="right" vertical="center"/>
    </xf>
    <xf numFmtId="4" fontId="21" fillId="8" borderId="4" xfId="0" applyNumberFormat="1" applyFont="1" applyFill="1" applyBorder="1" applyAlignment="1">
      <alignment vertical="center"/>
    </xf>
    <xf numFmtId="3" fontId="20" fillId="8" borderId="5" xfId="0" applyNumberFormat="1" applyFont="1" applyFill="1" applyBorder="1" applyAlignment="1">
      <alignment vertical="center"/>
    </xf>
    <xf numFmtId="4" fontId="21" fillId="8" borderId="4" xfId="0" applyNumberFormat="1" applyFont="1" applyFill="1" applyBorder="1" applyAlignment="1">
      <alignment horizontal="right" vertical="center"/>
    </xf>
    <xf numFmtId="4" fontId="21" fillId="8" borderId="2" xfId="0" applyNumberFormat="1" applyFont="1" applyFill="1" applyBorder="1" applyAlignment="1">
      <alignment horizontal="right" vertical="center"/>
    </xf>
    <xf numFmtId="4" fontId="21" fillId="8" borderId="5" xfId="0" applyNumberFormat="1" applyFont="1" applyFill="1" applyBorder="1" applyAlignment="1">
      <alignment horizontal="right" vertical="center"/>
    </xf>
    <xf numFmtId="0" fontId="20" fillId="0" borderId="7" xfId="0" applyFont="1" applyBorder="1" applyAlignment="1">
      <alignment horizontal="right" vertical="center"/>
    </xf>
    <xf numFmtId="3" fontId="20" fillId="0" borderId="4" xfId="0" applyNumberFormat="1" applyFont="1" applyBorder="1" applyAlignment="1">
      <alignment horizontal="right" vertical="center"/>
    </xf>
    <xf numFmtId="4" fontId="21" fillId="0" borderId="4" xfId="0" applyNumberFormat="1" applyFont="1" applyFill="1" applyBorder="1" applyAlignment="1">
      <alignment horizontal="right" vertical="center"/>
    </xf>
    <xf numFmtId="3" fontId="20" fillId="0" borderId="6" xfId="0" applyNumberFormat="1" applyFont="1" applyBorder="1" applyAlignment="1">
      <alignment horizontal="right" vertical="center"/>
    </xf>
    <xf numFmtId="3" fontId="20" fillId="0" borderId="5" xfId="0" applyNumberFormat="1" applyFont="1" applyBorder="1" applyAlignment="1">
      <alignment horizontal="center" vertical="center"/>
    </xf>
    <xf numFmtId="3" fontId="20" fillId="0" borderId="5" xfId="0" applyNumberFormat="1" applyFont="1" applyBorder="1" applyAlignment="1">
      <alignment horizontal="right" vertical="center"/>
    </xf>
    <xf numFmtId="4" fontId="21" fillId="0" borderId="5" xfId="0" applyNumberFormat="1" applyFont="1" applyFill="1" applyBorder="1" applyAlignment="1">
      <alignment horizontal="right" vertical="center"/>
    </xf>
    <xf numFmtId="3" fontId="20" fillId="0" borderId="7" xfId="0" applyNumberFormat="1" applyFont="1" applyBorder="1" applyAlignment="1">
      <alignment horizontal="right" vertical="center"/>
    </xf>
    <xf numFmtId="3" fontId="20" fillId="0" borderId="4" xfId="0" applyNumberFormat="1" applyFont="1" applyBorder="1" applyAlignment="1">
      <alignment horizontal="center" vertical="center"/>
    </xf>
    <xf numFmtId="0" fontId="20" fillId="0" borderId="6" xfId="0" applyFont="1" applyBorder="1" applyAlignment="1">
      <alignment horizontal="right" vertical="center"/>
    </xf>
    <xf numFmtId="164" fontId="20" fillId="0" borderId="5" xfId="0" applyNumberFormat="1" applyFont="1" applyBorder="1" applyAlignment="1">
      <alignment horizontal="right" vertical="center"/>
    </xf>
    <xf numFmtId="3" fontId="20" fillId="8" borderId="4" xfId="0" applyNumberFormat="1" applyFont="1" applyFill="1" applyBorder="1" applyAlignment="1">
      <alignment vertical="center"/>
    </xf>
    <xf numFmtId="4" fontId="21" fillId="4" borderId="4" xfId="0" applyNumberFormat="1" applyFont="1" applyFill="1" applyBorder="1" applyAlignment="1">
      <alignment horizontal="center" vertical="center" wrapText="1"/>
    </xf>
    <xf numFmtId="3" fontId="20" fillId="8" borderId="2" xfId="0" applyNumberFormat="1" applyFont="1" applyFill="1" applyBorder="1" applyAlignment="1">
      <alignment vertical="center"/>
    </xf>
    <xf numFmtId="4" fontId="21" fillId="4" borderId="2" xfId="0" applyNumberFormat="1" applyFont="1" applyFill="1" applyBorder="1" applyAlignment="1">
      <alignment vertical="center" wrapText="1"/>
    </xf>
    <xf numFmtId="3" fontId="20" fillId="0" borderId="2" xfId="0" applyNumberFormat="1" applyFont="1" applyBorder="1" applyAlignment="1">
      <alignment horizontal="right" vertical="center" wrapText="1"/>
    </xf>
    <xf numFmtId="3" fontId="21" fillId="0" borderId="9" xfId="0" applyNumberFormat="1" applyFont="1" applyBorder="1" applyAlignment="1">
      <alignment vertical="center" wrapText="1"/>
    </xf>
    <xf numFmtId="1" fontId="20" fillId="0" borderId="2" xfId="0" applyNumberFormat="1" applyFont="1" applyBorder="1" applyAlignment="1">
      <alignment horizontal="right" vertical="center" wrapText="1"/>
    </xf>
    <xf numFmtId="165" fontId="20" fillId="0" borderId="2" xfId="0" applyNumberFormat="1" applyFont="1" applyBorder="1" applyAlignment="1">
      <alignment horizontal="right" vertical="center" wrapText="1"/>
    </xf>
    <xf numFmtId="4" fontId="21" fillId="0" borderId="5" xfId="0" applyNumberFormat="1" applyFont="1" applyFill="1" applyBorder="1" applyAlignment="1">
      <alignment horizontal="left" vertical="center" wrapText="1"/>
    </xf>
    <xf numFmtId="4" fontId="21" fillId="0" borderId="0" xfId="0" applyNumberFormat="1" applyFont="1" applyFill="1" applyAlignment="1">
      <alignment vertical="center"/>
    </xf>
    <xf numFmtId="4" fontId="28" fillId="0" borderId="2" xfId="0" applyNumberFormat="1" applyFont="1" applyBorder="1" applyAlignment="1">
      <alignment vertical="center"/>
    </xf>
    <xf numFmtId="4" fontId="29" fillId="0" borderId="2" xfId="0" applyNumberFormat="1" applyFont="1" applyBorder="1" applyAlignment="1">
      <alignment vertical="center"/>
    </xf>
    <xf numFmtId="4" fontId="29" fillId="0" borderId="2" xfId="0" applyNumberFormat="1" applyFont="1" applyFill="1" applyBorder="1" applyAlignment="1">
      <alignment vertical="center"/>
    </xf>
    <xf numFmtId="4" fontId="29" fillId="0" borderId="6" xfId="0" applyNumberFormat="1" applyFont="1" applyBorder="1" applyAlignment="1">
      <alignment vertical="center"/>
    </xf>
    <xf numFmtId="0" fontId="6" fillId="2" borderId="7" xfId="0" applyFont="1" applyFill="1" applyBorder="1" applyAlignment="1">
      <alignment vertical="center"/>
    </xf>
    <xf numFmtId="0" fontId="10" fillId="2" borderId="8" xfId="0" applyFont="1" applyFill="1" applyBorder="1" applyAlignment="1">
      <alignment vertical="center"/>
    </xf>
    <xf numFmtId="0" fontId="1" fillId="0" borderId="6" xfId="0" applyFont="1" applyBorder="1" applyAlignment="1"/>
    <xf numFmtId="0" fontId="9" fillId="0" borderId="9" xfId="0" applyFont="1" applyBorder="1" applyAlignment="1">
      <alignment wrapText="1"/>
    </xf>
    <xf numFmtId="4" fontId="28" fillId="8" borderId="2" xfId="0" applyNumberFormat="1" applyFont="1" applyFill="1" applyBorder="1" applyAlignment="1">
      <alignment vertical="center"/>
    </xf>
    <xf numFmtId="4" fontId="29" fillId="0" borderId="7" xfId="0" applyNumberFormat="1" applyFont="1" applyFill="1" applyBorder="1" applyAlignment="1">
      <alignment vertical="center"/>
    </xf>
    <xf numFmtId="4" fontId="30" fillId="0" borderId="0" xfId="0" applyNumberFormat="1" applyFont="1"/>
    <xf numFmtId="4" fontId="31" fillId="0" borderId="0" xfId="0" applyNumberFormat="1" applyFont="1"/>
    <xf numFmtId="4" fontId="29" fillId="0" borderId="0" xfId="0" applyNumberFormat="1" applyFont="1" applyAlignment="1">
      <alignment vertical="center"/>
    </xf>
    <xf numFmtId="4" fontId="29" fillId="5" borderId="4" xfId="0" applyNumberFormat="1" applyFont="1" applyFill="1" applyBorder="1" applyAlignment="1">
      <alignment horizontal="center" vertical="center" wrapText="1"/>
    </xf>
    <xf numFmtId="4" fontId="29" fillId="6" borderId="5" xfId="0" applyNumberFormat="1" applyFont="1" applyFill="1" applyBorder="1" applyAlignment="1">
      <alignment vertical="center"/>
    </xf>
    <xf numFmtId="4" fontId="29" fillId="2" borderId="4" xfId="0" applyNumberFormat="1" applyFont="1" applyFill="1" applyBorder="1" applyAlignment="1">
      <alignment vertical="center"/>
    </xf>
    <xf numFmtId="4" fontId="29" fillId="2" borderId="5" xfId="0" applyNumberFormat="1" applyFont="1" applyFill="1" applyBorder="1" applyAlignment="1">
      <alignment vertical="center"/>
    </xf>
    <xf numFmtId="4" fontId="29" fillId="0" borderId="7" xfId="0" applyNumberFormat="1" applyFont="1" applyBorder="1" applyAlignment="1">
      <alignment vertical="center"/>
    </xf>
    <xf numFmtId="4" fontId="29" fillId="0" borderId="6" xfId="0" applyNumberFormat="1" applyFont="1" applyFill="1" applyBorder="1" applyAlignment="1">
      <alignment vertical="center"/>
    </xf>
    <xf numFmtId="4" fontId="29" fillId="0" borderId="3" xfId="0" applyNumberFormat="1" applyFont="1" applyFill="1" applyBorder="1" applyAlignment="1">
      <alignment vertical="center"/>
    </xf>
    <xf numFmtId="4" fontId="29" fillId="0" borderId="4" xfId="0" applyNumberFormat="1" applyFont="1" applyFill="1" applyBorder="1" applyAlignment="1">
      <alignment vertical="center"/>
    </xf>
    <xf numFmtId="4" fontId="29" fillId="0" borderId="5" xfId="0" applyNumberFormat="1" applyFont="1" applyBorder="1" applyAlignment="1">
      <alignment vertical="center"/>
    </xf>
    <xf numFmtId="4" fontId="32" fillId="2" borderId="4" xfId="1" applyNumberFormat="1" applyFont="1" applyFill="1" applyBorder="1" applyAlignment="1">
      <alignment vertical="center"/>
    </xf>
    <xf numFmtId="4" fontId="29" fillId="0" borderId="10" xfId="0" applyNumberFormat="1" applyFont="1" applyBorder="1" applyAlignment="1">
      <alignment vertical="center"/>
    </xf>
    <xf numFmtId="4" fontId="29" fillId="2" borderId="4" xfId="0" applyNumberFormat="1" applyFont="1" applyFill="1" applyBorder="1" applyAlignment="1">
      <alignment horizontal="right" vertical="center"/>
    </xf>
    <xf numFmtId="4" fontId="29" fillId="0" borderId="2" xfId="0" applyNumberFormat="1" applyFont="1" applyBorder="1" applyAlignment="1">
      <alignment horizontal="right" vertical="center" wrapText="1"/>
    </xf>
    <xf numFmtId="4" fontId="29" fillId="0" borderId="2" xfId="0" applyNumberFormat="1" applyFont="1" applyFill="1" applyBorder="1" applyAlignment="1">
      <alignment horizontal="right" vertical="center" wrapText="1"/>
    </xf>
    <xf numFmtId="4" fontId="29" fillId="0" borderId="11" xfId="0" applyNumberFormat="1" applyFont="1" applyFill="1" applyBorder="1" applyAlignment="1">
      <alignment vertical="center"/>
    </xf>
    <xf numFmtId="0" fontId="10" fillId="0" borderId="8" xfId="0" applyFont="1" applyBorder="1" applyAlignment="1">
      <alignment vertical="center" wrapText="1"/>
    </xf>
    <xf numFmtId="0" fontId="8" fillId="0" borderId="2" xfId="0" applyNumberFormat="1" applyFont="1" applyBorder="1" applyAlignment="1">
      <alignment horizontal="right" vertical="center" wrapText="1"/>
    </xf>
    <xf numFmtId="3" fontId="8" fillId="0" borderId="0" xfId="0" applyNumberFormat="1" applyFont="1" applyAlignment="1">
      <alignment vertical="center"/>
    </xf>
    <xf numFmtId="166" fontId="8" fillId="0" borderId="2" xfId="0" applyNumberFormat="1" applyFont="1" applyBorder="1" applyAlignment="1">
      <alignment vertical="center" wrapText="1"/>
    </xf>
    <xf numFmtId="166" fontId="8" fillId="0" borderId="2" xfId="0" applyNumberFormat="1" applyFont="1" applyBorder="1" applyAlignment="1">
      <alignment horizontal="right" wrapText="1"/>
    </xf>
    <xf numFmtId="166" fontId="8" fillId="0" borderId="2" xfId="0" applyNumberFormat="1" applyFont="1" applyBorder="1" applyAlignment="1">
      <alignment horizontal="right" vertical="center" wrapText="1"/>
    </xf>
    <xf numFmtId="4" fontId="8" fillId="0" borderId="6" xfId="0" applyNumberFormat="1" applyFont="1" applyFill="1" applyBorder="1" applyAlignment="1">
      <alignment vertical="center"/>
    </xf>
    <xf numFmtId="4" fontId="8" fillId="0" borderId="3" xfId="0" applyNumberFormat="1" applyFont="1" applyFill="1" applyBorder="1" applyAlignment="1">
      <alignment vertical="center"/>
    </xf>
    <xf numFmtId="164" fontId="12" fillId="0" borderId="2" xfId="1" applyNumberFormat="1" applyFont="1" applyBorder="1" applyAlignment="1">
      <alignment horizontal="center" vertical="center"/>
    </xf>
    <xf numFmtId="164" fontId="13" fillId="0" borderId="2" xfId="1" applyNumberFormat="1" applyFont="1" applyBorder="1" applyAlignment="1">
      <alignment horizontal="center" vertical="center"/>
    </xf>
    <xf numFmtId="164" fontId="13" fillId="0" borderId="5" xfId="1" applyNumberFormat="1" applyFont="1" applyBorder="1" applyAlignment="1">
      <alignment horizontal="center" vertical="center"/>
    </xf>
    <xf numFmtId="0" fontId="8" fillId="0" borderId="4" xfId="0" applyFont="1" applyFill="1" applyBorder="1" applyAlignment="1">
      <alignment vertical="center"/>
    </xf>
    <xf numFmtId="0" fontId="9" fillId="0" borderId="8" xfId="0" applyFont="1" applyFill="1" applyBorder="1" applyAlignment="1">
      <alignment vertical="center"/>
    </xf>
    <xf numFmtId="0" fontId="8" fillId="0" borderId="4" xfId="0" applyFont="1" applyFill="1" applyBorder="1" applyAlignment="1">
      <alignment horizontal="center" vertical="center"/>
    </xf>
    <xf numFmtId="0" fontId="8" fillId="0" borderId="2" xfId="0" applyFont="1" applyFill="1" applyBorder="1" applyAlignment="1">
      <alignment vertical="center"/>
    </xf>
    <xf numFmtId="0" fontId="6" fillId="0" borderId="3" xfId="0" applyFont="1" applyFill="1" applyBorder="1" applyAlignment="1">
      <alignment vertical="center"/>
    </xf>
    <xf numFmtId="0" fontId="9" fillId="0" borderId="9" xfId="0" applyFont="1" applyFill="1" applyBorder="1" applyAlignment="1">
      <alignment vertical="center"/>
    </xf>
    <xf numFmtId="0" fontId="8" fillId="0" borderId="3" xfId="0" applyFont="1" applyFill="1" applyBorder="1" applyAlignment="1">
      <alignment vertical="center"/>
    </xf>
    <xf numFmtId="0" fontId="9" fillId="0" borderId="10" xfId="0" applyFont="1" applyFill="1" applyBorder="1" applyAlignment="1">
      <alignment vertical="center"/>
    </xf>
    <xf numFmtId="0" fontId="8" fillId="0" borderId="6" xfId="0" applyFont="1" applyFill="1" applyBorder="1" applyAlignment="1">
      <alignment vertical="center"/>
    </xf>
    <xf numFmtId="164" fontId="8" fillId="0" borderId="4" xfId="0" applyNumberFormat="1" applyFont="1" applyFill="1" applyBorder="1" applyAlignment="1">
      <alignment horizontal="center" vertical="center"/>
    </xf>
    <xf numFmtId="3" fontId="6" fillId="0" borderId="3" xfId="0" applyNumberFormat="1" applyFont="1" applyFill="1" applyBorder="1" applyAlignment="1">
      <alignment vertical="center"/>
    </xf>
    <xf numFmtId="4" fontId="6" fillId="0" borderId="3" xfId="0" applyNumberFormat="1" applyFont="1" applyFill="1" applyBorder="1" applyAlignment="1">
      <alignment vertical="center"/>
    </xf>
    <xf numFmtId="164" fontId="6" fillId="0" borderId="2" xfId="0" applyNumberFormat="1" applyFont="1" applyFill="1" applyBorder="1" applyAlignment="1">
      <alignment horizontal="center" vertical="center"/>
    </xf>
    <xf numFmtId="3" fontId="8" fillId="0" borderId="3" xfId="0" applyNumberFormat="1" applyFont="1" applyFill="1" applyBorder="1" applyAlignment="1">
      <alignment vertical="center"/>
    </xf>
    <xf numFmtId="164" fontId="8" fillId="0" borderId="2" xfId="0" applyNumberFormat="1" applyFont="1" applyFill="1" applyBorder="1" applyAlignment="1">
      <alignment horizontal="center" vertical="center"/>
    </xf>
    <xf numFmtId="4" fontId="9" fillId="0" borderId="4" xfId="0" applyNumberFormat="1" applyFont="1" applyFill="1" applyBorder="1" applyAlignment="1">
      <alignment vertical="center" wrapText="1"/>
    </xf>
    <xf numFmtId="164" fontId="8" fillId="0" borderId="5" xfId="0" applyNumberFormat="1" applyFont="1" applyFill="1" applyBorder="1" applyAlignment="1">
      <alignment horizontal="center" vertical="center"/>
    </xf>
    <xf numFmtId="3" fontId="29" fillId="0" borderId="2" xfId="0" applyNumberFormat="1" applyFont="1" applyFill="1" applyBorder="1" applyAlignment="1">
      <alignment vertical="center"/>
    </xf>
    <xf numFmtId="0" fontId="6" fillId="0" borderId="7" xfId="0" applyFont="1" applyFill="1" applyBorder="1" applyAlignment="1">
      <alignment vertical="center"/>
    </xf>
    <xf numFmtId="0" fontId="6" fillId="0" borderId="4" xfId="0" applyFont="1" applyBorder="1" applyAlignment="1">
      <alignment vertical="center"/>
    </xf>
    <xf numFmtId="3" fontId="6" fillId="0" borderId="7" xfId="0" applyNumberFormat="1" applyFont="1" applyFill="1" applyBorder="1" applyAlignment="1">
      <alignment vertical="center"/>
    </xf>
    <xf numFmtId="4" fontId="6" fillId="0" borderId="7" xfId="0" applyNumberFormat="1" applyFont="1" applyFill="1" applyBorder="1" applyAlignment="1">
      <alignment vertical="center"/>
    </xf>
    <xf numFmtId="164" fontId="6" fillId="0" borderId="4" xfId="0" applyNumberFormat="1" applyFont="1" applyFill="1" applyBorder="1" applyAlignment="1">
      <alignment horizontal="center" vertical="center"/>
    </xf>
    <xf numFmtId="3" fontId="6" fillId="0" borderId="4" xfId="0" applyNumberFormat="1" applyFont="1" applyFill="1" applyBorder="1" applyAlignment="1">
      <alignment vertical="center"/>
    </xf>
    <xf numFmtId="0" fontId="6" fillId="0" borderId="6" xfId="0" applyFont="1" applyFill="1" applyBorder="1" applyAlignment="1">
      <alignment vertical="center"/>
    </xf>
    <xf numFmtId="3" fontId="8" fillId="0" borderId="5" xfId="0" applyNumberFormat="1" applyFont="1" applyFill="1" applyBorder="1" applyAlignment="1">
      <alignment vertical="center"/>
    </xf>
    <xf numFmtId="0" fontId="29" fillId="0" borderId="2" xfId="0" applyFont="1" applyFill="1" applyBorder="1" applyAlignment="1">
      <alignment vertical="center"/>
    </xf>
    <xf numFmtId="0" fontId="1" fillId="0" borderId="3" xfId="0" applyFont="1" applyBorder="1" applyAlignment="1">
      <alignment vertical="center"/>
    </xf>
    <xf numFmtId="0" fontId="8" fillId="0" borderId="2" xfId="0" applyNumberFormat="1" applyFont="1" applyBorder="1" applyAlignment="1">
      <alignment vertical="center"/>
    </xf>
    <xf numFmtId="0" fontId="14" fillId="0" borderId="9" xfId="0" applyFont="1" applyBorder="1" applyAlignment="1">
      <alignment vertical="center"/>
    </xf>
    <xf numFmtId="0" fontId="1" fillId="0" borderId="6" xfId="0" applyFont="1" applyBorder="1" applyAlignment="1">
      <alignment vertical="center"/>
    </xf>
    <xf numFmtId="0" fontId="9" fillId="0" borderId="10" xfId="0" applyFont="1" applyBorder="1" applyAlignment="1">
      <alignment vertical="center"/>
    </xf>
    <xf numFmtId="3" fontId="29" fillId="0" borderId="2" xfId="0" applyNumberFormat="1" applyFont="1" applyBorder="1" applyAlignment="1">
      <alignment vertical="center"/>
    </xf>
    <xf numFmtId="3" fontId="28" fillId="0" borderId="2" xfId="0" applyNumberFormat="1" applyFont="1" applyBorder="1" applyAlignment="1">
      <alignment vertical="center"/>
    </xf>
    <xf numFmtId="0" fontId="8" fillId="0" borderId="4" xfId="0" applyFont="1" applyBorder="1" applyAlignment="1">
      <alignment horizontal="center" vertical="top" wrapText="1"/>
    </xf>
    <xf numFmtId="0" fontId="8" fillId="0" borderId="2" xfId="0" applyFont="1" applyBorder="1" applyAlignment="1">
      <alignment horizontal="center" vertical="top"/>
    </xf>
    <xf numFmtId="0" fontId="8" fillId="0" borderId="4" xfId="0" applyFont="1" applyBorder="1" applyAlignment="1">
      <alignment horizontal="left" vertical="center" wrapText="1"/>
    </xf>
    <xf numFmtId="49" fontId="8" fillId="0" borderId="7" xfId="0" applyNumberFormat="1" applyFont="1" applyBorder="1" applyAlignment="1">
      <alignment vertical="center"/>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4" fontId="8" fillId="0" borderId="7" xfId="0" applyNumberFormat="1" applyFont="1" applyBorder="1" applyAlignment="1">
      <alignment vertical="center"/>
    </xf>
    <xf numFmtId="164" fontId="6" fillId="0" borderId="4" xfId="0" applyNumberFormat="1" applyFont="1" applyBorder="1" applyAlignment="1">
      <alignment horizontal="center" vertical="center"/>
    </xf>
    <xf numFmtId="164" fontId="6" fillId="0" borderId="5" xfId="0" applyNumberFormat="1" applyFont="1" applyBorder="1" applyAlignment="1">
      <alignment horizontal="center" vertical="center"/>
    </xf>
    <xf numFmtId="4" fontId="9" fillId="0" borderId="2" xfId="0" applyNumberFormat="1" applyFont="1" applyFill="1" applyBorder="1" applyAlignment="1">
      <alignment vertical="center"/>
    </xf>
    <xf numFmtId="0" fontId="8" fillId="0" borderId="5" xfId="0" applyFont="1" applyBorder="1" applyAlignment="1">
      <alignment horizontal="center" vertical="top"/>
    </xf>
    <xf numFmtId="4" fontId="9" fillId="0" borderId="5" xfId="0" applyNumberFormat="1" applyFont="1" applyFill="1" applyBorder="1" applyAlignment="1">
      <alignment vertical="center" wrapText="1"/>
    </xf>
    <xf numFmtId="0" fontId="8" fillId="2" borderId="7" xfId="0" applyFont="1" applyFill="1" applyBorder="1" applyAlignment="1">
      <alignment vertical="center"/>
    </xf>
    <xf numFmtId="0" fontId="9" fillId="2" borderId="8" xfId="0" applyFont="1" applyFill="1" applyBorder="1" applyAlignment="1">
      <alignment vertical="center"/>
    </xf>
    <xf numFmtId="0" fontId="8" fillId="2" borderId="2" xfId="0" applyFont="1" applyFill="1" applyBorder="1" applyAlignment="1">
      <alignment horizontal="center" vertical="center" wrapText="1"/>
    </xf>
    <xf numFmtId="0" fontId="8" fillId="4" borderId="0" xfId="0" applyFont="1" applyFill="1" applyBorder="1" applyAlignment="1">
      <alignment vertical="center"/>
    </xf>
    <xf numFmtId="0" fontId="9" fillId="4" borderId="0" xfId="0" applyFont="1" applyFill="1" applyBorder="1" applyAlignment="1">
      <alignment vertical="center"/>
    </xf>
    <xf numFmtId="0" fontId="10" fillId="0" borderId="9" xfId="0" applyFont="1" applyBorder="1" applyAlignment="1">
      <alignment wrapText="1"/>
    </xf>
    <xf numFmtId="0" fontId="8" fillId="0" borderId="3" xfId="0" applyFont="1" applyBorder="1" applyAlignment="1">
      <alignment horizontal="left" vertical="center"/>
    </xf>
    <xf numFmtId="0" fontId="9" fillId="0" borderId="9" xfId="0" applyFont="1" applyBorder="1" applyAlignment="1">
      <alignment horizontal="left" vertical="center"/>
    </xf>
    <xf numFmtId="0" fontId="10" fillId="0" borderId="9" xfId="0" applyFont="1" applyBorder="1" applyAlignment="1">
      <alignment vertical="center"/>
    </xf>
    <xf numFmtId="0" fontId="15" fillId="0" borderId="0" xfId="0" applyFont="1"/>
    <xf numFmtId="0" fontId="1" fillId="0" borderId="0" xfId="0" applyFont="1"/>
    <xf numFmtId="49" fontId="8" fillId="5" borderId="4"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8" fillId="5" borderId="2" xfId="0" applyFont="1" applyFill="1" applyBorder="1" applyAlignment="1">
      <alignment vertical="center"/>
    </xf>
    <xf numFmtId="0" fontId="8" fillId="5" borderId="5" xfId="0" applyFont="1" applyFill="1" applyBorder="1" applyAlignment="1">
      <alignment vertical="center"/>
    </xf>
    <xf numFmtId="0" fontId="8" fillId="6" borderId="4" xfId="0" applyFont="1" applyFill="1" applyBorder="1" applyAlignment="1">
      <alignment vertical="center"/>
    </xf>
    <xf numFmtId="0" fontId="6" fillId="6" borderId="2" xfId="0" applyFont="1" applyFill="1" applyBorder="1" applyAlignment="1">
      <alignment horizontal="center" vertical="center"/>
    </xf>
    <xf numFmtId="0" fontId="8" fillId="6" borderId="2" xfId="0" applyFont="1" applyFill="1" applyBorder="1" applyAlignment="1">
      <alignment vertical="center"/>
    </xf>
    <xf numFmtId="0" fontId="8" fillId="6" borderId="5" xfId="0" applyFont="1" applyFill="1" applyBorder="1" applyAlignment="1">
      <alignment vertical="center"/>
    </xf>
    <xf numFmtId="0" fontId="8" fillId="0" borderId="2" xfId="0" applyFont="1" applyFill="1" applyBorder="1" applyAlignment="1">
      <alignment horizontal="center" vertical="center"/>
    </xf>
    <xf numFmtId="0" fontId="8" fillId="6" borderId="2" xfId="0" applyFont="1" applyFill="1" applyBorder="1" applyAlignment="1">
      <alignment horizontal="center" vertical="center"/>
    </xf>
    <xf numFmtId="0" fontId="8" fillId="0" borderId="4" xfId="0" applyFont="1" applyBorder="1" applyAlignment="1">
      <alignment vertical="center"/>
    </xf>
    <xf numFmtId="0" fontId="8" fillId="3" borderId="12" xfId="0" applyFont="1" applyFill="1" applyBorder="1" applyAlignment="1">
      <alignment vertical="center"/>
    </xf>
    <xf numFmtId="0" fontId="8" fillId="3" borderId="13" xfId="0" applyFont="1" applyFill="1" applyBorder="1" applyAlignment="1">
      <alignment vertical="center"/>
    </xf>
    <xf numFmtId="0" fontId="8" fillId="4" borderId="4" xfId="0" applyFont="1" applyFill="1" applyBorder="1" applyAlignment="1">
      <alignment horizontal="center" vertical="center"/>
    </xf>
    <xf numFmtId="0" fontId="6" fillId="2" borderId="2" xfId="0" applyFont="1" applyFill="1" applyBorder="1" applyAlignment="1">
      <alignment vertical="center"/>
    </xf>
    <xf numFmtId="3" fontId="8" fillId="2" borderId="10" xfId="0" applyNumberFormat="1" applyFont="1" applyFill="1" applyBorder="1" applyAlignment="1">
      <alignment vertical="center"/>
    </xf>
    <xf numFmtId="3" fontId="6" fillId="0" borderId="3" xfId="0" applyNumberFormat="1" applyFont="1" applyBorder="1" applyAlignment="1">
      <alignment vertical="center"/>
    </xf>
    <xf numFmtId="3" fontId="6" fillId="0" borderId="4" xfId="0" applyNumberFormat="1" applyFont="1" applyBorder="1" applyAlignment="1">
      <alignment vertical="center"/>
    </xf>
    <xf numFmtId="4" fontId="6" fillId="0" borderId="4" xfId="0" applyNumberFormat="1" applyFont="1" applyBorder="1" applyAlignment="1">
      <alignment vertical="center"/>
    </xf>
    <xf numFmtId="3" fontId="6" fillId="0" borderId="2" xfId="0" applyNumberFormat="1" applyFont="1" applyBorder="1" applyAlignment="1">
      <alignment horizontal="right" vertical="center"/>
    </xf>
    <xf numFmtId="4" fontId="6" fillId="0" borderId="2" xfId="0" applyNumberFormat="1" applyFont="1" applyBorder="1" applyAlignment="1">
      <alignment horizontal="right" vertical="center"/>
    </xf>
    <xf numFmtId="0" fontId="8" fillId="0" borderId="7" xfId="0" applyFont="1" applyBorder="1" applyAlignment="1">
      <alignment horizontal="right" vertical="center"/>
    </xf>
    <xf numFmtId="49" fontId="8" fillId="0" borderId="2" xfId="0" applyNumberFormat="1" applyFont="1" applyBorder="1" applyAlignment="1">
      <alignment horizontal="right" vertical="center"/>
    </xf>
    <xf numFmtId="3" fontId="8" fillId="0" borderId="2" xfId="0" applyNumberFormat="1" applyFont="1" applyBorder="1" applyAlignment="1">
      <alignment horizontal="center" vertical="center"/>
    </xf>
    <xf numFmtId="164" fontId="8" fillId="0" borderId="2" xfId="0" applyNumberFormat="1" applyFont="1" applyBorder="1" applyAlignment="1">
      <alignment horizontal="right" vertical="center"/>
    </xf>
    <xf numFmtId="3" fontId="8" fillId="2" borderId="4"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6" fillId="2" borderId="2" xfId="0" applyNumberFormat="1" applyFont="1" applyFill="1" applyBorder="1" applyAlignment="1">
      <alignment horizontal="right" vertical="center"/>
    </xf>
    <xf numFmtId="4" fontId="6" fillId="2" borderId="2" xfId="0" applyNumberFormat="1" applyFont="1" applyFill="1" applyBorder="1" applyAlignment="1">
      <alignment horizontal="right" vertical="center"/>
    </xf>
    <xf numFmtId="3" fontId="8" fillId="2" borderId="2" xfId="0" applyNumberFormat="1" applyFont="1" applyFill="1" applyBorder="1" applyAlignment="1">
      <alignment horizontal="right" vertical="center"/>
    </xf>
    <xf numFmtId="0" fontId="8" fillId="2" borderId="5" xfId="0" applyFont="1" applyFill="1" applyBorder="1" applyAlignment="1">
      <alignment horizontal="right" vertical="center"/>
    </xf>
    <xf numFmtId="3" fontId="8" fillId="2" borderId="5" xfId="0" applyNumberFormat="1" applyFont="1" applyFill="1" applyBorder="1" applyAlignment="1">
      <alignment horizontal="right" vertical="center"/>
    </xf>
    <xf numFmtId="164" fontId="8" fillId="2" borderId="4" xfId="0" applyNumberFormat="1" applyFont="1" applyFill="1" applyBorder="1" applyAlignment="1">
      <alignment horizontal="right" vertical="center"/>
    </xf>
    <xf numFmtId="0" fontId="8" fillId="8" borderId="4" xfId="0" applyFont="1" applyFill="1" applyBorder="1" applyAlignment="1">
      <alignment vertical="center"/>
    </xf>
    <xf numFmtId="0" fontId="6" fillId="2" borderId="2" xfId="0" applyFont="1" applyFill="1" applyBorder="1" applyAlignment="1">
      <alignment horizontal="center" vertical="center" wrapText="1"/>
    </xf>
    <xf numFmtId="49" fontId="6" fillId="8" borderId="3" xfId="0" applyNumberFormat="1" applyFont="1" applyFill="1" applyBorder="1" applyAlignment="1">
      <alignment vertical="center"/>
    </xf>
    <xf numFmtId="0" fontId="8" fillId="2" borderId="5" xfId="0" applyFont="1" applyFill="1" applyBorder="1" applyAlignment="1">
      <alignment horizontal="center" vertical="center" wrapText="1"/>
    </xf>
    <xf numFmtId="4" fontId="6" fillId="6" borderId="2" xfId="0" applyNumberFormat="1" applyFont="1" applyFill="1" applyBorder="1" applyAlignment="1">
      <alignment vertical="center"/>
    </xf>
    <xf numFmtId="4" fontId="8" fillId="6" borderId="2" xfId="0" applyNumberFormat="1" applyFont="1" applyFill="1" applyBorder="1" applyAlignment="1">
      <alignment vertical="center"/>
    </xf>
    <xf numFmtId="4" fontId="20" fillId="2" borderId="5" xfId="0" applyNumberFormat="1" applyFont="1" applyFill="1" applyBorder="1" applyAlignment="1">
      <alignment vertical="center"/>
    </xf>
    <xf numFmtId="3" fontId="6" fillId="6" borderId="2" xfId="0" applyNumberFormat="1" applyFont="1" applyFill="1" applyBorder="1" applyAlignment="1">
      <alignment vertical="center"/>
    </xf>
    <xf numFmtId="3" fontId="8" fillId="6" borderId="2" xfId="0" applyNumberFormat="1" applyFont="1" applyFill="1" applyBorder="1" applyAlignment="1">
      <alignment vertical="center"/>
    </xf>
    <xf numFmtId="4" fontId="8" fillId="0" borderId="9" xfId="0" applyNumberFormat="1" applyFont="1" applyBorder="1" applyAlignment="1">
      <alignment vertical="center" wrapText="1"/>
    </xf>
    <xf numFmtId="4" fontId="8" fillId="0" borderId="8" xfId="0" applyNumberFormat="1" applyFont="1" applyBorder="1" applyAlignment="1">
      <alignment vertical="center"/>
    </xf>
    <xf numFmtId="4" fontId="13" fillId="2" borderId="5" xfId="1" applyNumberFormat="1" applyFont="1" applyFill="1" applyBorder="1" applyAlignment="1">
      <alignment vertical="center"/>
    </xf>
    <xf numFmtId="4" fontId="13" fillId="0" borderId="7" xfId="1" applyNumberFormat="1" applyFont="1" applyBorder="1" applyAlignment="1">
      <alignment vertical="center"/>
    </xf>
    <xf numFmtId="4" fontId="13" fillId="0" borderId="2" xfId="1" applyNumberFormat="1" applyFont="1" applyBorder="1" applyAlignment="1">
      <alignment vertical="center"/>
    </xf>
    <xf numFmtId="4" fontId="13" fillId="0" borderId="5" xfId="1" applyNumberFormat="1" applyFont="1" applyFill="1" applyBorder="1" applyAlignment="1">
      <alignment vertical="center"/>
    </xf>
    <xf numFmtId="4" fontId="8" fillId="0" borderId="2" xfId="0" applyNumberFormat="1" applyFont="1" applyFill="1" applyBorder="1" applyAlignment="1">
      <alignment horizontal="right" vertical="center" wrapText="1"/>
    </xf>
    <xf numFmtId="4" fontId="8" fillId="2" borderId="5" xfId="0" applyNumberFormat="1" applyFont="1" applyFill="1" applyBorder="1" applyAlignment="1">
      <alignment horizontal="right" vertical="center"/>
    </xf>
    <xf numFmtId="4" fontId="8" fillId="0" borderId="7" xfId="0" applyNumberFormat="1" applyFont="1" applyBorder="1" applyAlignment="1">
      <alignment horizontal="right" vertical="center"/>
    </xf>
    <xf numFmtId="4" fontId="8" fillId="0" borderId="2" xfId="0" applyNumberFormat="1" applyFont="1" applyFill="1" applyBorder="1" applyAlignment="1">
      <alignment horizontal="right" vertical="center"/>
    </xf>
    <xf numFmtId="4" fontId="8" fillId="0" borderId="6" xfId="0" applyNumberFormat="1" applyFont="1" applyBorder="1" applyAlignment="1">
      <alignment horizontal="right" vertical="center"/>
    </xf>
    <xf numFmtId="4" fontId="8" fillId="0" borderId="2" xfId="0" applyNumberFormat="1" applyFont="1" applyFill="1" applyBorder="1" applyAlignment="1">
      <alignment horizontal="center" vertical="center"/>
    </xf>
    <xf numFmtId="4" fontId="8" fillId="8" borderId="5" xfId="0" applyNumberFormat="1" applyFont="1" applyFill="1" applyBorder="1" applyAlignment="1">
      <alignment vertical="center"/>
    </xf>
    <xf numFmtId="4" fontId="8" fillId="0" borderId="7" xfId="0" applyNumberFormat="1" applyFont="1" applyFill="1" applyBorder="1" applyAlignment="1">
      <alignment vertical="center"/>
    </xf>
    <xf numFmtId="4" fontId="10" fillId="4" borderId="2" xfId="0" applyNumberFormat="1" applyFont="1" applyFill="1" applyBorder="1" applyAlignment="1">
      <alignment vertical="center" wrapText="1"/>
    </xf>
    <xf numFmtId="4" fontId="9" fillId="4" borderId="5" xfId="0" applyNumberFormat="1" applyFont="1" applyFill="1" applyBorder="1" applyAlignment="1">
      <alignment vertical="center" wrapText="1"/>
    </xf>
    <xf numFmtId="4" fontId="8" fillId="0" borderId="14" xfId="0" applyNumberFormat="1" applyFont="1" applyBorder="1" applyAlignment="1">
      <alignment vertical="center"/>
    </xf>
    <xf numFmtId="4" fontId="6" fillId="0" borderId="3" xfId="0" applyNumberFormat="1" applyFont="1" applyBorder="1" applyAlignment="1">
      <alignment vertical="center"/>
    </xf>
    <xf numFmtId="4" fontId="8" fillId="0" borderId="5" xfId="0" applyNumberFormat="1" applyFont="1" applyBorder="1" applyAlignment="1">
      <alignment vertical="center"/>
    </xf>
    <xf numFmtId="4" fontId="8" fillId="0" borderId="2" xfId="0" applyNumberFormat="1" applyFont="1" applyBorder="1" applyAlignment="1">
      <alignment horizontal="right" vertical="center" wrapText="1"/>
    </xf>
    <xf numFmtId="0" fontId="8" fillId="5" borderId="2" xfId="0" applyFont="1" applyFill="1" applyBorder="1" applyAlignment="1">
      <alignment horizontal="center" vertical="center"/>
    </xf>
    <xf numFmtId="49" fontId="8" fillId="5" borderId="3" xfId="0" applyNumberFormat="1" applyFont="1" applyFill="1" applyBorder="1" applyAlignment="1">
      <alignment vertical="center"/>
    </xf>
    <xf numFmtId="49" fontId="8" fillId="5" borderId="9" xfId="0" applyNumberFormat="1" applyFont="1" applyFill="1" applyBorder="1" applyAlignment="1">
      <alignment vertical="center"/>
    </xf>
    <xf numFmtId="0" fontId="8" fillId="5" borderId="6" xfId="0" applyFont="1" applyFill="1" applyBorder="1" applyAlignment="1">
      <alignment vertical="center"/>
    </xf>
    <xf numFmtId="0" fontId="9" fillId="5" borderId="10" xfId="0" applyFont="1" applyFill="1" applyBorder="1" applyAlignment="1">
      <alignment vertical="center"/>
    </xf>
    <xf numFmtId="0" fontId="8" fillId="5" borderId="5" xfId="0" applyFont="1" applyFill="1" applyBorder="1" applyAlignment="1">
      <alignment horizontal="center" vertical="center"/>
    </xf>
    <xf numFmtId="3" fontId="8" fillId="5" borderId="5" xfId="0" applyNumberFormat="1" applyFont="1" applyFill="1" applyBorder="1" applyAlignment="1">
      <alignment vertical="center"/>
    </xf>
    <xf numFmtId="4" fontId="8" fillId="5" borderId="5" xfId="0" applyNumberFormat="1" applyFont="1" applyFill="1" applyBorder="1" applyAlignment="1">
      <alignment vertical="center"/>
    </xf>
    <xf numFmtId="164" fontId="8" fillId="5" borderId="5" xfId="0" applyNumberFormat="1" applyFont="1" applyFill="1" applyBorder="1" applyAlignment="1">
      <alignment horizontal="center" vertical="center"/>
    </xf>
    <xf numFmtId="0" fontId="8" fillId="6" borderId="7" xfId="0" applyFont="1" applyFill="1" applyBorder="1" applyAlignment="1">
      <alignment vertical="center"/>
    </xf>
    <xf numFmtId="0" fontId="9" fillId="6" borderId="8" xfId="0" applyFont="1" applyFill="1" applyBorder="1" applyAlignment="1">
      <alignment vertical="center"/>
    </xf>
    <xf numFmtId="0" fontId="8" fillId="6" borderId="4" xfId="0" applyFont="1" applyFill="1" applyBorder="1" applyAlignment="1">
      <alignment horizontal="center" vertical="center"/>
    </xf>
    <xf numFmtId="3" fontId="8" fillId="6" borderId="4" xfId="0" applyNumberFormat="1" applyFont="1" applyFill="1" applyBorder="1" applyAlignment="1">
      <alignment vertical="center"/>
    </xf>
    <xf numFmtId="4" fontId="8" fillId="6" borderId="4" xfId="0" applyNumberFormat="1" applyFont="1" applyFill="1" applyBorder="1" applyAlignment="1">
      <alignment vertical="center"/>
    </xf>
    <xf numFmtId="164" fontId="8" fillId="6" borderId="4" xfId="0" applyNumberFormat="1" applyFont="1" applyFill="1" applyBorder="1" applyAlignment="1">
      <alignment horizontal="center" vertical="center"/>
    </xf>
    <xf numFmtId="164" fontId="6" fillId="6" borderId="2" xfId="0" applyNumberFormat="1" applyFont="1" applyFill="1" applyBorder="1" applyAlignment="1">
      <alignment horizontal="center" vertical="center"/>
    </xf>
    <xf numFmtId="49" fontId="8" fillId="6" borderId="3" xfId="0" applyNumberFormat="1" applyFont="1" applyFill="1" applyBorder="1" applyAlignment="1">
      <alignment vertical="center"/>
    </xf>
    <xf numFmtId="0" fontId="9" fillId="6" borderId="9" xfId="0" applyFont="1" applyFill="1" applyBorder="1" applyAlignment="1">
      <alignment vertical="center"/>
    </xf>
    <xf numFmtId="164" fontId="8" fillId="6" borderId="2" xfId="0" applyNumberFormat="1" applyFont="1" applyFill="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0" fontId="8" fillId="6" borderId="3" xfId="0" applyFont="1" applyFill="1" applyBorder="1" applyAlignment="1">
      <alignment vertical="center"/>
    </xf>
    <xf numFmtId="0" fontId="8" fillId="6" borderId="9" xfId="0" applyFont="1" applyFill="1" applyBorder="1" applyAlignment="1">
      <alignment vertical="center" wrapText="1"/>
    </xf>
    <xf numFmtId="3" fontId="8" fillId="6" borderId="3" xfId="0" applyNumberFormat="1" applyFont="1" applyFill="1" applyBorder="1" applyAlignment="1">
      <alignment vertical="center"/>
    </xf>
    <xf numFmtId="4" fontId="8" fillId="6" borderId="3" xfId="0" applyNumberFormat="1" applyFont="1" applyFill="1" applyBorder="1" applyAlignment="1">
      <alignment vertical="center"/>
    </xf>
    <xf numFmtId="4" fontId="8" fillId="6" borderId="4" xfId="0" applyNumberFormat="1" applyFont="1" applyFill="1" applyBorder="1" applyAlignment="1">
      <alignment horizontal="center" vertical="center" wrapText="1"/>
    </xf>
    <xf numFmtId="4" fontId="8" fillId="6" borderId="2" xfId="0" applyNumberFormat="1" applyFont="1" applyFill="1" applyBorder="1" applyAlignment="1">
      <alignment horizontal="center" vertical="center" wrapText="1"/>
    </xf>
    <xf numFmtId="0" fontId="8" fillId="6" borderId="6" xfId="0" applyFont="1" applyFill="1" applyBorder="1" applyAlignment="1">
      <alignment vertical="center"/>
    </xf>
    <xf numFmtId="0" fontId="8" fillId="6" borderId="10" xfId="0" applyFont="1" applyFill="1" applyBorder="1" applyAlignment="1">
      <alignment vertical="center" wrapText="1"/>
    </xf>
    <xf numFmtId="3" fontId="8" fillId="6" borderId="5" xfId="0" applyNumberFormat="1" applyFont="1" applyFill="1" applyBorder="1" applyAlignment="1">
      <alignment vertical="center"/>
    </xf>
    <xf numFmtId="164" fontId="8" fillId="6" borderId="5" xfId="0" applyNumberFormat="1" applyFont="1" applyFill="1" applyBorder="1" applyAlignment="1">
      <alignment horizontal="center" vertical="center"/>
    </xf>
    <xf numFmtId="4" fontId="8" fillId="6" borderId="5" xfId="0" applyNumberFormat="1" applyFont="1" applyFill="1" applyBorder="1" applyAlignment="1">
      <alignment vertical="center"/>
    </xf>
    <xf numFmtId="4" fontId="8" fillId="6" borderId="5" xfId="0" applyNumberFormat="1" applyFont="1" applyFill="1" applyBorder="1" applyAlignment="1">
      <alignment horizontal="center" vertical="center" wrapText="1"/>
    </xf>
    <xf numFmtId="0" fontId="8" fillId="2" borderId="8" xfId="0" applyFont="1" applyFill="1" applyBorder="1" applyAlignment="1">
      <alignment vertical="center" wrapText="1"/>
    </xf>
    <xf numFmtId="4" fontId="8" fillId="4" borderId="4" xfId="0" applyNumberFormat="1" applyFont="1" applyFill="1" applyBorder="1" applyAlignment="1">
      <alignment horizontal="center" vertical="center" wrapText="1"/>
    </xf>
    <xf numFmtId="4" fontId="8" fillId="4" borderId="2" xfId="0" applyNumberFormat="1" applyFont="1" applyFill="1" applyBorder="1" applyAlignment="1">
      <alignment horizontal="center"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4" fontId="8" fillId="4" borderId="5" xfId="0" applyNumberFormat="1" applyFont="1" applyFill="1" applyBorder="1" applyAlignment="1">
      <alignment horizontal="center" vertical="center" wrapText="1"/>
    </xf>
    <xf numFmtId="0" fontId="8" fillId="0" borderId="8" xfId="0" applyFont="1" applyBorder="1" applyAlignment="1">
      <alignment vertical="center" wrapText="1"/>
    </xf>
    <xf numFmtId="4" fontId="4" fillId="0" borderId="4" xfId="0" applyNumberFormat="1" applyFont="1" applyFill="1" applyBorder="1" applyAlignment="1">
      <alignment horizontal="center" vertical="center" wrapText="1"/>
    </xf>
    <xf numFmtId="0" fontId="8" fillId="0" borderId="9" xfId="0" applyFont="1" applyBorder="1" applyAlignment="1">
      <alignment vertical="center" wrapText="1"/>
    </xf>
    <xf numFmtId="0" fontId="16" fillId="0" borderId="9" xfId="0" applyFont="1" applyBorder="1" applyAlignment="1">
      <alignment vertical="center" wrapText="1"/>
    </xf>
    <xf numFmtId="0" fontId="8" fillId="0" borderId="10" xfId="0" applyFont="1" applyBorder="1" applyAlignment="1">
      <alignment vertical="center" wrapText="1"/>
    </xf>
    <xf numFmtId="0" fontId="4" fillId="0" borderId="5" xfId="0" applyFont="1" applyBorder="1" applyAlignment="1">
      <alignment horizontal="center" vertical="center" wrapText="1"/>
    </xf>
    <xf numFmtId="0" fontId="17" fillId="0" borderId="9" xfId="0" applyFont="1" applyBorder="1" applyAlignment="1">
      <alignment vertical="center" wrapText="1"/>
    </xf>
    <xf numFmtId="4" fontId="4" fillId="0" borderId="4" xfId="0" applyNumberFormat="1" applyFont="1" applyFill="1" applyBorder="1" applyAlignment="1">
      <alignment horizontal="center" vertical="center"/>
    </xf>
    <xf numFmtId="4" fontId="4" fillId="0" borderId="5" xfId="0" applyNumberFormat="1" applyFont="1" applyFill="1" applyBorder="1" applyAlignment="1">
      <alignment horizontal="center" vertical="center"/>
    </xf>
    <xf numFmtId="0" fontId="4" fillId="0" borderId="5" xfId="0" applyFont="1" applyBorder="1" applyAlignment="1">
      <alignment horizontal="left" vertical="center"/>
    </xf>
    <xf numFmtId="3" fontId="8" fillId="4" borderId="2" xfId="0" applyNumberFormat="1" applyFont="1" applyFill="1" applyBorder="1" applyAlignment="1">
      <alignment vertical="center"/>
    </xf>
    <xf numFmtId="4" fontId="8" fillId="8" borderId="2" xfId="0" applyNumberFormat="1" applyFont="1" applyFill="1" applyBorder="1" applyAlignment="1">
      <alignment vertical="center"/>
    </xf>
    <xf numFmtId="0" fontId="16" fillId="0" borderId="10" xfId="0" applyFont="1" applyBorder="1" applyAlignment="1">
      <alignment vertical="center" wrapText="1"/>
    </xf>
    <xf numFmtId="3" fontId="8" fillId="0" borderId="6" xfId="0" applyNumberFormat="1" applyFont="1" applyFill="1" applyBorder="1" applyAlignment="1">
      <alignment vertical="center"/>
    </xf>
    <xf numFmtId="0" fontId="4" fillId="0" borderId="5" xfId="0" applyFont="1" applyBorder="1" applyAlignment="1">
      <alignment horizontal="left" vertical="center" wrapText="1"/>
    </xf>
    <xf numFmtId="3" fontId="8" fillId="0" borderId="7" xfId="0" applyNumberFormat="1" applyFont="1" applyFill="1" applyBorder="1" applyAlignment="1">
      <alignment vertical="center"/>
    </xf>
    <xf numFmtId="4" fontId="4" fillId="0" borderId="4" xfId="0" applyNumberFormat="1" applyFont="1" applyFill="1" applyBorder="1" applyAlignment="1">
      <alignment horizontal="left" vertical="center" wrapText="1"/>
    </xf>
    <xf numFmtId="49" fontId="18" fillId="0" borderId="2" xfId="0" applyNumberFormat="1" applyFont="1" applyBorder="1" applyAlignment="1">
      <alignment vertical="center"/>
    </xf>
    <xf numFmtId="3" fontId="18" fillId="0" borderId="2" xfId="0" applyNumberFormat="1" applyFont="1" applyBorder="1" applyAlignment="1">
      <alignment vertical="center"/>
    </xf>
    <xf numFmtId="3" fontId="18" fillId="0" borderId="2" xfId="0" applyNumberFormat="1" applyFont="1" applyFill="1" applyBorder="1" applyAlignment="1">
      <alignment vertical="center"/>
    </xf>
    <xf numFmtId="164" fontId="18" fillId="0" borderId="2" xfId="0" applyNumberFormat="1" applyFont="1" applyBorder="1" applyAlignment="1">
      <alignment horizontal="center" vertical="center"/>
    </xf>
    <xf numFmtId="4" fontId="18" fillId="0" borderId="2" xfId="0" applyNumberFormat="1" applyFont="1" applyFill="1" applyBorder="1" applyAlignment="1">
      <alignment vertical="center"/>
    </xf>
    <xf numFmtId="4" fontId="18" fillId="0" borderId="3" xfId="0" applyNumberFormat="1" applyFont="1" applyFill="1" applyBorder="1" applyAlignment="1">
      <alignment vertical="center"/>
    </xf>
    <xf numFmtId="49" fontId="18" fillId="0" borderId="3" xfId="0" applyNumberFormat="1" applyFont="1" applyBorder="1" applyAlignment="1">
      <alignment vertical="center"/>
    </xf>
    <xf numFmtId="3" fontId="18" fillId="0" borderId="3" xfId="0" applyNumberFormat="1" applyFont="1" applyBorder="1" applyAlignment="1">
      <alignment vertical="center"/>
    </xf>
    <xf numFmtId="3" fontId="18" fillId="0" borderId="3" xfId="0" applyNumberFormat="1" applyFont="1" applyFill="1" applyBorder="1" applyAlignment="1">
      <alignment vertical="center"/>
    </xf>
    <xf numFmtId="164" fontId="18" fillId="0" borderId="3" xfId="0" applyNumberFormat="1" applyFont="1" applyBorder="1" applyAlignment="1">
      <alignment horizontal="center" vertical="center"/>
    </xf>
    <xf numFmtId="0" fontId="0" fillId="0" borderId="5" xfId="0" applyBorder="1" applyAlignment="1">
      <alignment vertical="center"/>
    </xf>
    <xf numFmtId="0" fontId="8" fillId="0" borderId="4" xfId="0" applyFont="1" applyBorder="1" applyAlignment="1">
      <alignment vertical="center" wrapText="1"/>
    </xf>
    <xf numFmtId="0" fontId="12" fillId="4" borderId="9" xfId="0" applyFont="1" applyFill="1" applyBorder="1" applyAlignment="1">
      <alignment vertical="center" wrapText="1"/>
    </xf>
    <xf numFmtId="4" fontId="8" fillId="0" borderId="4" xfId="0" applyNumberFormat="1" applyFont="1" applyFill="1" applyBorder="1" applyAlignment="1">
      <alignment horizontal="center" vertical="center" wrapText="1"/>
    </xf>
    <xf numFmtId="4" fontId="8" fillId="0" borderId="5" xfId="0" applyNumberFormat="1" applyFont="1" applyFill="1" applyBorder="1" applyAlignment="1">
      <alignment horizontal="left" vertical="center" wrapText="1"/>
    </xf>
    <xf numFmtId="4" fontId="8" fillId="0" borderId="4" xfId="0" applyNumberFormat="1" applyFont="1" applyFill="1" applyBorder="1" applyAlignment="1">
      <alignment horizontal="left" vertical="center" wrapText="1"/>
    </xf>
    <xf numFmtId="4" fontId="8" fillId="0" borderId="5" xfId="0" applyNumberFormat="1" applyFont="1" applyFill="1" applyBorder="1" applyAlignment="1">
      <alignment horizontal="center" vertical="center" wrapText="1"/>
    </xf>
    <xf numFmtId="0" fontId="8" fillId="0" borderId="21" xfId="0" applyFont="1" applyBorder="1" applyAlignment="1">
      <alignment vertical="center"/>
    </xf>
    <xf numFmtId="0" fontId="8" fillId="0" borderId="22" xfId="0" applyFont="1" applyBorder="1" applyAlignment="1">
      <alignment vertical="center" wrapText="1"/>
    </xf>
    <xf numFmtId="0" fontId="8" fillId="0" borderId="23" xfId="0" applyFont="1" applyBorder="1" applyAlignment="1">
      <alignment horizontal="center" vertical="center"/>
    </xf>
    <xf numFmtId="4" fontId="8" fillId="0" borderId="24" xfId="0" applyNumberFormat="1" applyFont="1" applyBorder="1" applyAlignment="1">
      <alignment vertical="center"/>
    </xf>
    <xf numFmtId="164" fontId="8" fillId="0" borderId="23" xfId="0" applyNumberFormat="1" applyFont="1" applyBorder="1" applyAlignment="1">
      <alignment horizontal="center" vertical="center"/>
    </xf>
    <xf numFmtId="4" fontId="4" fillId="0" borderId="12" xfId="0" applyNumberFormat="1" applyFont="1" applyFill="1" applyBorder="1" applyAlignment="1">
      <alignment horizontal="center" vertical="center" wrapText="1"/>
    </xf>
    <xf numFmtId="0" fontId="8" fillId="0" borderId="16" xfId="0" applyFont="1" applyBorder="1" applyAlignment="1">
      <alignment vertical="center"/>
    </xf>
    <xf numFmtId="0" fontId="8" fillId="0" borderId="25" xfId="0" applyFont="1" applyFill="1" applyBorder="1" applyAlignment="1">
      <alignment vertical="center" wrapText="1"/>
    </xf>
    <xf numFmtId="0" fontId="6" fillId="0" borderId="16" xfId="0" applyFont="1" applyFill="1" applyBorder="1" applyAlignment="1">
      <alignment vertical="center"/>
    </xf>
    <xf numFmtId="4" fontId="6" fillId="0" borderId="25" xfId="0" applyNumberFormat="1" applyFont="1" applyFill="1" applyBorder="1" applyAlignment="1">
      <alignment vertical="center"/>
    </xf>
    <xf numFmtId="164" fontId="6" fillId="0" borderId="15" xfId="0" applyNumberFormat="1" applyFont="1" applyBorder="1" applyAlignment="1">
      <alignment horizontal="center" vertical="center"/>
    </xf>
    <xf numFmtId="0" fontId="19" fillId="0" borderId="25" xfId="0" applyFont="1" applyFill="1" applyBorder="1" applyAlignment="1">
      <alignment vertical="center" wrapText="1"/>
    </xf>
    <xf numFmtId="49" fontId="8" fillId="0" borderId="2" xfId="0" applyNumberFormat="1" applyFont="1" applyFill="1" applyBorder="1" applyAlignment="1">
      <alignment vertical="center"/>
    </xf>
    <xf numFmtId="0" fontId="8" fillId="0" borderId="26" xfId="0" applyFont="1" applyBorder="1" applyAlignment="1">
      <alignment vertical="center"/>
    </xf>
    <xf numFmtId="0" fontId="8" fillId="0" borderId="27" xfId="0" applyFont="1" applyFill="1" applyBorder="1" applyAlignment="1">
      <alignment vertical="center" wrapText="1"/>
    </xf>
    <xf numFmtId="0" fontId="8" fillId="0" borderId="13" xfId="0" applyFont="1" applyFill="1" applyBorder="1" applyAlignment="1">
      <alignment horizontal="center" vertical="center"/>
    </xf>
    <xf numFmtId="0" fontId="8" fillId="0" borderId="26" xfId="0" applyFont="1" applyFill="1" applyBorder="1" applyAlignment="1">
      <alignment vertical="center"/>
    </xf>
    <xf numFmtId="4" fontId="8" fillId="0" borderId="28" xfId="0" applyNumberFormat="1" applyFont="1" applyFill="1" applyBorder="1" applyAlignment="1">
      <alignment vertical="center"/>
    </xf>
    <xf numFmtId="164" fontId="8" fillId="0" borderId="13" xfId="0" applyNumberFormat="1" applyFont="1" applyFill="1" applyBorder="1" applyAlignment="1">
      <alignment horizontal="center" vertical="center"/>
    </xf>
    <xf numFmtId="4" fontId="4" fillId="0" borderId="13" xfId="0" applyNumberFormat="1" applyFont="1" applyFill="1" applyBorder="1" applyAlignment="1">
      <alignment horizontal="left" vertical="center" wrapText="1"/>
    </xf>
    <xf numFmtId="0" fontId="8" fillId="0" borderId="22" xfId="0" applyFont="1" applyFill="1" applyBorder="1" applyAlignment="1">
      <alignment vertical="center" wrapText="1"/>
    </xf>
    <xf numFmtId="0" fontId="8" fillId="0" borderId="23" xfId="0" applyFont="1" applyFill="1" applyBorder="1" applyAlignment="1">
      <alignment horizontal="center" vertical="center"/>
    </xf>
    <xf numFmtId="0" fontId="8" fillId="0" borderId="21" xfId="0" applyFont="1" applyFill="1" applyBorder="1" applyAlignment="1">
      <alignment vertical="center"/>
    </xf>
    <xf numFmtId="4" fontId="8" fillId="0" borderId="24" xfId="0" applyNumberFormat="1" applyFont="1" applyFill="1" applyBorder="1" applyAlignment="1">
      <alignment vertical="center"/>
    </xf>
    <xf numFmtId="164" fontId="8" fillId="0" borderId="23" xfId="0" applyNumberFormat="1" applyFont="1" applyFill="1" applyBorder="1" applyAlignment="1">
      <alignment horizontal="center" vertical="center"/>
    </xf>
    <xf numFmtId="4" fontId="4" fillId="0" borderId="12" xfId="0" applyNumberFormat="1" applyFont="1" applyFill="1" applyBorder="1" applyAlignment="1">
      <alignment horizontal="left" vertical="center" wrapText="1"/>
    </xf>
    <xf numFmtId="0" fontId="8" fillId="0" borderId="0" xfId="0" applyFont="1" applyFill="1" applyAlignment="1">
      <alignment vertical="center" wrapText="1"/>
    </xf>
    <xf numFmtId="0" fontId="8" fillId="0" borderId="9" xfId="0" applyFont="1" applyFill="1" applyBorder="1" applyAlignment="1">
      <alignment vertical="center" wrapText="1"/>
    </xf>
    <xf numFmtId="0" fontId="19" fillId="0" borderId="9" xfId="0" applyFont="1" applyFill="1" applyBorder="1" applyAlignment="1">
      <alignment vertical="center" wrapText="1"/>
    </xf>
    <xf numFmtId="0" fontId="6" fillId="0" borderId="0" xfId="0" applyFont="1" applyFill="1" applyBorder="1" applyAlignment="1">
      <alignment vertical="center"/>
    </xf>
    <xf numFmtId="49" fontId="8" fillId="0" borderId="9" xfId="0" applyNumberFormat="1" applyFont="1" applyFill="1" applyBorder="1" applyAlignment="1">
      <alignment vertical="center"/>
    </xf>
    <xf numFmtId="49" fontId="8" fillId="0" borderId="0" xfId="0" applyNumberFormat="1" applyFont="1" applyFill="1" applyBorder="1" applyAlignment="1">
      <alignment vertical="center"/>
    </xf>
    <xf numFmtId="0" fontId="8" fillId="0" borderId="8" xfId="0" applyFont="1" applyFill="1" applyBorder="1" applyAlignment="1">
      <alignment vertical="center" wrapText="1"/>
    </xf>
    <xf numFmtId="0" fontId="8" fillId="0" borderId="4" xfId="0" applyFont="1" applyFill="1" applyBorder="1" applyAlignment="1">
      <alignment vertical="center" wrapText="1"/>
    </xf>
    <xf numFmtId="0" fontId="6" fillId="0" borderId="2" xfId="0" applyFont="1" applyFill="1" applyBorder="1" applyAlignment="1">
      <alignment vertical="center"/>
    </xf>
    <xf numFmtId="49" fontId="8" fillId="0" borderId="3" xfId="0" applyNumberFormat="1" applyFont="1" applyFill="1" applyBorder="1" applyAlignment="1">
      <alignment vertical="center"/>
    </xf>
    <xf numFmtId="164" fontId="8" fillId="0" borderId="3" xfId="0" applyNumberFormat="1" applyFont="1" applyFill="1" applyBorder="1" applyAlignment="1">
      <alignment horizontal="center" vertical="center"/>
    </xf>
    <xf numFmtId="49" fontId="18" fillId="0" borderId="2" xfId="0" applyNumberFormat="1" applyFont="1" applyFill="1" applyBorder="1" applyAlignment="1">
      <alignment vertical="center"/>
    </xf>
    <xf numFmtId="164" fontId="18" fillId="0" borderId="2"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49" fontId="18" fillId="0" borderId="3" xfId="0" applyNumberFormat="1" applyFont="1" applyFill="1" applyBorder="1" applyAlignment="1">
      <alignment vertical="center"/>
    </xf>
    <xf numFmtId="0" fontId="18" fillId="0" borderId="17" xfId="0" applyFont="1" applyFill="1" applyBorder="1" applyAlignment="1">
      <alignment vertical="center" wrapText="1"/>
    </xf>
    <xf numFmtId="164" fontId="18" fillId="0" borderId="3" xfId="0" applyNumberFormat="1" applyFont="1" applyFill="1" applyBorder="1" applyAlignment="1">
      <alignment horizontal="center" vertical="center"/>
    </xf>
    <xf numFmtId="0" fontId="8" fillId="0" borderId="10" xfId="0" applyFont="1" applyFill="1" applyBorder="1" applyAlignment="1">
      <alignment vertical="center" wrapText="1"/>
    </xf>
    <xf numFmtId="0" fontId="18" fillId="0" borderId="30" xfId="0" applyFont="1" applyFill="1" applyBorder="1" applyAlignment="1">
      <alignment vertical="center" wrapText="1"/>
    </xf>
    <xf numFmtId="0" fontId="0" fillId="0" borderId="31" xfId="0" applyBorder="1" applyAlignment="1">
      <alignment vertical="center" wrapText="1"/>
    </xf>
    <xf numFmtId="0" fontId="8" fillId="4" borderId="7" xfId="0" applyFont="1" applyFill="1" applyBorder="1" applyAlignment="1">
      <alignment vertical="center"/>
    </xf>
    <xf numFmtId="0" fontId="8" fillId="4" borderId="8" xfId="0" applyFont="1" applyFill="1" applyBorder="1" applyAlignment="1">
      <alignment vertical="center" wrapText="1"/>
    </xf>
    <xf numFmtId="3" fontId="8" fillId="4" borderId="7" xfId="0" applyNumberFormat="1" applyFont="1" applyFill="1" applyBorder="1" applyAlignment="1">
      <alignment vertical="center"/>
    </xf>
    <xf numFmtId="3" fontId="8" fillId="4" borderId="4" xfId="0" applyNumberFormat="1" applyFont="1" applyFill="1" applyBorder="1" applyAlignment="1">
      <alignment vertical="center"/>
    </xf>
    <xf numFmtId="4" fontId="8" fillId="4" borderId="7" xfId="0" applyNumberFormat="1" applyFont="1" applyFill="1" applyBorder="1" applyAlignment="1">
      <alignment vertical="center"/>
    </xf>
    <xf numFmtId="164" fontId="8" fillId="4" borderId="4" xfId="0" applyNumberFormat="1" applyFont="1" applyFill="1" applyBorder="1" applyAlignment="1">
      <alignment horizontal="center" vertical="center"/>
    </xf>
    <xf numFmtId="4" fontId="4" fillId="4" borderId="4" xfId="0" applyNumberFormat="1" applyFont="1" applyFill="1" applyBorder="1" applyAlignment="1">
      <alignment horizontal="center" vertical="center" wrapText="1"/>
    </xf>
    <xf numFmtId="0" fontId="8" fillId="4" borderId="9" xfId="0" applyFont="1" applyFill="1" applyBorder="1" applyAlignment="1">
      <alignment vertical="center" wrapText="1"/>
    </xf>
    <xf numFmtId="3" fontId="8" fillId="4" borderId="3" xfId="0" applyNumberFormat="1" applyFont="1" applyFill="1" applyBorder="1" applyAlignment="1">
      <alignment vertical="center"/>
    </xf>
    <xf numFmtId="4" fontId="8" fillId="4" borderId="3" xfId="0" applyNumberFormat="1" applyFont="1" applyFill="1" applyBorder="1" applyAlignment="1">
      <alignment vertical="center"/>
    </xf>
    <xf numFmtId="0" fontId="0" fillId="0" borderId="10" xfId="0" applyBorder="1" applyAlignment="1">
      <alignment vertical="center" wrapText="1"/>
    </xf>
    <xf numFmtId="164" fontId="8" fillId="0" borderId="5" xfId="0" applyNumberFormat="1" applyFont="1" applyBorder="1" applyAlignment="1">
      <alignment horizontal="left" vertical="center"/>
    </xf>
    <xf numFmtId="0" fontId="16" fillId="0" borderId="9" xfId="0" applyFont="1" applyFill="1" applyBorder="1" applyAlignment="1">
      <alignment vertical="center" wrapText="1"/>
    </xf>
    <xf numFmtId="49" fontId="8" fillId="0" borderId="9" xfId="0" applyNumberFormat="1" applyFont="1" applyFill="1" applyBorder="1" applyAlignment="1">
      <alignment vertical="center" wrapText="1"/>
    </xf>
    <xf numFmtId="49" fontId="16" fillId="0" borderId="9" xfId="0" applyNumberFormat="1" applyFont="1" applyFill="1" applyBorder="1" applyAlignment="1">
      <alignment vertical="center" wrapText="1"/>
    </xf>
    <xf numFmtId="0" fontId="8" fillId="0" borderId="5" xfId="0" applyFont="1" applyFill="1" applyBorder="1" applyAlignment="1">
      <alignment horizontal="center" vertical="center"/>
    </xf>
    <xf numFmtId="4" fontId="4" fillId="0" borderId="4" xfId="0" applyNumberFormat="1" applyFont="1" applyFill="1" applyBorder="1" applyAlignment="1">
      <alignment vertical="center" wrapText="1"/>
    </xf>
    <xf numFmtId="3" fontId="8" fillId="0" borderId="2" xfId="0" applyNumberFormat="1" applyFont="1" applyFill="1" applyBorder="1" applyAlignment="1">
      <alignment vertical="center" wrapText="1"/>
    </xf>
    <xf numFmtId="4" fontId="8" fillId="4" borderId="4" xfId="0" applyNumberFormat="1" applyFont="1" applyFill="1" applyBorder="1" applyAlignment="1">
      <alignment vertical="center"/>
    </xf>
    <xf numFmtId="49" fontId="4" fillId="4" borderId="4" xfId="0" applyNumberFormat="1" applyFont="1" applyFill="1" applyBorder="1" applyAlignment="1">
      <alignment horizontal="center" vertical="center" wrapText="1"/>
    </xf>
    <xf numFmtId="0" fontId="8" fillId="0" borderId="9" xfId="0" applyNumberFormat="1" applyFont="1" applyFill="1" applyBorder="1" applyAlignment="1">
      <alignment vertical="center" wrapText="1"/>
    </xf>
    <xf numFmtId="0" fontId="9" fillId="0" borderId="0" xfId="0" applyFont="1" applyAlignment="1">
      <alignment horizontal="right" vertical="center"/>
    </xf>
    <xf numFmtId="4" fontId="6" fillId="5" borderId="2" xfId="0" applyNumberFormat="1" applyFont="1" applyFill="1" applyBorder="1" applyAlignment="1">
      <alignment vertical="center"/>
    </xf>
    <xf numFmtId="164" fontId="6" fillId="5" borderId="2" xfId="0" applyNumberFormat="1" applyFont="1" applyFill="1" applyBorder="1" applyAlignment="1">
      <alignment horizontal="center" vertical="center"/>
    </xf>
    <xf numFmtId="4" fontId="9" fillId="5" borderId="2" xfId="0" applyNumberFormat="1" applyFont="1" applyFill="1" applyBorder="1" applyAlignment="1">
      <alignment vertical="center"/>
    </xf>
    <xf numFmtId="4" fontId="8" fillId="5" borderId="2" xfId="0" applyNumberFormat="1" applyFont="1" applyFill="1" applyBorder="1" applyAlignment="1">
      <alignment vertical="center"/>
    </xf>
    <xf numFmtId="164" fontId="8" fillId="5" borderId="2" xfId="0" applyNumberFormat="1" applyFont="1" applyFill="1" applyBorder="1" applyAlignment="1">
      <alignment horizontal="center"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3" borderId="16" xfId="0" applyFont="1" applyFill="1" applyBorder="1" applyAlignment="1">
      <alignment horizontal="center" vertical="center"/>
    </xf>
    <xf numFmtId="0" fontId="8" fillId="3" borderId="1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Fill="1" applyBorder="1" applyAlignment="1">
      <alignment vertical="center"/>
    </xf>
    <xf numFmtId="0" fontId="8" fillId="0" borderId="5" xfId="0" applyFont="1" applyFill="1" applyBorder="1" applyAlignment="1">
      <alignment vertical="center"/>
    </xf>
    <xf numFmtId="0" fontId="8" fillId="0" borderId="5" xfId="0" applyFont="1" applyBorder="1" applyAlignment="1">
      <alignment horizontal="center" vertical="center" wrapText="1"/>
    </xf>
    <xf numFmtId="0" fontId="8" fillId="6" borderId="2" xfId="0" applyFont="1" applyFill="1" applyBorder="1" applyAlignment="1">
      <alignment horizontal="center" vertical="center"/>
    </xf>
    <xf numFmtId="0" fontId="8" fillId="6" borderId="5" xfId="0" applyFont="1" applyFill="1" applyBorder="1" applyAlignment="1">
      <alignment horizontal="center" vertical="center"/>
    </xf>
    <xf numFmtId="49" fontId="8" fillId="6" borderId="3" xfId="0" applyNumberFormat="1" applyFont="1" applyFill="1" applyBorder="1" applyAlignment="1">
      <alignment vertical="center"/>
    </xf>
    <xf numFmtId="49" fontId="8" fillId="6" borderId="9" xfId="0" applyNumberFormat="1" applyFont="1" applyFill="1" applyBorder="1" applyAlignment="1">
      <alignment vertical="center"/>
    </xf>
    <xf numFmtId="4" fontId="4" fillId="0" borderId="5" xfId="0" applyNumberFormat="1" applyFont="1" applyFill="1" applyBorder="1" applyAlignment="1">
      <alignment horizontal="left" vertical="center" wrapText="1"/>
    </xf>
    <xf numFmtId="0" fontId="0" fillId="0" borderId="5" xfId="0" applyBorder="1" applyAlignment="1">
      <alignment vertical="center" wrapText="1"/>
    </xf>
    <xf numFmtId="3" fontId="6" fillId="5" borderId="2" xfId="0" applyNumberFormat="1" applyFont="1" applyFill="1" applyBorder="1" applyAlignment="1">
      <alignment vertical="center"/>
    </xf>
    <xf numFmtId="3" fontId="8" fillId="5" borderId="2" xfId="0" applyNumberFormat="1" applyFont="1" applyFill="1" applyBorder="1" applyAlignment="1">
      <alignment vertical="center"/>
    </xf>
    <xf numFmtId="0" fontId="8" fillId="4" borderId="3" xfId="0" applyFont="1" applyFill="1" applyBorder="1" applyAlignment="1">
      <alignment vertical="center"/>
    </xf>
    <xf numFmtId="0" fontId="8" fillId="4" borderId="2" xfId="0" applyFont="1" applyFill="1" applyBorder="1" applyAlignment="1">
      <alignment horizontal="center" vertical="center"/>
    </xf>
    <xf numFmtId="164" fontId="8" fillId="4" borderId="2" xfId="0" applyNumberFormat="1" applyFont="1" applyFill="1" applyBorder="1" applyAlignment="1">
      <alignment horizontal="center" vertical="center"/>
    </xf>
    <xf numFmtId="0" fontId="8" fillId="4" borderId="4" xfId="0" applyFont="1" applyFill="1" applyBorder="1" applyAlignment="1">
      <alignment vertical="center"/>
    </xf>
    <xf numFmtId="0" fontId="8" fillId="0" borderId="9" xfId="0"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0" fontId="16" fillId="0" borderId="9" xfId="0" applyFont="1" applyBorder="1" applyAlignment="1">
      <alignment horizontal="left" vertical="center" wrapText="1"/>
    </xf>
    <xf numFmtId="0" fontId="6" fillId="8" borderId="3" xfId="0" applyFont="1" applyFill="1" applyBorder="1" applyAlignment="1">
      <alignment vertical="center"/>
    </xf>
    <xf numFmtId="0" fontId="6" fillId="8" borderId="9" xfId="0" applyFont="1" applyFill="1" applyBorder="1" applyAlignment="1">
      <alignment vertical="center"/>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3" fontId="8" fillId="0" borderId="2" xfId="0" applyNumberFormat="1" applyFont="1" applyBorder="1" applyAlignment="1">
      <alignment horizontal="center" vertical="center" wrapText="1"/>
    </xf>
    <xf numFmtId="4" fontId="4" fillId="0" borderId="2" xfId="0" applyNumberFormat="1" applyFont="1" applyFill="1" applyBorder="1" applyAlignment="1">
      <alignment horizontal="left" vertical="center" wrapText="1"/>
    </xf>
    <xf numFmtId="4" fontId="4" fillId="0" borderId="5" xfId="0" applyNumberFormat="1" applyFont="1" applyFill="1" applyBorder="1" applyAlignment="1">
      <alignment horizontal="left" vertical="center" wrapText="1"/>
    </xf>
    <xf numFmtId="0" fontId="0" fillId="0" borderId="5" xfId="0" applyBorder="1" applyAlignment="1">
      <alignment vertical="center" wrapText="1"/>
    </xf>
    <xf numFmtId="0" fontId="8" fillId="0" borderId="9" xfId="0" applyFont="1" applyBorder="1" applyAlignment="1">
      <alignment horizontal="left" vertical="center" wrapText="1"/>
    </xf>
    <xf numFmtId="0" fontId="8" fillId="0" borderId="2" xfId="0" applyFont="1" applyFill="1" applyBorder="1" applyAlignment="1">
      <alignment horizontal="center" vertical="center" wrapText="1"/>
    </xf>
    <xf numFmtId="49" fontId="8" fillId="0" borderId="8" xfId="0" applyNumberFormat="1" applyFont="1" applyFill="1" applyBorder="1" applyAlignment="1">
      <alignment horizontal="left" vertical="center" wrapText="1"/>
    </xf>
    <xf numFmtId="0" fontId="8" fillId="0" borderId="7" xfId="0" applyFont="1" applyBorder="1" applyAlignment="1">
      <alignment horizontal="left" vertical="center"/>
    </xf>
    <xf numFmtId="0" fontId="8" fillId="0" borderId="3" xfId="0" applyFont="1" applyBorder="1" applyAlignment="1">
      <alignment horizontal="left" vertic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3" fontId="8"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8" fillId="3" borderId="17" xfId="0"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167" fontId="4" fillId="0" borderId="2" xfId="0" applyNumberFormat="1"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0" borderId="15" xfId="0" applyFont="1" applyFill="1" applyBorder="1" applyAlignment="1">
      <alignment horizontal="center" vertical="center" wrapText="1"/>
    </xf>
    <xf numFmtId="4" fontId="4" fillId="0" borderId="15"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5" xfId="0" applyFont="1" applyFill="1" applyBorder="1" applyAlignment="1">
      <alignment horizontal="left" vertical="center" wrapText="1"/>
    </xf>
    <xf numFmtId="167" fontId="4" fillId="0" borderId="9" xfId="0" applyNumberFormat="1" applyFont="1" applyFill="1" applyBorder="1" applyAlignment="1">
      <alignment horizontal="left" vertical="center" wrapText="1"/>
    </xf>
    <xf numFmtId="0" fontId="0" fillId="0" borderId="10" xfId="0" applyBorder="1" applyAlignment="1">
      <alignment horizontal="left" vertical="center" wrapText="1"/>
    </xf>
    <xf numFmtId="0" fontId="8" fillId="3" borderId="15" xfId="0" applyFont="1" applyFill="1" applyBorder="1" applyAlignment="1">
      <alignment horizontal="center" vertical="center"/>
    </xf>
    <xf numFmtId="0" fontId="19" fillId="0" borderId="25" xfId="0" applyFont="1" applyFill="1" applyBorder="1" applyAlignment="1">
      <alignment horizontal="left" vertical="center" wrapText="1"/>
    </xf>
    <xf numFmtId="0" fontId="18" fillId="0" borderId="2" xfId="0" applyFont="1" applyBorder="1" applyAlignment="1">
      <alignment horizontal="center" vertical="center" wrapText="1"/>
    </xf>
    <xf numFmtId="0" fontId="17" fillId="0" borderId="9" xfId="0" applyFont="1" applyBorder="1" applyAlignment="1">
      <alignment horizontal="left" vertical="center" wrapText="1"/>
    </xf>
    <xf numFmtId="4" fontId="9" fillId="0" borderId="2" xfId="0" applyNumberFormat="1" applyFont="1" applyFill="1" applyBorder="1" applyAlignment="1">
      <alignment horizontal="left" vertical="center" wrapText="1"/>
    </xf>
    <xf numFmtId="0" fontId="8" fillId="6" borderId="4"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5" xfId="0" applyFont="1" applyFill="1" applyBorder="1" applyAlignment="1">
      <alignment horizontal="center" vertical="center"/>
    </xf>
    <xf numFmtId="0" fontId="6" fillId="6" borderId="3" xfId="0" applyFont="1" applyFill="1" applyBorder="1" applyAlignment="1">
      <alignment vertical="center"/>
    </xf>
    <xf numFmtId="0" fontId="6" fillId="6" borderId="9" xfId="0" applyFont="1" applyFill="1" applyBorder="1" applyAlignment="1">
      <alignment vertical="center"/>
    </xf>
    <xf numFmtId="49" fontId="8" fillId="6" borderId="3" xfId="0" applyNumberFormat="1" applyFont="1" applyFill="1" applyBorder="1" applyAlignment="1">
      <alignment vertical="center"/>
    </xf>
    <xf numFmtId="49" fontId="8" fillId="6" borderId="9" xfId="0" applyNumberFormat="1" applyFont="1" applyFill="1" applyBorder="1" applyAlignment="1">
      <alignmen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2" xfId="0" applyNumberFormat="1" applyFont="1" applyBorder="1" applyAlignment="1">
      <alignment horizontal="center" vertical="center" wrapText="1"/>
    </xf>
    <xf numFmtId="0" fontId="6" fillId="2" borderId="3" xfId="0" applyFont="1" applyFill="1" applyBorder="1" applyAlignment="1">
      <alignment vertical="center"/>
    </xf>
    <xf numFmtId="0" fontId="6" fillId="2" borderId="9" xfId="0" applyFont="1" applyFill="1" applyBorder="1" applyAlignment="1">
      <alignment vertical="center"/>
    </xf>
    <xf numFmtId="4" fontId="9" fillId="0" borderId="4" xfId="0" applyNumberFormat="1" applyFont="1" applyFill="1" applyBorder="1" applyAlignment="1">
      <alignment horizontal="left" vertical="center" wrapText="1"/>
    </xf>
    <xf numFmtId="4" fontId="9" fillId="0" borderId="5" xfId="0" applyNumberFormat="1" applyFont="1" applyFill="1" applyBorder="1" applyAlignment="1">
      <alignment horizontal="left" vertical="center" wrapText="1"/>
    </xf>
    <xf numFmtId="0" fontId="8" fillId="0" borderId="3" xfId="0" applyFont="1" applyBorder="1" applyAlignment="1">
      <alignment horizontal="left" vertical="top" wrapText="1"/>
    </xf>
    <xf numFmtId="0" fontId="8" fillId="0" borderId="9" xfId="0" applyFont="1" applyBorder="1" applyAlignment="1">
      <alignment horizontal="left" vertical="top" wrapText="1"/>
    </xf>
    <xf numFmtId="3" fontId="8" fillId="0" borderId="4" xfId="0" applyNumberFormat="1" applyFont="1" applyBorder="1" applyAlignment="1">
      <alignment horizontal="center" vertical="center" wrapText="1"/>
    </xf>
    <xf numFmtId="0" fontId="8" fillId="0" borderId="5" xfId="0" applyFont="1" applyBorder="1" applyAlignment="1">
      <alignment horizontal="center" vertical="center" wrapText="1"/>
    </xf>
    <xf numFmtId="4" fontId="9" fillId="0" borderId="2" xfId="0" applyNumberFormat="1" applyFont="1" applyFill="1" applyBorder="1" applyAlignment="1">
      <alignment vertical="center" wrapText="1"/>
    </xf>
    <xf numFmtId="0" fontId="8"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3" fontId="8" fillId="0" borderId="7"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9" fillId="0" borderId="8" xfId="0" applyNumberFormat="1" applyFont="1" applyFill="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2" fillId="0" borderId="0" xfId="0" applyFont="1" applyAlignment="1">
      <alignment horizontal="center" vertical="center" wrapText="1"/>
    </xf>
    <xf numFmtId="4" fontId="9" fillId="0" borderId="2" xfId="0" applyNumberFormat="1" applyFont="1" applyFill="1" applyBorder="1" applyAlignment="1">
      <alignment horizontal="left" vertical="top" wrapText="1"/>
    </xf>
    <xf numFmtId="0" fontId="3" fillId="0" borderId="1" xfId="0" applyFont="1" applyBorder="1" applyAlignment="1">
      <alignment horizontal="center" vertical="center"/>
    </xf>
    <xf numFmtId="0" fontId="9" fillId="0" borderId="2" xfId="0" applyFont="1" applyBorder="1" applyAlignment="1">
      <alignment horizontal="center" vertical="center" wrapText="1"/>
    </xf>
    <xf numFmtId="49" fontId="8" fillId="5" borderId="3" xfId="0" applyNumberFormat="1" applyFont="1" applyFill="1" applyBorder="1" applyAlignment="1">
      <alignment vertical="center"/>
    </xf>
    <xf numFmtId="49" fontId="8" fillId="5" borderId="9" xfId="0" applyNumberFormat="1" applyFont="1" applyFill="1" applyBorder="1" applyAlignment="1">
      <alignment vertical="center"/>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 xfId="0" applyFont="1" applyBorder="1" applyAlignment="1">
      <alignment horizontal="center" vertical="center" textRotation="90" wrapText="1"/>
    </xf>
    <xf numFmtId="0" fontId="8" fillId="0" borderId="2" xfId="0" applyFont="1" applyBorder="1" applyAlignment="1">
      <alignment horizontal="center" vertical="top"/>
    </xf>
    <xf numFmtId="0" fontId="8" fillId="0" borderId="5" xfId="0" applyFont="1" applyBorder="1" applyAlignment="1">
      <alignment horizontal="center" vertical="top"/>
    </xf>
    <xf numFmtId="4" fontId="9" fillId="0" borderId="4" xfId="0" applyNumberFormat="1" applyFont="1" applyFill="1" applyBorder="1" applyAlignment="1">
      <alignment horizontal="left" vertical="top" wrapText="1"/>
    </xf>
    <xf numFmtId="4" fontId="9" fillId="0" borderId="5" xfId="0" applyNumberFormat="1" applyFont="1" applyFill="1" applyBorder="1" applyAlignment="1">
      <alignment horizontal="left" vertical="top" wrapText="1"/>
    </xf>
    <xf numFmtId="0" fontId="9" fillId="0" borderId="5" xfId="0" applyFont="1" applyBorder="1" applyAlignment="1"/>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6" fillId="5" borderId="3" xfId="0" applyFont="1" applyFill="1" applyBorder="1" applyAlignment="1">
      <alignment vertical="center"/>
    </xf>
    <xf numFmtId="0" fontId="6" fillId="5" borderId="9" xfId="0" applyFont="1" applyFill="1" applyBorder="1" applyAlignment="1">
      <alignment vertical="center"/>
    </xf>
    <xf numFmtId="4" fontId="9" fillId="0" borderId="2" xfId="0" applyNumberFormat="1" applyFont="1" applyFill="1" applyBorder="1" applyAlignment="1">
      <alignment horizontal="center" vertical="center"/>
    </xf>
    <xf numFmtId="0" fontId="6" fillId="2" borderId="3" xfId="0" applyFont="1" applyFill="1" applyBorder="1" applyAlignment="1">
      <alignment vertical="center" wrapText="1"/>
    </xf>
    <xf numFmtId="0" fontId="1" fillId="0" borderId="9" xfId="0" applyFont="1" applyBorder="1" applyAlignment="1">
      <alignment vertical="center" wrapText="1"/>
    </xf>
    <xf numFmtId="0" fontId="26" fillId="2" borderId="3" xfId="0" applyFont="1" applyFill="1" applyBorder="1" applyAlignment="1">
      <alignment vertical="center"/>
    </xf>
    <xf numFmtId="0" fontId="26" fillId="2" borderId="9" xfId="0" applyFont="1" applyFill="1" applyBorder="1" applyAlignment="1">
      <alignment vertical="center"/>
    </xf>
    <xf numFmtId="0" fontId="8" fillId="0" borderId="4" xfId="0" applyFont="1" applyFill="1" applyBorder="1" applyAlignment="1">
      <alignment vertical="center"/>
    </xf>
    <xf numFmtId="0" fontId="1" fillId="0" borderId="2" xfId="0" applyFont="1" applyBorder="1" applyAlignment="1">
      <alignment vertical="center"/>
    </xf>
    <xf numFmtId="0" fontId="1" fillId="0" borderId="5" xfId="0" applyFont="1" applyBorder="1" applyAlignment="1">
      <alignment vertical="center"/>
    </xf>
    <xf numFmtId="0" fontId="8" fillId="0" borderId="4" xfId="0"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4" fontId="9" fillId="0" borderId="4" xfId="0" applyNumberFormat="1" applyFont="1" applyFill="1" applyBorder="1" applyAlignment="1">
      <alignment vertical="center" wrapText="1"/>
    </xf>
    <xf numFmtId="0" fontId="9" fillId="0" borderId="2" xfId="0" applyFont="1" applyBorder="1" applyAlignment="1">
      <alignment vertical="center" wrapText="1"/>
    </xf>
    <xf numFmtId="0" fontId="9" fillId="0" borderId="5" xfId="0" applyFont="1" applyBorder="1" applyAlignment="1">
      <alignment vertical="center" wrapText="1"/>
    </xf>
    <xf numFmtId="0" fontId="9" fillId="0" borderId="9" xfId="0" applyFont="1" applyFill="1" applyBorder="1" applyAlignment="1">
      <alignment vertical="center" wrapText="1"/>
    </xf>
    <xf numFmtId="0" fontId="9" fillId="0" borderId="9" xfId="0" applyFont="1" applyBorder="1" applyAlignment="1">
      <alignment vertical="center"/>
    </xf>
    <xf numFmtId="0" fontId="8" fillId="0" borderId="2" xfId="0" applyFont="1" applyFill="1" applyBorder="1" applyAlignment="1">
      <alignment vertical="center"/>
    </xf>
    <xf numFmtId="0" fontId="8" fillId="0" borderId="5" xfId="0" applyFont="1" applyFill="1" applyBorder="1" applyAlignment="1">
      <alignment vertical="center"/>
    </xf>
    <xf numFmtId="0" fontId="8" fillId="0" borderId="7" xfId="0" applyFont="1" applyFill="1" applyBorder="1" applyAlignment="1">
      <alignment vertical="center"/>
    </xf>
    <xf numFmtId="0" fontId="8" fillId="0" borderId="3" xfId="0" applyFont="1" applyFill="1" applyBorder="1" applyAlignment="1">
      <alignment vertical="center"/>
    </xf>
    <xf numFmtId="0" fontId="1" fillId="0" borderId="3" xfId="0" applyFont="1" applyBorder="1" applyAlignment="1">
      <alignment vertical="center"/>
    </xf>
    <xf numFmtId="0" fontId="9" fillId="0" borderId="8" xfId="0" applyFont="1" applyBorder="1" applyAlignment="1">
      <alignment vertical="center" wrapText="1"/>
    </xf>
    <xf numFmtId="0" fontId="9" fillId="0" borderId="2" xfId="0" applyFont="1" applyBorder="1" applyAlignment="1">
      <alignment horizontal="left" vertical="center" wrapText="1"/>
    </xf>
    <xf numFmtId="0" fontId="9" fillId="0" borderId="5" xfId="0" applyFont="1" applyBorder="1" applyAlignment="1">
      <alignment horizontal="left" vertical="center" wrapText="1"/>
    </xf>
    <xf numFmtId="0" fontId="12" fillId="2" borderId="3" xfId="1" applyFont="1" applyFill="1" applyBorder="1" applyAlignment="1">
      <alignment horizontal="left" vertical="top" wrapText="1"/>
    </xf>
    <xf numFmtId="0" fontId="12" fillId="2" borderId="9" xfId="1" applyFont="1" applyFill="1" applyBorder="1" applyAlignment="1">
      <alignment horizontal="left" vertical="top" wrapText="1"/>
    </xf>
    <xf numFmtId="0" fontId="13" fillId="0" borderId="4" xfId="1" applyFont="1" applyBorder="1" applyAlignment="1">
      <alignment horizontal="center" vertical="center"/>
    </xf>
    <xf numFmtId="0" fontId="13" fillId="0" borderId="2" xfId="1" applyFont="1" applyBorder="1" applyAlignment="1">
      <alignment horizontal="center" vertical="center"/>
    </xf>
    <xf numFmtId="0" fontId="13" fillId="0" borderId="9"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5" xfId="1" applyFont="1" applyBorder="1" applyAlignment="1">
      <alignment horizontal="center" vertical="center" wrapText="1"/>
    </xf>
    <xf numFmtId="4" fontId="9" fillId="0" borderId="2" xfId="1" applyNumberFormat="1" applyFont="1" applyFill="1" applyBorder="1" applyAlignment="1">
      <alignment horizontal="left" vertical="top" wrapText="1"/>
    </xf>
    <xf numFmtId="4" fontId="9" fillId="0" borderId="5" xfId="1" applyNumberFormat="1" applyFont="1" applyFill="1" applyBorder="1" applyAlignment="1">
      <alignment horizontal="left" vertical="top" wrapText="1"/>
    </xf>
    <xf numFmtId="4" fontId="9" fillId="0" borderId="2" xfId="0" applyNumberFormat="1" applyFont="1" applyFill="1" applyBorder="1" applyAlignment="1">
      <alignment vertical="top" wrapText="1"/>
    </xf>
    <xf numFmtId="4" fontId="9" fillId="0" borderId="2" xfId="0" applyNumberFormat="1" applyFont="1" applyFill="1" applyBorder="1" applyAlignment="1">
      <alignment vertical="top"/>
    </xf>
    <xf numFmtId="0" fontId="8" fillId="0" borderId="3" xfId="0" applyFont="1" applyBorder="1" applyAlignment="1">
      <alignment vertical="top" wrapText="1"/>
    </xf>
    <xf numFmtId="0" fontId="1" fillId="0" borderId="9" xfId="0" applyFont="1" applyBorder="1" applyAlignment="1">
      <alignment vertical="top" wrapText="1"/>
    </xf>
    <xf numFmtId="0" fontId="1" fillId="0" borderId="3" xfId="0" applyFont="1" applyBorder="1" applyAlignment="1">
      <alignment vertical="top" wrapText="1"/>
    </xf>
    <xf numFmtId="0" fontId="9" fillId="0" borderId="4" xfId="0" applyNumberFormat="1" applyFont="1" applyFill="1" applyBorder="1" applyAlignment="1">
      <alignment vertical="center" wrapText="1"/>
    </xf>
    <xf numFmtId="0" fontId="9" fillId="0" borderId="2" xfId="0" applyNumberFormat="1" applyFont="1" applyBorder="1" applyAlignment="1">
      <alignment vertical="center" wrapText="1"/>
    </xf>
    <xf numFmtId="0" fontId="9" fillId="0" borderId="5" xfId="0" applyNumberFormat="1" applyFont="1" applyBorder="1" applyAlignment="1">
      <alignment vertical="center" wrapText="1"/>
    </xf>
    <xf numFmtId="0" fontId="1" fillId="0" borderId="5" xfId="0" applyFont="1" applyBorder="1" applyAlignment="1">
      <alignment horizontal="center" vertical="center"/>
    </xf>
    <xf numFmtId="0" fontId="9" fillId="0" borderId="9" xfId="0" applyFont="1" applyBorder="1" applyAlignment="1">
      <alignment horizontal="left" vertical="top" wrapText="1"/>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8" fillId="0" borderId="3" xfId="0" applyFont="1" applyBorder="1" applyAlignment="1">
      <alignment horizontal="left" vertical="top"/>
    </xf>
    <xf numFmtId="0" fontId="9" fillId="0" borderId="10" xfId="0" applyFont="1" applyBorder="1" applyAlignment="1">
      <alignment horizontal="left" vertical="top" wrapText="1"/>
    </xf>
    <xf numFmtId="0" fontId="8" fillId="0" borderId="9" xfId="0" applyFont="1" applyBorder="1" applyAlignment="1">
      <alignment horizontal="center" vertical="center" wrapText="1"/>
    </xf>
    <xf numFmtId="0" fontId="8"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7" fillId="0" borderId="10" xfId="0" applyFont="1" applyBorder="1" applyAlignment="1">
      <alignment horizontal="left" vertical="center" wrapText="1"/>
    </xf>
    <xf numFmtId="4" fontId="4" fillId="0" borderId="29" xfId="0" applyNumberFormat="1" applyFont="1" applyFill="1" applyBorder="1" applyAlignment="1">
      <alignment horizontal="left" vertical="center" wrapText="1"/>
    </xf>
    <xf numFmtId="0" fontId="18" fillId="0" borderId="17" xfId="0" applyFont="1" applyFill="1" applyBorder="1" applyAlignment="1">
      <alignment horizontal="center" vertical="center" wrapText="1"/>
    </xf>
  </cellXfs>
  <cellStyles count="2">
    <cellStyle name="Normalny" xfId="0" builtinId="0"/>
    <cellStyle name="Normalny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7"/>
  <sheetViews>
    <sheetView tabSelected="1" zoomScale="120" zoomScaleNormal="120" zoomScaleSheetLayoutView="89" workbookViewId="0">
      <pane ySplit="10" topLeftCell="A907" activePane="bottomLeft" state="frozen"/>
      <selection pane="bottomLeft" activeCell="H929" sqref="H929"/>
    </sheetView>
  </sheetViews>
  <sheetFormatPr defaultRowHeight="11.25" outlineLevelRow="1"/>
  <cols>
    <col min="1" max="1" width="3" style="4" customWidth="1"/>
    <col min="2" max="2" width="12.7109375" style="238" customWidth="1"/>
    <col min="3" max="3" width="39.140625" style="240" customWidth="1"/>
    <col min="4" max="4" width="6.7109375" style="241" customWidth="1"/>
    <col min="5" max="5" width="6.42578125" style="241" customWidth="1"/>
    <col min="6" max="6" width="22.140625" style="238" customWidth="1"/>
    <col min="7" max="7" width="16.28515625" style="238" customWidth="1"/>
    <col min="8" max="8" width="14.5703125" style="238" customWidth="1"/>
    <col min="9" max="9" width="10.42578125" style="238" customWidth="1"/>
    <col min="10" max="10" width="12.7109375" style="238" customWidth="1"/>
    <col min="11" max="11" width="12.7109375" style="242" customWidth="1"/>
    <col min="12" max="12" width="12.7109375" style="340" customWidth="1"/>
    <col min="13" max="13" width="10.28515625" style="238" customWidth="1"/>
    <col min="14" max="14" width="30.7109375" style="327" customWidth="1"/>
    <col min="15" max="16384" width="9.140625" style="243"/>
  </cols>
  <sheetData>
    <row r="1" spans="1:14" s="228" customFormat="1" ht="20.25">
      <c r="A1" s="422"/>
      <c r="C1" s="229"/>
      <c r="D1" s="230"/>
      <c r="K1" s="231"/>
      <c r="L1" s="338"/>
      <c r="N1" s="232"/>
    </row>
    <row r="2" spans="1:14" s="233" customFormat="1" ht="12" customHeight="1">
      <c r="A2" s="423"/>
      <c r="C2" s="234"/>
      <c r="D2" s="235"/>
      <c r="K2" s="236"/>
      <c r="L2" s="339"/>
      <c r="N2" s="232"/>
    </row>
    <row r="3" spans="1:14" s="233" customFormat="1" ht="12.75">
      <c r="A3" s="423"/>
      <c r="C3" s="234"/>
      <c r="D3" s="235"/>
      <c r="F3" s="237"/>
      <c r="H3" s="238"/>
      <c r="K3" s="236"/>
      <c r="L3" s="339"/>
      <c r="M3" s="239"/>
      <c r="N3" s="232"/>
    </row>
    <row r="4" spans="1:14" ht="13.5" customHeight="1">
      <c r="A4" s="43" t="s">
        <v>19</v>
      </c>
      <c r="B4" s="4"/>
      <c r="N4" s="56" t="s">
        <v>505</v>
      </c>
    </row>
    <row r="5" spans="1:14" ht="13.5" customHeight="1">
      <c r="A5" s="43"/>
      <c r="N5" s="232"/>
    </row>
    <row r="6" spans="1:14" ht="13.5" customHeight="1">
      <c r="A6" s="43"/>
      <c r="N6" s="232"/>
    </row>
    <row r="7" spans="1:14" s="244" customFormat="1" ht="15" customHeight="1">
      <c r="A7" s="720" t="s">
        <v>32</v>
      </c>
      <c r="B7" s="720"/>
      <c r="C7" s="720"/>
      <c r="D7" s="720"/>
      <c r="E7" s="720"/>
      <c r="F7" s="720"/>
      <c r="G7" s="720"/>
      <c r="H7" s="720"/>
      <c r="I7" s="720"/>
      <c r="J7" s="720"/>
      <c r="K7" s="720"/>
      <c r="L7" s="720"/>
      <c r="M7" s="720"/>
      <c r="N7" s="720"/>
    </row>
    <row r="8" spans="1:14" ht="15.95" customHeight="1">
      <c r="M8" s="245"/>
      <c r="N8" s="626" t="s">
        <v>7</v>
      </c>
    </row>
    <row r="9" spans="1:14" ht="15.95" customHeight="1">
      <c r="A9" s="722" t="s">
        <v>16</v>
      </c>
      <c r="B9" s="722" t="s">
        <v>20</v>
      </c>
      <c r="C9" s="722"/>
      <c r="D9" s="729" t="s">
        <v>27</v>
      </c>
      <c r="E9" s="729" t="s">
        <v>33</v>
      </c>
      <c r="F9" s="722" t="s">
        <v>26</v>
      </c>
      <c r="G9" s="722"/>
      <c r="H9" s="722"/>
      <c r="I9" s="722"/>
      <c r="J9" s="726" t="s">
        <v>40</v>
      </c>
      <c r="K9" s="727"/>
      <c r="L9" s="727"/>
      <c r="M9" s="727"/>
      <c r="N9" s="728"/>
    </row>
    <row r="10" spans="1:14" s="41" customFormat="1" ht="45.75" customHeight="1">
      <c r="A10" s="722"/>
      <c r="B10" s="722"/>
      <c r="C10" s="722"/>
      <c r="D10" s="729"/>
      <c r="E10" s="729"/>
      <c r="F10" s="1" t="s">
        <v>17</v>
      </c>
      <c r="G10" s="2" t="s">
        <v>25</v>
      </c>
      <c r="H10" s="2" t="s">
        <v>367</v>
      </c>
      <c r="I10" s="2" t="s">
        <v>35</v>
      </c>
      <c r="J10" s="2" t="s">
        <v>41</v>
      </c>
      <c r="K10" s="70" t="s">
        <v>368</v>
      </c>
      <c r="L10" s="505" t="s">
        <v>369</v>
      </c>
      <c r="M10" s="2" t="s">
        <v>34</v>
      </c>
      <c r="N10" s="57" t="s">
        <v>3</v>
      </c>
    </row>
    <row r="11" spans="1:14" s="42" customFormat="1" ht="12" customHeight="1">
      <c r="A11" s="3" t="s">
        <v>8</v>
      </c>
      <c r="B11" s="735" t="s">
        <v>9</v>
      </c>
      <c r="C11" s="736"/>
      <c r="D11" s="3" t="s">
        <v>10</v>
      </c>
      <c r="E11" s="3" t="s">
        <v>11</v>
      </c>
      <c r="F11" s="3" t="s">
        <v>12</v>
      </c>
      <c r="G11" s="3" t="s">
        <v>13</v>
      </c>
      <c r="H11" s="3" t="s">
        <v>14</v>
      </c>
      <c r="I11" s="3" t="s">
        <v>15</v>
      </c>
      <c r="J11" s="3" t="s">
        <v>0</v>
      </c>
      <c r="K11" s="71" t="s">
        <v>1</v>
      </c>
      <c r="L11" s="506" t="s">
        <v>2</v>
      </c>
      <c r="M11" s="3" t="s">
        <v>28</v>
      </c>
      <c r="N11" s="210" t="s">
        <v>31</v>
      </c>
    </row>
    <row r="12" spans="1:14" s="251" customFormat="1" ht="3.95" customHeight="1">
      <c r="A12" s="424"/>
      <c r="B12" s="247"/>
      <c r="C12" s="248"/>
      <c r="D12" s="246"/>
      <c r="E12" s="246"/>
      <c r="F12" s="246"/>
      <c r="G12" s="246"/>
      <c r="H12" s="246"/>
      <c r="I12" s="246"/>
      <c r="J12" s="246"/>
      <c r="K12" s="249"/>
      <c r="L12" s="341"/>
      <c r="M12" s="246"/>
      <c r="N12" s="250"/>
    </row>
    <row r="13" spans="1:14" ht="10.5" customHeight="1">
      <c r="A13" s="425" t="s">
        <v>6</v>
      </c>
      <c r="B13" s="737" t="s">
        <v>21</v>
      </c>
      <c r="C13" s="738"/>
      <c r="D13" s="486"/>
      <c r="E13" s="486"/>
      <c r="F13" s="426"/>
      <c r="G13" s="627">
        <f>G16+G14+G15</f>
        <v>2175292769.3999996</v>
      </c>
      <c r="H13" s="627">
        <f>H16+H14+H15</f>
        <v>576113057.81999993</v>
      </c>
      <c r="I13" s="628">
        <f>IF(G13&gt;0,H13/G13*100,"-")</f>
        <v>26.484391706910625</v>
      </c>
      <c r="J13" s="627">
        <f>J16+J14+J15</f>
        <v>244869828</v>
      </c>
      <c r="K13" s="649">
        <f>K16+K14+K15</f>
        <v>256939446</v>
      </c>
      <c r="L13" s="627">
        <f>L16+L14+L15</f>
        <v>245394361.94</v>
      </c>
      <c r="M13" s="628">
        <f>IF(K13&gt;0,L13/K13*100,"-")</f>
        <v>95.50669068539986</v>
      </c>
      <c r="N13" s="629"/>
    </row>
    <row r="14" spans="1:14" ht="10.5" customHeight="1">
      <c r="A14" s="426"/>
      <c r="B14" s="724" t="s">
        <v>18</v>
      </c>
      <c r="C14" s="725"/>
      <c r="D14" s="486"/>
      <c r="E14" s="486"/>
      <c r="F14" s="487"/>
      <c r="G14" s="630">
        <f>G20+G323</f>
        <v>2146224199.3999999</v>
      </c>
      <c r="H14" s="630">
        <f>H20+H323</f>
        <v>556011365.67999995</v>
      </c>
      <c r="I14" s="631">
        <f>IF(G14&gt;0,H14/G14*100,"-")</f>
        <v>25.906490376701509</v>
      </c>
      <c r="J14" s="630">
        <f>J20+J323</f>
        <v>233424965</v>
      </c>
      <c r="K14" s="650">
        <f>K20+K323</f>
        <v>246161378</v>
      </c>
      <c r="L14" s="630">
        <f>L20+L323</f>
        <v>234834061.84</v>
      </c>
      <c r="M14" s="631">
        <f>IF(K14&gt;0,L14/K14*100,"-")</f>
        <v>95.398418609762587</v>
      </c>
      <c r="N14" s="629"/>
    </row>
    <row r="15" spans="1:14" ht="10.5" customHeight="1">
      <c r="A15" s="426"/>
      <c r="B15" s="487" t="s">
        <v>221</v>
      </c>
      <c r="C15" s="488"/>
      <c r="D15" s="486"/>
      <c r="E15" s="486"/>
      <c r="F15" s="487"/>
      <c r="G15" s="630">
        <f>G324</f>
        <v>8489694</v>
      </c>
      <c r="H15" s="630">
        <f>H324</f>
        <v>8488081</v>
      </c>
      <c r="I15" s="631"/>
      <c r="J15" s="630">
        <f>J324</f>
        <v>7255407</v>
      </c>
      <c r="K15" s="650">
        <f>K324</f>
        <v>6784600</v>
      </c>
      <c r="L15" s="630">
        <f>L324</f>
        <v>6782985.5999999996</v>
      </c>
      <c r="M15" s="631"/>
      <c r="N15" s="629"/>
    </row>
    <row r="16" spans="1:14" ht="10.5" customHeight="1">
      <c r="A16" s="426"/>
      <c r="B16" s="724" t="s">
        <v>23</v>
      </c>
      <c r="C16" s="725"/>
      <c r="D16" s="486"/>
      <c r="E16" s="486"/>
      <c r="F16" s="487"/>
      <c r="G16" s="630">
        <f>G21+G325</f>
        <v>20578876</v>
      </c>
      <c r="H16" s="630">
        <f>H21+H325</f>
        <v>11613611.140000001</v>
      </c>
      <c r="I16" s="631">
        <f>IF(G16&gt;0,H16/G16*100,"-")</f>
        <v>56.434623251532301</v>
      </c>
      <c r="J16" s="630">
        <f>J21+J325</f>
        <v>4189456</v>
      </c>
      <c r="K16" s="650">
        <f>K21+K325</f>
        <v>3993468</v>
      </c>
      <c r="L16" s="630">
        <f>L21+L325</f>
        <v>3777314.5</v>
      </c>
      <c r="M16" s="631">
        <f>IF(K16&gt;0,L16/K16*100,"-")</f>
        <v>94.58732359943788</v>
      </c>
      <c r="N16" s="629"/>
    </row>
    <row r="17" spans="1:14" ht="3.95" customHeight="1">
      <c r="A17" s="427"/>
      <c r="B17" s="489"/>
      <c r="C17" s="490"/>
      <c r="D17" s="491"/>
      <c r="E17" s="491"/>
      <c r="F17" s="427"/>
      <c r="G17" s="427"/>
      <c r="H17" s="427"/>
      <c r="I17" s="427"/>
      <c r="J17" s="427"/>
      <c r="K17" s="492"/>
      <c r="L17" s="493"/>
      <c r="M17" s="494"/>
      <c r="N17" s="252"/>
    </row>
    <row r="18" spans="1:14" ht="3.95" customHeight="1">
      <c r="A18" s="428"/>
      <c r="B18" s="495"/>
      <c r="C18" s="496"/>
      <c r="D18" s="497"/>
      <c r="E18" s="497"/>
      <c r="F18" s="428"/>
      <c r="G18" s="428"/>
      <c r="H18" s="428"/>
      <c r="I18" s="428"/>
      <c r="J18" s="428"/>
      <c r="K18" s="498"/>
      <c r="L18" s="499"/>
      <c r="M18" s="500"/>
      <c r="N18" s="253"/>
    </row>
    <row r="19" spans="1:14" ht="10.5" customHeight="1">
      <c r="A19" s="429" t="s">
        <v>5</v>
      </c>
      <c r="B19" s="695" t="s">
        <v>22</v>
      </c>
      <c r="C19" s="696"/>
      <c r="D19" s="433"/>
      <c r="E19" s="433"/>
      <c r="F19" s="430"/>
      <c r="G19" s="464">
        <f>SUM(G20:G21)</f>
        <v>1768886917.3999999</v>
      </c>
      <c r="H19" s="461">
        <f>SUM(H20:H21)</f>
        <v>458200098.81999993</v>
      </c>
      <c r="I19" s="501">
        <f>IF(G19&gt;0,H19/G19*100,"-")</f>
        <v>25.903300788355978</v>
      </c>
      <c r="J19" s="461">
        <f>SUM(J20:J21)</f>
        <v>197415409</v>
      </c>
      <c r="K19" s="464">
        <f>SUM(K20:K21)</f>
        <v>216892055</v>
      </c>
      <c r="L19" s="461">
        <f>SUM(L20:L21)</f>
        <v>211498988.83000001</v>
      </c>
      <c r="M19" s="501">
        <f>IF(K19&gt;0,L19/K19*100,"-")</f>
        <v>97.513479149801043</v>
      </c>
      <c r="N19" s="254"/>
    </row>
    <row r="20" spans="1:14" ht="10.5" customHeight="1">
      <c r="A20" s="430"/>
      <c r="B20" s="502" t="s">
        <v>18</v>
      </c>
      <c r="C20" s="503"/>
      <c r="D20" s="433"/>
      <c r="E20" s="433"/>
      <c r="F20" s="502"/>
      <c r="G20" s="465">
        <f>SUM(G25,G40,G67,G107,G115,G125,G143,G153,G173,G225,G292,G299,G78,G314)</f>
        <v>1767896605.3999999</v>
      </c>
      <c r="H20" s="465">
        <f>SUM(H25,H40,H67,H107,H115,H125,H143,H153,H173,H225,H292,H299,H78,H314)</f>
        <v>457519523.67999995</v>
      </c>
      <c r="I20" s="504">
        <f>IF(G20&gt;0,H20/G20*100,"-")</f>
        <v>25.879314564127618</v>
      </c>
      <c r="J20" s="465">
        <f>SUM(J25,J40,J67,J107,J115,J125,J143,J153,J173,J225,J292,J299,J78,J314)</f>
        <v>196866236</v>
      </c>
      <c r="K20" s="465">
        <f>SUM(K25,K40,K67,K107,K115,K125,K143,K153,K173,K225,K292,K299,K78,K314)</f>
        <v>216070080</v>
      </c>
      <c r="L20" s="462">
        <f>SUM(L25,L40,L67,L107,L115,L125,L143,L153,L173,L225,L292,L299,L78,L314)</f>
        <v>210751854.28</v>
      </c>
      <c r="M20" s="504">
        <f>IF(K20&gt;0,L20/K20*100,"-")</f>
        <v>97.538657032014797</v>
      </c>
      <c r="N20" s="254"/>
    </row>
    <row r="21" spans="1:14" ht="10.5" customHeight="1">
      <c r="A21" s="430"/>
      <c r="B21" s="502" t="s">
        <v>23</v>
      </c>
      <c r="C21" s="503"/>
      <c r="D21" s="433"/>
      <c r="E21" s="433"/>
      <c r="F21" s="502"/>
      <c r="G21" s="465">
        <f>SUM(G26,G41,G68,G108,G116,G126,G144,G154,G174,G226,G293,G300)</f>
        <v>990312</v>
      </c>
      <c r="H21" s="462">
        <f>SUM(H26,H41,H68,H108,H116,H126,H144,H154,H174,H226,H293,H300)</f>
        <v>680575.14</v>
      </c>
      <c r="I21" s="504">
        <f>IF(G21&gt;0,H21/G21*100,"-")</f>
        <v>68.723305382546101</v>
      </c>
      <c r="J21" s="462">
        <f>SUM(J26,J41,J68,J108,J116,J126,J144,J154,J174,J226,J293,J300)</f>
        <v>549173</v>
      </c>
      <c r="K21" s="465">
        <f>SUM(K26,K41,K68,K108,K116,K126,K144,K154,K174,K226,K293,K300)</f>
        <v>821975</v>
      </c>
      <c r="L21" s="462">
        <f>SUM(L26,L41,L68,L108,L116,L126,L144,L154,L174,L226,L293,L300)</f>
        <v>747134.54999999993</v>
      </c>
      <c r="M21" s="504">
        <f>IF(K21&gt;0,L21/K21*100,"-")</f>
        <v>90.895045469752716</v>
      </c>
      <c r="N21" s="254"/>
    </row>
    <row r="22" spans="1:14" ht="3.95" customHeight="1">
      <c r="A22" s="431"/>
      <c r="B22" s="256"/>
      <c r="C22" s="257"/>
      <c r="D22" s="258"/>
      <c r="E22" s="258"/>
      <c r="F22" s="255"/>
      <c r="G22" s="259"/>
      <c r="H22" s="255"/>
      <c r="I22" s="255"/>
      <c r="J22" s="255"/>
      <c r="K22" s="259"/>
      <c r="L22" s="342"/>
      <c r="M22" s="260"/>
      <c r="N22" s="261"/>
    </row>
    <row r="23" spans="1:14" ht="3.95" customHeight="1">
      <c r="A23" s="16"/>
      <c r="B23" s="262"/>
      <c r="C23" s="263"/>
      <c r="D23" s="264"/>
      <c r="E23" s="264"/>
      <c r="F23" s="48"/>
      <c r="G23" s="222"/>
      <c r="H23" s="48"/>
      <c r="I23" s="48"/>
      <c r="J23" s="48"/>
      <c r="K23" s="222"/>
      <c r="L23" s="343"/>
      <c r="M23" s="265"/>
      <c r="N23" s="266"/>
    </row>
    <row r="24" spans="1:14" ht="10.5" customHeight="1">
      <c r="A24" s="5" t="s">
        <v>4</v>
      </c>
      <c r="B24" s="702" t="s">
        <v>36</v>
      </c>
      <c r="C24" s="703"/>
      <c r="D24" s="267"/>
      <c r="E24" s="267"/>
      <c r="F24" s="7"/>
      <c r="G24" s="73">
        <f>SUM(G25:G26)</f>
        <v>177750706</v>
      </c>
      <c r="H24" s="8">
        <f>SUM(H25:H26)</f>
        <v>66914840.300000004</v>
      </c>
      <c r="I24" s="9">
        <f>IF(G24&gt;0,H24/G24*100,"-")</f>
        <v>37.645330252584202</v>
      </c>
      <c r="J24" s="8">
        <f>SUM(J25:J26)</f>
        <v>21538471</v>
      </c>
      <c r="K24" s="73">
        <f>SUM(K25:K26)</f>
        <v>21731467</v>
      </c>
      <c r="L24" s="8">
        <f>SUM(L25:L26)</f>
        <v>20928931.229999997</v>
      </c>
      <c r="M24" s="9">
        <f>IF(K24&gt;0,L24/K24*100,"-")</f>
        <v>96.307033620877945</v>
      </c>
      <c r="N24" s="268"/>
    </row>
    <row r="25" spans="1:14" ht="10.5" customHeight="1">
      <c r="A25" s="7"/>
      <c r="B25" s="10"/>
      <c r="C25" s="188"/>
      <c r="D25" s="267"/>
      <c r="E25" s="267"/>
      <c r="F25" s="11" t="s">
        <v>18</v>
      </c>
      <c r="G25" s="74">
        <f>G30</f>
        <v>177557710</v>
      </c>
      <c r="H25" s="12">
        <f>H30</f>
        <v>66739815.060000002</v>
      </c>
      <c r="I25" s="13">
        <f>IF(G25&gt;0,H25/G25*100,"-")</f>
        <v>37.587675049424782</v>
      </c>
      <c r="J25" s="12">
        <f>J30</f>
        <v>21538471</v>
      </c>
      <c r="K25" s="74">
        <f>K30</f>
        <v>21538471</v>
      </c>
      <c r="L25" s="12">
        <f>L30</f>
        <v>20753905.989999998</v>
      </c>
      <c r="M25" s="13">
        <f>IF(K25&gt;0,L25/K25*100,"-")</f>
        <v>96.357378339437361</v>
      </c>
      <c r="N25" s="268"/>
    </row>
    <row r="26" spans="1:14" ht="10.5" customHeight="1">
      <c r="A26" s="7"/>
      <c r="B26" s="269"/>
      <c r="C26" s="270"/>
      <c r="D26" s="267"/>
      <c r="E26" s="267"/>
      <c r="F26" s="11" t="s">
        <v>23</v>
      </c>
      <c r="G26" s="74">
        <f>G31</f>
        <v>192996</v>
      </c>
      <c r="H26" s="12">
        <f>H31</f>
        <v>175025.24</v>
      </c>
      <c r="I26" s="13">
        <f>IF(G26&gt;0,H26/G26*100,"-")</f>
        <v>90.688532404816684</v>
      </c>
      <c r="J26" s="12">
        <f>J38</f>
        <v>0</v>
      </c>
      <c r="K26" s="74">
        <f>K31</f>
        <v>192996</v>
      </c>
      <c r="L26" s="12">
        <f>L31</f>
        <v>175025.24</v>
      </c>
      <c r="M26" s="13">
        <f>IF(K26&gt;0,L26/K26*100,"-")</f>
        <v>90.688532404816684</v>
      </c>
      <c r="N26" s="268"/>
    </row>
    <row r="27" spans="1:14" ht="3.95" customHeight="1">
      <c r="A27" s="20"/>
      <c r="B27" s="111"/>
      <c r="C27" s="206"/>
      <c r="D27" s="112"/>
      <c r="E27" s="112"/>
      <c r="F27" s="49"/>
      <c r="G27" s="114"/>
      <c r="H27" s="49"/>
      <c r="I27" s="24"/>
      <c r="J27" s="49"/>
      <c r="K27" s="114"/>
      <c r="L27" s="23"/>
      <c r="M27" s="115"/>
      <c r="N27" s="271"/>
    </row>
    <row r="28" spans="1:14" s="273" customFormat="1" ht="3.95" customHeight="1">
      <c r="A28" s="699" t="s">
        <v>4</v>
      </c>
      <c r="B28" s="50"/>
      <c r="C28" s="207"/>
      <c r="D28" s="139"/>
      <c r="E28" s="139"/>
      <c r="F28" s="50"/>
      <c r="G28" s="119"/>
      <c r="H28" s="50"/>
      <c r="I28" s="28"/>
      <c r="J28" s="50"/>
      <c r="K28" s="121"/>
      <c r="L28" s="407"/>
      <c r="M28" s="130"/>
      <c r="N28" s="272"/>
    </row>
    <row r="29" spans="1:14" s="273" customFormat="1" ht="21" customHeight="1">
      <c r="A29" s="660"/>
      <c r="B29" s="45" t="s">
        <v>29</v>
      </c>
      <c r="C29" s="191" t="s">
        <v>37</v>
      </c>
      <c r="D29" s="723" t="s">
        <v>39</v>
      </c>
      <c r="E29" s="44"/>
      <c r="F29" s="30" t="s">
        <v>30</v>
      </c>
      <c r="G29" s="14">
        <v>177750706</v>
      </c>
      <c r="H29" s="14">
        <v>66914840.299999997</v>
      </c>
      <c r="I29" s="15">
        <f>IF(G29&gt;0,H29/G29*100,"-")</f>
        <v>37.645330252584195</v>
      </c>
      <c r="J29" s="14">
        <f>J30</f>
        <v>21538471</v>
      </c>
      <c r="K29" s="78">
        <f>K30+K31</f>
        <v>21731467</v>
      </c>
      <c r="L29" s="14">
        <f>L30+L31</f>
        <v>20928931.229999997</v>
      </c>
      <c r="M29" s="15">
        <f>IF(K29&gt;0,L29/K29*100,"-")</f>
        <v>96.307033620877945</v>
      </c>
      <c r="N29" s="721" t="s">
        <v>38</v>
      </c>
    </row>
    <row r="30" spans="1:14" s="273" customFormat="1" ht="10.5" customHeight="1">
      <c r="A30" s="660"/>
      <c r="B30" s="29" t="s">
        <v>42</v>
      </c>
      <c r="C30" s="192"/>
      <c r="D30" s="723"/>
      <c r="E30" s="44"/>
      <c r="F30" s="31" t="s">
        <v>18</v>
      </c>
      <c r="G30" s="91">
        <v>177557710</v>
      </c>
      <c r="H30" s="32">
        <v>66739815.060000002</v>
      </c>
      <c r="I30" s="33">
        <f>IF(G30&gt;0,H30/G30*100,"-")</f>
        <v>37.587675049424782</v>
      </c>
      <c r="J30" s="32">
        <f>J33+J36</f>
        <v>21538471</v>
      </c>
      <c r="K30" s="79">
        <v>21538471</v>
      </c>
      <c r="L30" s="32">
        <v>20753905.989999998</v>
      </c>
      <c r="M30" s="33">
        <f>IF(K30&gt;0,L30/K30*100,"-")</f>
        <v>96.357378339437361</v>
      </c>
      <c r="N30" s="721"/>
    </row>
    <row r="31" spans="1:14" s="273" customFormat="1" ht="10.5" customHeight="1">
      <c r="A31" s="660"/>
      <c r="B31" s="132"/>
      <c r="C31" s="275"/>
      <c r="D31" s="723"/>
      <c r="E31" s="44"/>
      <c r="F31" s="31" t="s">
        <v>23</v>
      </c>
      <c r="G31" s="91">
        <v>192996</v>
      </c>
      <c r="H31" s="32">
        <v>175025.24</v>
      </c>
      <c r="I31" s="33"/>
      <c r="J31" s="32">
        <v>0</v>
      </c>
      <c r="K31" s="79">
        <v>192996</v>
      </c>
      <c r="L31" s="32">
        <v>175025.24</v>
      </c>
      <c r="M31" s="33"/>
      <c r="N31" s="721"/>
    </row>
    <row r="32" spans="1:14" s="273" customFormat="1" ht="10.5" customHeight="1">
      <c r="A32" s="660"/>
      <c r="B32" s="132"/>
      <c r="C32" s="275"/>
      <c r="D32" s="723"/>
      <c r="E32" s="44">
        <v>700</v>
      </c>
      <c r="F32" s="31"/>
      <c r="G32" s="32"/>
      <c r="H32" s="32"/>
      <c r="I32" s="33"/>
      <c r="J32" s="32"/>
      <c r="K32" s="79"/>
      <c r="L32" s="32"/>
      <c r="M32" s="33"/>
      <c r="N32" s="721"/>
    </row>
    <row r="33" spans="1:14" s="273" customFormat="1" ht="10.5" customHeight="1">
      <c r="A33" s="660"/>
      <c r="B33" s="132"/>
      <c r="C33" s="275"/>
      <c r="D33" s="723"/>
      <c r="E33" s="44">
        <v>70004</v>
      </c>
      <c r="F33" s="31" t="s">
        <v>18</v>
      </c>
      <c r="G33" s="32">
        <v>175915130</v>
      </c>
      <c r="H33" s="32">
        <v>66739815.060000002</v>
      </c>
      <c r="I33" s="33">
        <f>IF(G33&gt;0,H33/G33*100,"-")</f>
        <v>37.938644083655568</v>
      </c>
      <c r="J33" s="32">
        <v>21271471</v>
      </c>
      <c r="K33" s="79">
        <v>21271471</v>
      </c>
      <c r="L33" s="32">
        <v>20753905.989999998</v>
      </c>
      <c r="M33" s="33">
        <f>IF(K33&gt;0,L33/K33*100,"-")</f>
        <v>97.56685839921461</v>
      </c>
      <c r="N33" s="721"/>
    </row>
    <row r="34" spans="1:14" s="273" customFormat="1" ht="10.5" customHeight="1">
      <c r="A34" s="660"/>
      <c r="B34" s="132"/>
      <c r="C34" s="275"/>
      <c r="D34" s="723"/>
      <c r="E34" s="44"/>
      <c r="F34" s="31"/>
      <c r="G34" s="32"/>
      <c r="H34" s="32"/>
      <c r="I34" s="33"/>
      <c r="J34" s="32"/>
      <c r="K34" s="79"/>
      <c r="L34" s="32"/>
      <c r="M34" s="33"/>
      <c r="N34" s="721"/>
    </row>
    <row r="35" spans="1:14" s="273" customFormat="1" ht="10.5" customHeight="1">
      <c r="A35" s="660"/>
      <c r="B35" s="132"/>
      <c r="C35" s="275"/>
      <c r="D35" s="723"/>
      <c r="E35" s="44">
        <v>700</v>
      </c>
      <c r="F35" s="31"/>
      <c r="G35" s="32"/>
      <c r="H35" s="32"/>
      <c r="I35" s="33"/>
      <c r="J35" s="32"/>
      <c r="K35" s="79"/>
      <c r="L35" s="32"/>
      <c r="M35" s="33"/>
      <c r="N35" s="721"/>
    </row>
    <row r="36" spans="1:14" s="273" customFormat="1" ht="10.5" customHeight="1">
      <c r="A36" s="660"/>
      <c r="B36" s="132"/>
      <c r="C36" s="275"/>
      <c r="D36" s="723"/>
      <c r="E36" s="44">
        <v>70005</v>
      </c>
      <c r="F36" s="39"/>
      <c r="G36" s="32">
        <v>1835576</v>
      </c>
      <c r="H36" s="32">
        <v>175025.24</v>
      </c>
      <c r="I36" s="33">
        <f>IF(G36&gt;0,H36/G36*100,"-")</f>
        <v>9.5351671627870473</v>
      </c>
      <c r="J36" s="32">
        <f>J37</f>
        <v>267000</v>
      </c>
      <c r="K36" s="79">
        <v>459996</v>
      </c>
      <c r="L36" s="32">
        <v>175025.24</v>
      </c>
      <c r="M36" s="33">
        <f t="shared" ref="M36:M41" si="0">IF(K36&gt;0,L36/K36*100,"-")</f>
        <v>38.049296080835482</v>
      </c>
      <c r="N36" s="721"/>
    </row>
    <row r="37" spans="1:14" s="273" customFormat="1" ht="10.5" customHeight="1">
      <c r="A37" s="660"/>
      <c r="B37" s="132"/>
      <c r="C37" s="209"/>
      <c r="D37" s="723"/>
      <c r="E37" s="44"/>
      <c r="F37" s="31" t="s">
        <v>18</v>
      </c>
      <c r="G37" s="91">
        <v>1642580</v>
      </c>
      <c r="H37" s="32">
        <v>0</v>
      </c>
      <c r="I37" s="120"/>
      <c r="J37" s="32">
        <v>267000</v>
      </c>
      <c r="K37" s="79">
        <v>267000</v>
      </c>
      <c r="L37" s="34">
        <v>0</v>
      </c>
      <c r="M37" s="33">
        <f t="shared" si="0"/>
        <v>0</v>
      </c>
      <c r="N37" s="721"/>
    </row>
    <row r="38" spans="1:14" s="273" customFormat="1" ht="10.5" customHeight="1">
      <c r="A38" s="700"/>
      <c r="B38" s="123"/>
      <c r="C38" s="208"/>
      <c r="D38" s="277"/>
      <c r="E38" s="277"/>
      <c r="F38" s="46" t="s">
        <v>23</v>
      </c>
      <c r="G38" s="37">
        <v>192996</v>
      </c>
      <c r="H38" s="37">
        <v>175025.24</v>
      </c>
      <c r="I38" s="127"/>
      <c r="J38" s="36">
        <v>0</v>
      </c>
      <c r="K38" s="81">
        <v>192996</v>
      </c>
      <c r="L38" s="37">
        <v>175025.24</v>
      </c>
      <c r="M38" s="38">
        <f t="shared" si="0"/>
        <v>90.688532404816684</v>
      </c>
      <c r="N38" s="212"/>
    </row>
    <row r="39" spans="1:14">
      <c r="A39" s="5"/>
      <c r="B39" s="742"/>
      <c r="C39" s="743"/>
      <c r="D39" s="267"/>
      <c r="E39" s="267"/>
      <c r="F39" s="7"/>
      <c r="G39" s="73">
        <f>SUM(G40:G41)</f>
        <v>6027608</v>
      </c>
      <c r="H39" s="8">
        <f>SUM(H40:H41)</f>
        <v>223039.3</v>
      </c>
      <c r="I39" s="9">
        <f>IF(G39&gt;0,H39/G39*100,"-")</f>
        <v>3.7002953742180975</v>
      </c>
      <c r="J39" s="8">
        <f>SUM(J40:J41)</f>
        <v>98000</v>
      </c>
      <c r="K39" s="73">
        <f>SUM(K40:K41)</f>
        <v>98000</v>
      </c>
      <c r="L39" s="8">
        <f>SUM(L40:L41)</f>
        <v>78941.48</v>
      </c>
      <c r="M39" s="9">
        <f t="shared" si="0"/>
        <v>80.552530612244894</v>
      </c>
      <c r="N39" s="213"/>
    </row>
    <row r="40" spans="1:14" ht="12.75">
      <c r="A40" s="438" t="s">
        <v>51</v>
      </c>
      <c r="B40" s="740" t="s">
        <v>43</v>
      </c>
      <c r="C40" s="741"/>
      <c r="D40" s="267"/>
      <c r="E40" s="267"/>
      <c r="F40" s="11" t="s">
        <v>18</v>
      </c>
      <c r="G40" s="74">
        <f>SUM(G44,G57,G61)</f>
        <v>6027608</v>
      </c>
      <c r="H40" s="12">
        <f>SUM(H44,H57,H61)</f>
        <v>223039.3</v>
      </c>
      <c r="I40" s="13">
        <f>IF(G40&gt;0,H40/G40*100,"-")</f>
        <v>3.7002953742180975</v>
      </c>
      <c r="J40" s="12">
        <f>SUM(J44,J57,J61)</f>
        <v>98000</v>
      </c>
      <c r="K40" s="74">
        <f>SUM(K44,K57,K61)</f>
        <v>98000</v>
      </c>
      <c r="L40" s="12">
        <f>SUM(L44,L57,L61)</f>
        <v>78941.48</v>
      </c>
      <c r="M40" s="13">
        <f t="shared" si="0"/>
        <v>80.552530612244894</v>
      </c>
      <c r="N40" s="213"/>
    </row>
    <row r="41" spans="1:14">
      <c r="A41" s="7"/>
      <c r="B41" s="269"/>
      <c r="C41" s="270"/>
      <c r="D41" s="267"/>
      <c r="E41" s="267"/>
      <c r="F41" s="11" t="s">
        <v>23</v>
      </c>
      <c r="G41" s="74">
        <f>G46</f>
        <v>0</v>
      </c>
      <c r="H41" s="12">
        <f>H46</f>
        <v>0</v>
      </c>
      <c r="I41" s="13" t="str">
        <f>IF(G41&gt;0,H41/G41*100,"-")</f>
        <v>-</v>
      </c>
      <c r="J41" s="12">
        <f>J46</f>
        <v>0</v>
      </c>
      <c r="K41" s="74">
        <f>K46</f>
        <v>0</v>
      </c>
      <c r="L41" s="12">
        <f>L46</f>
        <v>0</v>
      </c>
      <c r="M41" s="13" t="str">
        <f t="shared" si="0"/>
        <v>-</v>
      </c>
      <c r="N41" s="213"/>
    </row>
    <row r="42" spans="1:14">
      <c r="A42" s="20"/>
      <c r="B42" s="111"/>
      <c r="C42" s="206"/>
      <c r="D42" s="112"/>
      <c r="E42" s="112"/>
      <c r="F42" s="20"/>
      <c r="G42" s="75"/>
      <c r="H42" s="20"/>
      <c r="I42" s="24"/>
      <c r="J42" s="20"/>
      <c r="K42" s="75"/>
      <c r="L42" s="23"/>
      <c r="M42" s="24"/>
      <c r="N42" s="214"/>
    </row>
    <row r="43" spans="1:14">
      <c r="A43" s="401"/>
      <c r="B43" s="26"/>
      <c r="C43" s="190"/>
      <c r="D43" s="139"/>
      <c r="E43" s="139"/>
      <c r="F43" s="26"/>
      <c r="G43" s="77"/>
      <c r="H43" s="50"/>
      <c r="I43" s="130"/>
      <c r="J43" s="50"/>
      <c r="K43" s="76"/>
      <c r="L43" s="407"/>
      <c r="M43" s="28"/>
      <c r="N43" s="211"/>
    </row>
    <row r="44" spans="1:14" ht="22.5">
      <c r="A44" s="730" t="s">
        <v>4</v>
      </c>
      <c r="B44" s="29" t="s">
        <v>29</v>
      </c>
      <c r="C44" s="193" t="s">
        <v>44</v>
      </c>
      <c r="D44" s="661" t="s">
        <v>45</v>
      </c>
      <c r="E44" s="661"/>
      <c r="F44" s="30" t="s">
        <v>30</v>
      </c>
      <c r="G44" s="78">
        <f>SUM(G45:G46)</f>
        <v>732098</v>
      </c>
      <c r="H44" s="14">
        <f>SUM(H45:H46)</f>
        <v>223039.3</v>
      </c>
      <c r="I44" s="15">
        <f>IF(G44&gt;0,H44/G44*100,"-")</f>
        <v>30.46577097601687</v>
      </c>
      <c r="J44" s="14">
        <f>SUM(J45:J46)</f>
        <v>98000</v>
      </c>
      <c r="K44" s="78">
        <f>SUM(K45:K46)</f>
        <v>98000</v>
      </c>
      <c r="L44" s="14">
        <f>SUM(L45:L46)</f>
        <v>78941.48</v>
      </c>
      <c r="M44" s="15">
        <f>IF(K44&gt;0,L44/K44*100,"-")</f>
        <v>80.552530612244894</v>
      </c>
      <c r="N44" s="739"/>
    </row>
    <row r="45" spans="1:14" ht="22.5">
      <c r="A45" s="730"/>
      <c r="B45" s="29" t="s">
        <v>24</v>
      </c>
      <c r="C45" s="193" t="s">
        <v>46</v>
      </c>
      <c r="D45" s="661"/>
      <c r="E45" s="661"/>
      <c r="F45" s="31" t="s">
        <v>18</v>
      </c>
      <c r="G45" s="79">
        <f>G47+G49+G51</f>
        <v>732098</v>
      </c>
      <c r="H45" s="32">
        <f>H47+H49+H51</f>
        <v>223039.3</v>
      </c>
      <c r="I45" s="15">
        <f t="shared" ref="I45:I52" si="1">IF(G45&gt;0,H45/G45*100,"-")</f>
        <v>30.46577097601687</v>
      </c>
      <c r="J45" s="32">
        <f>J47+J49+J51</f>
        <v>98000</v>
      </c>
      <c r="K45" s="79">
        <f>K47+K49+K51</f>
        <v>98000</v>
      </c>
      <c r="L45" s="32">
        <f>L47+L49+L51</f>
        <v>78941.48</v>
      </c>
      <c r="M45" s="33">
        <f>IF(K45&gt;0,L45/K45*100,"-")</f>
        <v>80.552530612244894</v>
      </c>
      <c r="N45" s="739"/>
    </row>
    <row r="46" spans="1:14">
      <c r="A46" s="730"/>
      <c r="B46" s="29"/>
      <c r="C46" s="193"/>
      <c r="D46" s="661"/>
      <c r="E46" s="661"/>
      <c r="F46" s="31" t="s">
        <v>23</v>
      </c>
      <c r="G46" s="79"/>
      <c r="H46" s="32"/>
      <c r="I46" s="15" t="str">
        <f t="shared" si="1"/>
        <v>-</v>
      </c>
      <c r="J46" s="32"/>
      <c r="K46" s="79"/>
      <c r="L46" s="34"/>
      <c r="M46" s="33" t="str">
        <f t="shared" ref="M46:M52" si="2">IF(K46&gt;0,L46/K46*100,"-")</f>
        <v>-</v>
      </c>
      <c r="N46" s="739"/>
    </row>
    <row r="47" spans="1:14" ht="135" customHeight="1">
      <c r="A47" s="730"/>
      <c r="B47" s="29"/>
      <c r="C47" s="193"/>
      <c r="D47" s="47"/>
      <c r="E47" s="403" t="s">
        <v>47</v>
      </c>
      <c r="F47" s="404"/>
      <c r="G47" s="77">
        <f>G48</f>
        <v>164604</v>
      </c>
      <c r="H47" s="407">
        <f>H48</f>
        <v>32435.59</v>
      </c>
      <c r="I47" s="408">
        <f t="shared" si="1"/>
        <v>19.705225875434376</v>
      </c>
      <c r="J47" s="407">
        <f>J48</f>
        <v>24000</v>
      </c>
      <c r="K47" s="77">
        <f>K48</f>
        <v>24000</v>
      </c>
      <c r="L47" s="407">
        <f>L48</f>
        <v>11831.29</v>
      </c>
      <c r="M47" s="28">
        <f t="shared" si="2"/>
        <v>49.297041666666672</v>
      </c>
      <c r="N47" s="732" t="s">
        <v>501</v>
      </c>
    </row>
    <row r="48" spans="1:14">
      <c r="A48" s="730"/>
      <c r="B48" s="29"/>
      <c r="C48" s="193"/>
      <c r="D48" s="47"/>
      <c r="E48" s="405"/>
      <c r="F48" s="52" t="s">
        <v>18</v>
      </c>
      <c r="G48" s="137">
        <v>164604</v>
      </c>
      <c r="H48" s="37">
        <v>32435.59</v>
      </c>
      <c r="I48" s="409">
        <f t="shared" si="1"/>
        <v>19.705225875434376</v>
      </c>
      <c r="J48" s="37">
        <v>24000</v>
      </c>
      <c r="K48" s="81">
        <v>24000</v>
      </c>
      <c r="L48" s="362">
        <v>11831.29</v>
      </c>
      <c r="M48" s="38">
        <f t="shared" si="2"/>
        <v>49.297041666666672</v>
      </c>
      <c r="N48" s="733"/>
    </row>
    <row r="49" spans="1:14" ht="22.5">
      <c r="A49" s="730"/>
      <c r="B49" s="29"/>
      <c r="C49" s="193"/>
      <c r="D49" s="47"/>
      <c r="E49" s="406" t="s">
        <v>48</v>
      </c>
      <c r="F49" s="53"/>
      <c r="G49" s="82">
        <f>G50</f>
        <v>345650</v>
      </c>
      <c r="H49" s="54">
        <f>H50</f>
        <v>124875.85</v>
      </c>
      <c r="I49" s="15">
        <f t="shared" si="1"/>
        <v>36.12783162158253</v>
      </c>
      <c r="J49" s="54">
        <f>J50</f>
        <v>44000</v>
      </c>
      <c r="K49" s="82">
        <f>K50</f>
        <v>44000</v>
      </c>
      <c r="L49" s="54">
        <f>L50</f>
        <v>43226.28</v>
      </c>
      <c r="M49" s="33">
        <f t="shared" si="2"/>
        <v>98.241545454545459</v>
      </c>
      <c r="N49" s="732" t="s">
        <v>502</v>
      </c>
    </row>
    <row r="50" spans="1:14" ht="33.75" customHeight="1">
      <c r="A50" s="730"/>
      <c r="B50" s="29"/>
      <c r="C50" s="193"/>
      <c r="D50" s="47"/>
      <c r="E50" s="405"/>
      <c r="F50" s="52" t="s">
        <v>18</v>
      </c>
      <c r="G50" s="137">
        <v>345650</v>
      </c>
      <c r="H50" s="37">
        <v>124875.85</v>
      </c>
      <c r="I50" s="409">
        <f t="shared" si="1"/>
        <v>36.12783162158253</v>
      </c>
      <c r="J50" s="37">
        <v>44000</v>
      </c>
      <c r="K50" s="81">
        <v>44000</v>
      </c>
      <c r="L50" s="362">
        <v>43226.28</v>
      </c>
      <c r="M50" s="38">
        <f t="shared" si="2"/>
        <v>98.241545454545459</v>
      </c>
      <c r="N50" s="734"/>
    </row>
    <row r="51" spans="1:14" ht="22.5">
      <c r="A51" s="730"/>
      <c r="B51" s="29"/>
      <c r="C51" s="193"/>
      <c r="D51" s="47"/>
      <c r="E51" s="406" t="s">
        <v>49</v>
      </c>
      <c r="F51" s="53"/>
      <c r="G51" s="82">
        <f>G52</f>
        <v>221844</v>
      </c>
      <c r="H51" s="54">
        <f>H52</f>
        <v>65727.86</v>
      </c>
      <c r="I51" s="15">
        <f t="shared" si="1"/>
        <v>29.627963794378033</v>
      </c>
      <c r="J51" s="54">
        <f>J52</f>
        <v>30000</v>
      </c>
      <c r="K51" s="82">
        <f>K52</f>
        <v>30000</v>
      </c>
      <c r="L51" s="54">
        <f>L52</f>
        <v>23883.91</v>
      </c>
      <c r="M51" s="33">
        <f t="shared" si="2"/>
        <v>79.613033333333334</v>
      </c>
      <c r="N51" s="721" t="s">
        <v>50</v>
      </c>
    </row>
    <row r="52" spans="1:14">
      <c r="A52" s="730"/>
      <c r="B52" s="29"/>
      <c r="C52" s="193"/>
      <c r="D52" s="47"/>
      <c r="E52" s="47"/>
      <c r="F52" s="53" t="s">
        <v>18</v>
      </c>
      <c r="G52" s="82">
        <v>221844</v>
      </c>
      <c r="H52" s="54">
        <v>65727.86</v>
      </c>
      <c r="I52" s="15">
        <f t="shared" si="1"/>
        <v>29.627963794378033</v>
      </c>
      <c r="J52" s="54">
        <v>30000</v>
      </c>
      <c r="K52" s="79">
        <v>30000</v>
      </c>
      <c r="L52" s="363">
        <v>23883.91</v>
      </c>
      <c r="M52" s="33">
        <f t="shared" si="2"/>
        <v>79.613033333333334</v>
      </c>
      <c r="N52" s="721"/>
    </row>
    <row r="53" spans="1:14" ht="2.25" customHeight="1">
      <c r="A53" s="402"/>
      <c r="B53" s="132"/>
      <c r="C53" s="209"/>
      <c r="D53" s="281"/>
      <c r="E53" s="281"/>
      <c r="F53" s="53"/>
      <c r="G53" s="82"/>
      <c r="H53" s="54"/>
      <c r="I53" s="15"/>
      <c r="J53" s="54"/>
      <c r="K53" s="138"/>
      <c r="L53" s="363"/>
      <c r="M53" s="120"/>
      <c r="N53" s="283"/>
    </row>
    <row r="54" spans="1:14">
      <c r="A54" s="411"/>
      <c r="B54" s="123"/>
      <c r="C54" s="208"/>
      <c r="D54" s="124"/>
      <c r="E54" s="124"/>
      <c r="F54" s="125"/>
      <c r="G54" s="126"/>
      <c r="H54" s="37"/>
      <c r="I54" s="409"/>
      <c r="J54" s="51"/>
      <c r="K54" s="128"/>
      <c r="L54" s="362"/>
      <c r="M54" s="127"/>
      <c r="N54" s="284"/>
    </row>
    <row r="55" spans="1:14">
      <c r="A55" s="402"/>
      <c r="B55" s="132"/>
      <c r="C55" s="209"/>
      <c r="D55" s="285"/>
      <c r="E55" s="285"/>
      <c r="F55" s="132"/>
      <c r="G55" s="282"/>
      <c r="H55" s="132"/>
      <c r="I55" s="120"/>
      <c r="J55" s="132"/>
      <c r="K55" s="138"/>
      <c r="L55" s="54"/>
      <c r="M55" s="120"/>
      <c r="N55" s="286"/>
    </row>
    <row r="56" spans="1:14">
      <c r="A56" s="402"/>
      <c r="B56" s="29"/>
      <c r="C56" s="193"/>
      <c r="D56" s="227"/>
      <c r="E56" s="227"/>
      <c r="F56" s="29"/>
      <c r="G56" s="82"/>
      <c r="H56" s="29"/>
      <c r="I56" s="33"/>
      <c r="J56" s="29"/>
      <c r="K56" s="80"/>
      <c r="L56" s="54"/>
      <c r="M56" s="33"/>
      <c r="N56" s="410"/>
    </row>
    <row r="57" spans="1:14" ht="33.75">
      <c r="A57" s="730" t="s">
        <v>51</v>
      </c>
      <c r="B57" s="29" t="s">
        <v>29</v>
      </c>
      <c r="C57" s="193" t="s">
        <v>52</v>
      </c>
      <c r="D57" s="661" t="s">
        <v>53</v>
      </c>
      <c r="E57" s="661" t="s">
        <v>54</v>
      </c>
      <c r="F57" s="30" t="s">
        <v>30</v>
      </c>
      <c r="G57" s="78">
        <f>SUM(G58:G59)</f>
        <v>5045510</v>
      </c>
      <c r="H57" s="14">
        <v>0</v>
      </c>
      <c r="I57" s="15">
        <f>IF(G57&gt;0,H57/G57*100,"-")</f>
        <v>0</v>
      </c>
      <c r="J57" s="14">
        <v>0</v>
      </c>
      <c r="K57" s="83">
        <v>0</v>
      </c>
      <c r="L57" s="14">
        <v>0</v>
      </c>
      <c r="M57" s="15" t="str">
        <f>IF(K57&gt;0,L57/K57*100,"-")</f>
        <v>-</v>
      </c>
      <c r="N57" s="691" t="s">
        <v>213</v>
      </c>
    </row>
    <row r="58" spans="1:14" ht="33.75">
      <c r="A58" s="730"/>
      <c r="B58" s="29" t="s">
        <v>24</v>
      </c>
      <c r="C58" s="193" t="s">
        <v>55</v>
      </c>
      <c r="D58" s="661"/>
      <c r="E58" s="661"/>
      <c r="F58" s="31" t="s">
        <v>18</v>
      </c>
      <c r="G58" s="79">
        <v>5045510</v>
      </c>
      <c r="H58" s="32">
        <v>0</v>
      </c>
      <c r="I58" s="15">
        <f>IF(G58&gt;0,H58/G58*100,"-")</f>
        <v>0</v>
      </c>
      <c r="J58" s="32">
        <v>0</v>
      </c>
      <c r="K58" s="80">
        <v>0</v>
      </c>
      <c r="L58" s="32">
        <v>0</v>
      </c>
      <c r="M58" s="33" t="str">
        <f>IF(K58&gt;0,L58/K58*100,"-")</f>
        <v>-</v>
      </c>
      <c r="N58" s="691"/>
    </row>
    <row r="59" spans="1:14">
      <c r="A59" s="731"/>
      <c r="B59" s="29"/>
      <c r="C59" s="193"/>
      <c r="D59" s="661"/>
      <c r="E59" s="661"/>
      <c r="F59" s="31" t="s">
        <v>23</v>
      </c>
      <c r="G59" s="79"/>
      <c r="H59" s="32"/>
      <c r="I59" s="15" t="str">
        <f>IF(G59&gt;0,H59/G59*100,"-")</f>
        <v>-</v>
      </c>
      <c r="J59" s="32"/>
      <c r="K59" s="80"/>
      <c r="L59" s="34"/>
      <c r="M59" s="33" t="str">
        <f>IF(K59&gt;0,L59/K59*100,"-")</f>
        <v>-</v>
      </c>
      <c r="N59" s="705"/>
    </row>
    <row r="60" spans="1:14" s="40" customFormat="1">
      <c r="A60" s="402"/>
      <c r="B60" s="26"/>
      <c r="C60" s="190"/>
      <c r="D60" s="25"/>
      <c r="E60" s="25"/>
      <c r="F60" s="26"/>
      <c r="G60" s="77"/>
      <c r="H60" s="26"/>
      <c r="I60" s="28"/>
      <c r="J60" s="26"/>
      <c r="K60" s="84"/>
      <c r="L60" s="407"/>
      <c r="M60" s="28"/>
      <c r="N60" s="211"/>
    </row>
    <row r="61" spans="1:14" s="40" customFormat="1" ht="33.75">
      <c r="A61" s="730" t="s">
        <v>56</v>
      </c>
      <c r="B61" s="29" t="s">
        <v>29</v>
      </c>
      <c r="C61" s="191" t="s">
        <v>57</v>
      </c>
      <c r="D61" s="661" t="s">
        <v>53</v>
      </c>
      <c r="E61" s="661" t="s">
        <v>58</v>
      </c>
      <c r="F61" s="30" t="s">
        <v>30</v>
      </c>
      <c r="G61" s="78">
        <f>SUM(G62:G63)</f>
        <v>250000</v>
      </c>
      <c r="H61" s="14">
        <v>0</v>
      </c>
      <c r="I61" s="15">
        <f>IF(G61&gt;0,H61/G61*100,"-")</f>
        <v>0</v>
      </c>
      <c r="J61" s="14">
        <v>0</v>
      </c>
      <c r="K61" s="83">
        <v>0</v>
      </c>
      <c r="L61" s="14">
        <v>0</v>
      </c>
      <c r="M61" s="15" t="str">
        <f>IF(K61&gt;0,L61/K61*100,"-")</f>
        <v>-</v>
      </c>
      <c r="N61" s="691" t="s">
        <v>214</v>
      </c>
    </row>
    <row r="62" spans="1:14" s="40" customFormat="1" ht="33.75">
      <c r="A62" s="730"/>
      <c r="B62" s="29" t="s">
        <v>24</v>
      </c>
      <c r="C62" s="193" t="s">
        <v>59</v>
      </c>
      <c r="D62" s="661"/>
      <c r="E62" s="661"/>
      <c r="F62" s="31" t="s">
        <v>18</v>
      </c>
      <c r="G62" s="79">
        <v>250000</v>
      </c>
      <c r="H62" s="32">
        <v>0</v>
      </c>
      <c r="I62" s="15">
        <f>IF(G62&gt;0,H62/G62*100,"-")</f>
        <v>0</v>
      </c>
      <c r="J62" s="32">
        <v>0</v>
      </c>
      <c r="K62" s="80">
        <v>0</v>
      </c>
      <c r="L62" s="32">
        <v>0</v>
      </c>
      <c r="M62" s="33" t="str">
        <f>IF(K62&gt;0,L62/K62*100,"-")</f>
        <v>-</v>
      </c>
      <c r="N62" s="691"/>
    </row>
    <row r="63" spans="1:14" s="40" customFormat="1">
      <c r="A63" s="730"/>
      <c r="B63" s="29"/>
      <c r="C63" s="193"/>
      <c r="D63" s="661"/>
      <c r="E63" s="661"/>
      <c r="F63" s="31" t="s">
        <v>23</v>
      </c>
      <c r="G63" s="79"/>
      <c r="H63" s="32"/>
      <c r="I63" s="15" t="str">
        <f>IF(G63&gt;0,H63/G63*100,"-")</f>
        <v>-</v>
      </c>
      <c r="J63" s="32"/>
      <c r="K63" s="80"/>
      <c r="L63" s="34"/>
      <c r="M63" s="33" t="str">
        <f>IF(K63&gt;0,L63/K63*100,"-")</f>
        <v>-</v>
      </c>
      <c r="N63" s="691"/>
    </row>
    <row r="64" spans="1:14" s="40" customFormat="1">
      <c r="A64" s="411"/>
      <c r="B64" s="36"/>
      <c r="C64" s="194"/>
      <c r="D64" s="35"/>
      <c r="E64" s="35"/>
      <c r="F64" s="36"/>
      <c r="G64" s="137"/>
      <c r="H64" s="36"/>
      <c r="I64" s="38"/>
      <c r="J64" s="36"/>
      <c r="K64" s="392"/>
      <c r="L64" s="37"/>
      <c r="M64" s="38"/>
      <c r="N64" s="212"/>
    </row>
    <row r="65" spans="1:14">
      <c r="A65" s="16"/>
      <c r="B65" s="262"/>
      <c r="C65" s="263"/>
      <c r="D65" s="264"/>
      <c r="E65" s="264"/>
      <c r="F65" s="48"/>
      <c r="G65" s="48"/>
      <c r="H65" s="48"/>
      <c r="I65" s="265"/>
      <c r="J65" s="48"/>
      <c r="K65" s="222"/>
      <c r="L65" s="343"/>
      <c r="M65" s="265"/>
      <c r="N65" s="266"/>
    </row>
    <row r="66" spans="1:14">
      <c r="A66" s="5" t="s">
        <v>56</v>
      </c>
      <c r="B66" s="702" t="s">
        <v>370</v>
      </c>
      <c r="C66" s="703"/>
      <c r="D66" s="6"/>
      <c r="E66" s="6"/>
      <c r="F66" s="7"/>
      <c r="G66" s="73">
        <f>SUM(G67:G68)</f>
        <v>132702861.45999999</v>
      </c>
      <c r="H66" s="73">
        <f>SUM(H67:H68)</f>
        <v>11126637.460000001</v>
      </c>
      <c r="I66" s="9">
        <f>IF(G66&gt;0,H66/G66*100,"-")</f>
        <v>8.3846251223104566</v>
      </c>
      <c r="J66" s="8">
        <f>SUM(J67:J68)</f>
        <v>350000</v>
      </c>
      <c r="K66" s="73">
        <f>SUM(K67:K68)</f>
        <v>350000</v>
      </c>
      <c r="L66" s="8">
        <f>SUM(L67:L68)</f>
        <v>179994.88</v>
      </c>
      <c r="M66" s="9">
        <f>IF(K66&gt;0,L66/K66*100,"-")</f>
        <v>51.427108571428569</v>
      </c>
      <c r="N66" s="268"/>
    </row>
    <row r="67" spans="1:14">
      <c r="A67" s="7"/>
      <c r="B67" s="10"/>
      <c r="C67" s="188"/>
      <c r="D67" s="6"/>
      <c r="E67" s="6"/>
      <c r="F67" s="11" t="s">
        <v>18</v>
      </c>
      <c r="G67" s="74">
        <f>G82</f>
        <v>132702861.45999999</v>
      </c>
      <c r="H67" s="74">
        <f>H82</f>
        <v>11126637.460000001</v>
      </c>
      <c r="I67" s="13">
        <f>IF(G67&gt;0,H67/G67*100,"-")</f>
        <v>8.3846251223104566</v>
      </c>
      <c r="J67" s="12">
        <f t="shared" ref="J67:M68" si="3">J72</f>
        <v>350000</v>
      </c>
      <c r="K67" s="74">
        <f t="shared" si="3"/>
        <v>350000</v>
      </c>
      <c r="L67" s="12">
        <f t="shared" si="3"/>
        <v>179994.88</v>
      </c>
      <c r="M67" s="9">
        <f t="shared" si="3"/>
        <v>51.427108571428569</v>
      </c>
      <c r="N67" s="268"/>
    </row>
    <row r="68" spans="1:14">
      <c r="A68" s="7"/>
      <c r="B68" s="10"/>
      <c r="C68" s="188"/>
      <c r="D68" s="6"/>
      <c r="E68" s="6"/>
      <c r="F68" s="11" t="s">
        <v>23</v>
      </c>
      <c r="G68" s="74">
        <f>G73</f>
        <v>0</v>
      </c>
      <c r="H68" s="74">
        <f>H73</f>
        <v>0</v>
      </c>
      <c r="I68" s="13" t="str">
        <f>IF(G68&gt;0,H68/G68*100,"-")</f>
        <v>-</v>
      </c>
      <c r="J68" s="12">
        <f t="shared" si="3"/>
        <v>0</v>
      </c>
      <c r="K68" s="74">
        <f t="shared" si="3"/>
        <v>0</v>
      </c>
      <c r="L68" s="12">
        <f t="shared" si="3"/>
        <v>0</v>
      </c>
      <c r="M68" s="65" t="str">
        <f t="shared" si="3"/>
        <v xml:space="preserve"> - </v>
      </c>
      <c r="N68" s="268"/>
    </row>
    <row r="69" spans="1:14">
      <c r="A69" s="20"/>
      <c r="B69" s="111"/>
      <c r="C69" s="206"/>
      <c r="D69" s="112"/>
      <c r="E69" s="112"/>
      <c r="F69" s="49"/>
      <c r="G69" s="49"/>
      <c r="H69" s="49"/>
      <c r="I69" s="115"/>
      <c r="J69" s="49"/>
      <c r="K69" s="114"/>
      <c r="L69" s="344"/>
      <c r="M69" s="115"/>
      <c r="N69" s="271"/>
    </row>
    <row r="70" spans="1:14">
      <c r="A70" s="744" t="s">
        <v>4</v>
      </c>
      <c r="B70" s="59"/>
      <c r="C70" s="368"/>
      <c r="D70" s="369"/>
      <c r="E70" s="369"/>
      <c r="F70" s="59"/>
      <c r="G70" s="59"/>
      <c r="H70" s="59"/>
      <c r="I70" s="376"/>
      <c r="J70" s="59"/>
      <c r="K70" s="84"/>
      <c r="L70" s="337"/>
      <c r="M70" s="376"/>
      <c r="N70" s="749" t="s">
        <v>69</v>
      </c>
    </row>
    <row r="71" spans="1:14">
      <c r="A71" s="754"/>
      <c r="B71" s="371" t="s">
        <v>29</v>
      </c>
      <c r="C71" s="372" t="s">
        <v>70</v>
      </c>
      <c r="D71" s="667" t="s">
        <v>45</v>
      </c>
      <c r="E71" s="673" t="s">
        <v>71</v>
      </c>
      <c r="F71" s="30" t="s">
        <v>30</v>
      </c>
      <c r="G71" s="377">
        <f>G72+G73</f>
        <v>708823</v>
      </c>
      <c r="H71" s="378">
        <v>250914.13</v>
      </c>
      <c r="I71" s="379">
        <f>(H71/G71)*100</f>
        <v>35.39870038077207</v>
      </c>
      <c r="J71" s="378">
        <v>350000</v>
      </c>
      <c r="K71" s="83">
        <f>K72+K73</f>
        <v>350000</v>
      </c>
      <c r="L71" s="378">
        <f>L72+L73</f>
        <v>179994.88</v>
      </c>
      <c r="M71" s="379">
        <f>(L71/K71)*100</f>
        <v>51.427108571428569</v>
      </c>
      <c r="N71" s="750"/>
    </row>
    <row r="72" spans="1:14">
      <c r="A72" s="754"/>
      <c r="B72" s="371" t="s">
        <v>24</v>
      </c>
      <c r="C72" s="372" t="s">
        <v>72</v>
      </c>
      <c r="D72" s="712"/>
      <c r="E72" s="712"/>
      <c r="F72" s="31" t="s">
        <v>18</v>
      </c>
      <c r="G72" s="380">
        <v>708823</v>
      </c>
      <c r="H72" s="363">
        <v>358823</v>
      </c>
      <c r="I72" s="381">
        <f>(H72/G72)*100</f>
        <v>50.622369759446293</v>
      </c>
      <c r="J72" s="363">
        <v>350000</v>
      </c>
      <c r="K72" s="80">
        <v>350000</v>
      </c>
      <c r="L72" s="363">
        <v>179994.88</v>
      </c>
      <c r="M72" s="381">
        <f>(L72/K72)*100</f>
        <v>51.427108571428569</v>
      </c>
      <c r="N72" s="750"/>
    </row>
    <row r="73" spans="1:14">
      <c r="A73" s="754"/>
      <c r="B73" s="373"/>
      <c r="C73" s="372"/>
      <c r="D73" s="712"/>
      <c r="E73" s="712"/>
      <c r="F73" s="31" t="s">
        <v>23</v>
      </c>
      <c r="G73" s="380">
        <v>0</v>
      </c>
      <c r="H73" s="363">
        <v>0</v>
      </c>
      <c r="I73" s="381" t="s">
        <v>64</v>
      </c>
      <c r="J73" s="363">
        <v>0</v>
      </c>
      <c r="K73" s="80">
        <v>0</v>
      </c>
      <c r="L73" s="363">
        <v>0</v>
      </c>
      <c r="M73" s="381" t="s">
        <v>64</v>
      </c>
      <c r="N73" s="750"/>
    </row>
    <row r="74" spans="1:14">
      <c r="A74" s="754"/>
      <c r="B74" s="373"/>
      <c r="C74" s="372"/>
      <c r="D74" s="712"/>
      <c r="E74" s="712"/>
      <c r="F74" s="373"/>
      <c r="G74" s="373"/>
      <c r="H74" s="373"/>
      <c r="I74" s="381"/>
      <c r="J74" s="373"/>
      <c r="K74" s="80"/>
      <c r="L74" s="363"/>
      <c r="M74" s="381"/>
      <c r="N74" s="750"/>
    </row>
    <row r="75" spans="1:14" ht="75" customHeight="1">
      <c r="A75" s="755"/>
      <c r="B75" s="373"/>
      <c r="C75" s="374"/>
      <c r="D75" s="713"/>
      <c r="E75" s="713"/>
      <c r="F75" s="375"/>
      <c r="G75" s="289"/>
      <c r="H75" s="289"/>
      <c r="I75" s="290"/>
      <c r="J75" s="289"/>
      <c r="K75" s="288"/>
      <c r="L75" s="362"/>
      <c r="M75" s="383"/>
      <c r="N75" s="751"/>
    </row>
    <row r="76" spans="1:14">
      <c r="A76" s="16"/>
      <c r="B76" s="262"/>
      <c r="C76" s="263"/>
      <c r="D76" s="264"/>
      <c r="E76" s="264"/>
      <c r="F76" s="48"/>
      <c r="G76" s="48"/>
      <c r="H76" s="48"/>
      <c r="I76" s="265"/>
      <c r="J76" s="48"/>
      <c r="K76" s="222"/>
      <c r="L76" s="343"/>
      <c r="M76" s="265"/>
      <c r="N76" s="266"/>
    </row>
    <row r="77" spans="1:14">
      <c r="A77" s="5" t="s">
        <v>73</v>
      </c>
      <c r="B77" s="702" t="s">
        <v>371</v>
      </c>
      <c r="C77" s="703"/>
      <c r="D77" s="6"/>
      <c r="E77" s="6"/>
      <c r="F77" s="7"/>
      <c r="G77" s="73">
        <f>SUM(G78:G79)</f>
        <v>136627927.06999999</v>
      </c>
      <c r="H77" s="73">
        <f>SUM(H78:H79)</f>
        <v>11851566.77</v>
      </c>
      <c r="I77" s="9">
        <f>IF(G77&gt;0,H77/G77*100,"-")</f>
        <v>8.6743369559635966</v>
      </c>
      <c r="J77" s="8">
        <f>SUM(J78:J79)</f>
        <v>601000</v>
      </c>
      <c r="K77" s="73">
        <f>SUM(K78:K79)</f>
        <v>12912084</v>
      </c>
      <c r="L77" s="8">
        <f>SUM(L78:L79)</f>
        <v>11550096.84</v>
      </c>
      <c r="M77" s="9">
        <f>IF(K77&gt;0,L77/K77*100,"-")</f>
        <v>89.451840926685421</v>
      </c>
      <c r="N77" s="268"/>
    </row>
    <row r="78" spans="1:14">
      <c r="A78" s="7"/>
      <c r="B78" s="10"/>
      <c r="C78" s="188"/>
      <c r="D78" s="6"/>
      <c r="E78" s="6"/>
      <c r="F78" s="11" t="s">
        <v>18</v>
      </c>
      <c r="G78" s="74">
        <f>SUM(G82,G95,G101,G88)</f>
        <v>136627927.06999999</v>
      </c>
      <c r="H78" s="74">
        <f>SUM(H82,H95,H101,H88)</f>
        <v>11851566.77</v>
      </c>
      <c r="I78" s="13">
        <f>IF(G78&gt;0,H78/G78*100,"-")</f>
        <v>8.6743369559635966</v>
      </c>
      <c r="J78" s="12">
        <f>SUM(J82,J88,J95,J101)</f>
        <v>601000</v>
      </c>
      <c r="K78" s="74">
        <f>SUM(K82,K88,K95,K101)</f>
        <v>12912084</v>
      </c>
      <c r="L78" s="12">
        <f>SUM(L82,L88,L95,L101)</f>
        <v>11550096.84</v>
      </c>
      <c r="M78" s="9" t="str">
        <f>M83</f>
        <v xml:space="preserve"> - </v>
      </c>
      <c r="N78" s="268"/>
    </row>
    <row r="79" spans="1:14">
      <c r="A79" s="7"/>
      <c r="B79" s="10"/>
      <c r="C79" s="188"/>
      <c r="D79" s="6"/>
      <c r="E79" s="6"/>
      <c r="F79" s="11" t="s">
        <v>23</v>
      </c>
      <c r="G79" s="74">
        <f>G84</f>
        <v>0</v>
      </c>
      <c r="H79" s="74">
        <f>H84</f>
        <v>0</v>
      </c>
      <c r="I79" s="13" t="str">
        <f>IF(G79&gt;0,H79/G79*100,"-")</f>
        <v>-</v>
      </c>
      <c r="J79" s="12">
        <f>J84</f>
        <v>0</v>
      </c>
      <c r="K79" s="74">
        <f>K84</f>
        <v>0</v>
      </c>
      <c r="L79" s="12">
        <f>L84</f>
        <v>0</v>
      </c>
      <c r="M79" s="65">
        <f>M84</f>
        <v>0</v>
      </c>
      <c r="N79" s="268"/>
    </row>
    <row r="80" spans="1:14">
      <c r="A80" s="20"/>
      <c r="B80" s="111"/>
      <c r="C80" s="206"/>
      <c r="D80" s="112"/>
      <c r="E80" s="112"/>
      <c r="F80" s="49"/>
      <c r="G80" s="49"/>
      <c r="H80" s="49"/>
      <c r="I80" s="115"/>
      <c r="J80" s="49"/>
      <c r="K80" s="114"/>
      <c r="L80" s="344"/>
      <c r="M80" s="115"/>
      <c r="N80" s="271"/>
    </row>
    <row r="81" spans="1:14">
      <c r="A81" s="744" t="s">
        <v>4</v>
      </c>
      <c r="B81" s="385" t="s">
        <v>29</v>
      </c>
      <c r="C81" s="368" t="s">
        <v>60</v>
      </c>
      <c r="D81" s="747" t="s">
        <v>61</v>
      </c>
      <c r="E81" s="748" t="s">
        <v>62</v>
      </c>
      <c r="F81" s="386" t="s">
        <v>30</v>
      </c>
      <c r="G81" s="387">
        <f>G82+G83</f>
        <v>132702861.45999999</v>
      </c>
      <c r="H81" s="388">
        <f>H82+H83</f>
        <v>11126637.460000001</v>
      </c>
      <c r="I81" s="389">
        <v>0</v>
      </c>
      <c r="J81" s="388">
        <v>0</v>
      </c>
      <c r="K81" s="390">
        <f>K82+K83</f>
        <v>12411084</v>
      </c>
      <c r="L81" s="388">
        <f>L82+L83</f>
        <v>11126637.460000001</v>
      </c>
      <c r="M81" s="389">
        <f>(L81/K81)*100</f>
        <v>89.650811000876317</v>
      </c>
      <c r="N81" s="749" t="s">
        <v>216</v>
      </c>
    </row>
    <row r="82" spans="1:14">
      <c r="A82" s="745"/>
      <c r="B82" s="371" t="s">
        <v>24</v>
      </c>
      <c r="C82" s="752" t="s">
        <v>63</v>
      </c>
      <c r="D82" s="712"/>
      <c r="E82" s="712"/>
      <c r="F82" s="31" t="s">
        <v>18</v>
      </c>
      <c r="G82" s="380">
        <v>132702861.45999999</v>
      </c>
      <c r="H82" s="363">
        <v>11126637.460000001</v>
      </c>
      <c r="I82" s="381">
        <v>0</v>
      </c>
      <c r="J82" s="363">
        <v>0</v>
      </c>
      <c r="K82" s="80">
        <v>12411084</v>
      </c>
      <c r="L82" s="363">
        <v>11126637.460000001</v>
      </c>
      <c r="M82" s="379">
        <f>(L82/K82)*100</f>
        <v>89.650811000876317</v>
      </c>
      <c r="N82" s="718"/>
    </row>
    <row r="83" spans="1:14">
      <c r="A83" s="745"/>
      <c r="B83" s="371"/>
      <c r="C83" s="753"/>
      <c r="D83" s="712"/>
      <c r="E83" s="712"/>
      <c r="F83" s="31" t="s">
        <v>23</v>
      </c>
      <c r="G83" s="380">
        <v>0</v>
      </c>
      <c r="H83" s="363">
        <v>0</v>
      </c>
      <c r="I83" s="381" t="s">
        <v>64</v>
      </c>
      <c r="J83" s="363">
        <v>0</v>
      </c>
      <c r="K83" s="80">
        <v>0</v>
      </c>
      <c r="L83" s="363">
        <v>0</v>
      </c>
      <c r="M83" s="477" t="s">
        <v>64</v>
      </c>
      <c r="N83" s="750"/>
    </row>
    <row r="84" spans="1:14">
      <c r="A84" s="745"/>
      <c r="B84" s="371"/>
      <c r="C84" s="372"/>
      <c r="D84" s="712"/>
      <c r="E84" s="712"/>
      <c r="F84" s="370"/>
      <c r="G84" s="370"/>
      <c r="H84" s="370"/>
      <c r="I84" s="381"/>
      <c r="J84" s="393"/>
      <c r="K84" s="384"/>
      <c r="L84" s="330"/>
      <c r="M84" s="144"/>
      <c r="N84" s="750"/>
    </row>
    <row r="85" spans="1:14" ht="16.5" customHeight="1">
      <c r="A85" s="745"/>
      <c r="B85" s="371"/>
      <c r="C85" s="372"/>
      <c r="D85" s="712"/>
      <c r="E85" s="712"/>
      <c r="F85" s="373"/>
      <c r="G85" s="373"/>
      <c r="H85" s="373"/>
      <c r="I85" s="381"/>
      <c r="J85" s="373"/>
      <c r="K85" s="80"/>
      <c r="L85" s="363"/>
      <c r="M85" s="144"/>
      <c r="N85" s="750"/>
    </row>
    <row r="86" spans="1:14" ht="36" customHeight="1">
      <c r="A86" s="746"/>
      <c r="B86" s="391"/>
      <c r="C86" s="374"/>
      <c r="D86" s="713"/>
      <c r="E86" s="713"/>
      <c r="F86" s="375"/>
      <c r="G86" s="375"/>
      <c r="H86" s="375"/>
      <c r="I86" s="383"/>
      <c r="J86" s="375"/>
      <c r="K86" s="392"/>
      <c r="L86" s="362"/>
      <c r="M86" s="290"/>
      <c r="N86" s="751"/>
    </row>
    <row r="87" spans="1:14">
      <c r="A87" s="744" t="s">
        <v>51</v>
      </c>
      <c r="B87" s="371" t="s">
        <v>29</v>
      </c>
      <c r="C87" s="372" t="s">
        <v>65</v>
      </c>
      <c r="D87" s="747" t="s">
        <v>61</v>
      </c>
      <c r="E87" s="747" t="s">
        <v>66</v>
      </c>
      <c r="F87" s="30" t="s">
        <v>30</v>
      </c>
      <c r="G87" s="377">
        <f>SUM(G88)</f>
        <v>2267107.2400000002</v>
      </c>
      <c r="H87" s="378">
        <f>SUM(H88)</f>
        <v>283584.24</v>
      </c>
      <c r="I87" s="379">
        <v>4.0999999999999996</v>
      </c>
      <c r="J87" s="378">
        <f>SUM(J88)</f>
        <v>385000</v>
      </c>
      <c r="K87" s="377">
        <f>SUM(K88)</f>
        <v>330000</v>
      </c>
      <c r="L87" s="378">
        <f>SUM(L88)</f>
        <v>283584.24</v>
      </c>
      <c r="M87" s="379">
        <f>(L87/K87)*100</f>
        <v>85.93461818181818</v>
      </c>
      <c r="N87" s="749" t="s">
        <v>67</v>
      </c>
    </row>
    <row r="88" spans="1:14">
      <c r="A88" s="745"/>
      <c r="B88" s="371" t="s">
        <v>24</v>
      </c>
      <c r="C88" s="372" t="s">
        <v>68</v>
      </c>
      <c r="D88" s="712"/>
      <c r="E88" s="712"/>
      <c r="F88" s="31" t="s">
        <v>18</v>
      </c>
      <c r="G88" s="380">
        <v>2267107.2400000002</v>
      </c>
      <c r="H88" s="363">
        <v>283584.24</v>
      </c>
      <c r="I88" s="381">
        <v>4.0999999999999996</v>
      </c>
      <c r="J88" s="363">
        <v>385000</v>
      </c>
      <c r="K88" s="80">
        <v>330000</v>
      </c>
      <c r="L88" s="363">
        <v>283584.24</v>
      </c>
      <c r="M88" s="381">
        <f>(L88/K88)*100</f>
        <v>85.93461818181818</v>
      </c>
      <c r="N88" s="750"/>
    </row>
    <row r="89" spans="1:14">
      <c r="A89" s="745"/>
      <c r="B89" s="373"/>
      <c r="C89" s="372"/>
      <c r="D89" s="712"/>
      <c r="E89" s="712"/>
      <c r="F89" s="31" t="s">
        <v>23</v>
      </c>
      <c r="G89" s="380">
        <v>0</v>
      </c>
      <c r="H89" s="363">
        <v>0</v>
      </c>
      <c r="I89" s="381" t="s">
        <v>64</v>
      </c>
      <c r="J89" s="363">
        <v>0</v>
      </c>
      <c r="K89" s="80">
        <v>0</v>
      </c>
      <c r="L89" s="363">
        <v>0</v>
      </c>
      <c r="M89" s="477" t="s">
        <v>64</v>
      </c>
      <c r="N89" s="750"/>
    </row>
    <row r="90" spans="1:14">
      <c r="A90" s="745"/>
      <c r="B90" s="373"/>
      <c r="C90" s="372"/>
      <c r="D90" s="712"/>
      <c r="E90" s="712"/>
      <c r="F90" s="373"/>
      <c r="G90" s="373"/>
      <c r="H90" s="373"/>
      <c r="I90" s="381"/>
      <c r="J90" s="373"/>
      <c r="K90" s="140"/>
      <c r="L90" s="347"/>
      <c r="M90" s="144"/>
      <c r="N90" s="750"/>
    </row>
    <row r="91" spans="1:14">
      <c r="A91" s="745"/>
      <c r="B91" s="373"/>
      <c r="C91" s="372"/>
      <c r="D91" s="712"/>
      <c r="E91" s="712"/>
      <c r="F91" s="373"/>
      <c r="G91" s="373"/>
      <c r="H91" s="373"/>
      <c r="I91" s="381"/>
      <c r="J91" s="373"/>
      <c r="K91" s="140"/>
      <c r="L91" s="347"/>
      <c r="M91" s="144"/>
      <c r="N91" s="750"/>
    </row>
    <row r="92" spans="1:14" ht="29.25" customHeight="1">
      <c r="A92" s="746"/>
      <c r="B92" s="373"/>
      <c r="C92" s="372"/>
      <c r="D92" s="713"/>
      <c r="E92" s="713"/>
      <c r="F92" s="373"/>
      <c r="G92" s="373"/>
      <c r="H92" s="373"/>
      <c r="I92" s="381"/>
      <c r="J92" s="373"/>
      <c r="K92" s="140"/>
      <c r="L92" s="347"/>
      <c r="M92" s="144"/>
      <c r="N92" s="751"/>
    </row>
    <row r="93" spans="1:14">
      <c r="A93" s="756" t="s">
        <v>56</v>
      </c>
      <c r="B93" s="385" t="s">
        <v>29</v>
      </c>
      <c r="C93" s="759" t="s">
        <v>74</v>
      </c>
      <c r="D93" s="747" t="s">
        <v>39</v>
      </c>
      <c r="E93" s="748" t="s">
        <v>75</v>
      </c>
      <c r="F93" s="367"/>
      <c r="G93" s="367"/>
      <c r="H93" s="367"/>
      <c r="I93" s="376"/>
      <c r="J93" s="367"/>
      <c r="K93" s="287"/>
      <c r="L93" s="348"/>
      <c r="M93" s="376"/>
      <c r="N93" s="704" t="s">
        <v>217</v>
      </c>
    </row>
    <row r="94" spans="1:14" ht="12.75">
      <c r="A94" s="757"/>
      <c r="B94" s="394"/>
      <c r="C94" s="753"/>
      <c r="D94" s="667"/>
      <c r="E94" s="667"/>
      <c r="F94" s="30" t="s">
        <v>30</v>
      </c>
      <c r="G94" s="83">
        <f>SUM(G101,G95)</f>
        <v>1657958.37</v>
      </c>
      <c r="H94" s="58">
        <f>SUM(H101,H95)</f>
        <v>441345.07</v>
      </c>
      <c r="I94" s="379">
        <f>(H94/G94)*100</f>
        <v>26.619792027709355</v>
      </c>
      <c r="J94" s="58">
        <f>SUM(J101,J95)</f>
        <v>216000</v>
      </c>
      <c r="K94" s="83">
        <f>SUM(K101,K95)</f>
        <v>171000</v>
      </c>
      <c r="L94" s="58">
        <f>SUM(L101,L95)</f>
        <v>139875.13999999998</v>
      </c>
      <c r="M94" s="379">
        <f>(L94/K94)*100</f>
        <v>81.798327485380113</v>
      </c>
      <c r="N94" s="691"/>
    </row>
    <row r="95" spans="1:14" ht="12.75">
      <c r="A95" s="757"/>
      <c r="B95" s="394"/>
      <c r="C95" s="753"/>
      <c r="D95" s="667"/>
      <c r="E95" s="667"/>
      <c r="F95" s="31" t="s">
        <v>18</v>
      </c>
      <c r="G95" s="80">
        <v>745208.37</v>
      </c>
      <c r="H95" s="34">
        <v>250612.37</v>
      </c>
      <c r="I95" s="381">
        <f>(H95/G95)*100</f>
        <v>33.629838322937786</v>
      </c>
      <c r="J95" s="34">
        <v>96000</v>
      </c>
      <c r="K95" s="80">
        <v>103000</v>
      </c>
      <c r="L95" s="34">
        <v>90607.37</v>
      </c>
      <c r="M95" s="381">
        <f>(L95/K95)*100</f>
        <v>87.968320388349511</v>
      </c>
      <c r="N95" s="691"/>
    </row>
    <row r="96" spans="1:14">
      <c r="A96" s="757"/>
      <c r="B96" s="60" t="s">
        <v>24</v>
      </c>
      <c r="C96" s="718" t="s">
        <v>76</v>
      </c>
      <c r="D96" s="667"/>
      <c r="E96" s="667"/>
      <c r="F96" s="31" t="s">
        <v>23</v>
      </c>
      <c r="G96" s="80">
        <v>0</v>
      </c>
      <c r="H96" s="34">
        <v>0</v>
      </c>
      <c r="I96" s="381" t="s">
        <v>64</v>
      </c>
      <c r="J96" s="34">
        <v>0</v>
      </c>
      <c r="K96" s="80">
        <v>0</v>
      </c>
      <c r="L96" s="34">
        <v>0</v>
      </c>
      <c r="M96" s="381" t="s">
        <v>64</v>
      </c>
      <c r="N96" s="760"/>
    </row>
    <row r="97" spans="1:14" ht="12.75">
      <c r="A97" s="757"/>
      <c r="B97" s="394"/>
      <c r="C97" s="753"/>
      <c r="D97" s="667"/>
      <c r="E97" s="667"/>
      <c r="F97" s="370"/>
      <c r="G97" s="80"/>
      <c r="H97" s="370"/>
      <c r="I97" s="381"/>
      <c r="J97" s="370"/>
      <c r="K97" s="384"/>
      <c r="L97" s="34"/>
      <c r="M97" s="381"/>
      <c r="N97" s="760"/>
    </row>
    <row r="98" spans="1:14" ht="12.75">
      <c r="A98" s="757"/>
      <c r="B98" s="394"/>
      <c r="C98" s="753"/>
      <c r="D98" s="667"/>
      <c r="E98" s="667"/>
      <c r="F98" s="370"/>
      <c r="G98" s="80"/>
      <c r="H98" s="370"/>
      <c r="I98" s="381"/>
      <c r="J98" s="370"/>
      <c r="K98" s="384"/>
      <c r="L98" s="330"/>
      <c r="M98" s="381"/>
      <c r="N98" s="760"/>
    </row>
    <row r="99" spans="1:14" ht="12.75">
      <c r="A99" s="758"/>
      <c r="B99" s="394"/>
      <c r="C99" s="192"/>
      <c r="D99" s="712"/>
      <c r="E99" s="661" t="s">
        <v>77</v>
      </c>
      <c r="F99" s="61"/>
      <c r="G99" s="79"/>
      <c r="H99" s="61"/>
      <c r="I99" s="33"/>
      <c r="J99" s="61"/>
      <c r="K99" s="399"/>
      <c r="L99" s="329"/>
      <c r="M99" s="33"/>
      <c r="N99" s="760"/>
    </row>
    <row r="100" spans="1:14" ht="12.75">
      <c r="A100" s="758"/>
      <c r="B100" s="394"/>
      <c r="C100" s="192"/>
      <c r="D100" s="712"/>
      <c r="E100" s="712"/>
      <c r="F100" s="30"/>
      <c r="G100" s="78"/>
      <c r="H100" s="14"/>
      <c r="I100" s="15"/>
      <c r="J100" s="14"/>
      <c r="K100" s="400"/>
      <c r="L100" s="328"/>
      <c r="M100" s="15"/>
      <c r="N100" s="760"/>
    </row>
    <row r="101" spans="1:14" ht="12.75">
      <c r="A101" s="758"/>
      <c r="B101" s="394"/>
      <c r="C101" s="192"/>
      <c r="D101" s="712"/>
      <c r="E101" s="712"/>
      <c r="F101" s="31" t="s">
        <v>18</v>
      </c>
      <c r="G101" s="79">
        <v>912750</v>
      </c>
      <c r="H101" s="32">
        <v>190732.7</v>
      </c>
      <c r="I101" s="33">
        <f>IF(G101&gt;0,H101/G101*100,"-")</f>
        <v>20.896488633251163</v>
      </c>
      <c r="J101" s="32">
        <v>120000</v>
      </c>
      <c r="K101" s="79">
        <v>68000</v>
      </c>
      <c r="L101" s="32">
        <v>49267.77</v>
      </c>
      <c r="M101" s="33">
        <f>IF(K101&gt;0,L101/K101*100,"-")</f>
        <v>72.452602941176465</v>
      </c>
      <c r="N101" s="760"/>
    </row>
    <row r="102" spans="1:14" ht="12.75">
      <c r="A102" s="758"/>
      <c r="B102" s="394"/>
      <c r="C102" s="192"/>
      <c r="D102" s="712"/>
      <c r="E102" s="712"/>
      <c r="F102" s="31" t="s">
        <v>23</v>
      </c>
      <c r="G102" s="79">
        <v>0</v>
      </c>
      <c r="H102" s="395">
        <v>0</v>
      </c>
      <c r="I102" s="33" t="s">
        <v>64</v>
      </c>
      <c r="J102" s="395">
        <v>0</v>
      </c>
      <c r="K102" s="79">
        <v>0</v>
      </c>
      <c r="L102" s="34">
        <v>0</v>
      </c>
      <c r="M102" s="33" t="str">
        <f>IF(K102&gt;0,L102/K102*100,"-")</f>
        <v>-</v>
      </c>
      <c r="N102" s="760"/>
    </row>
    <row r="103" spans="1:14" ht="12.75">
      <c r="A103" s="745"/>
      <c r="B103" s="394"/>
      <c r="C103" s="396"/>
      <c r="D103" s="712"/>
      <c r="E103" s="712"/>
      <c r="F103" s="31"/>
      <c r="G103" s="31"/>
      <c r="H103" s="31"/>
      <c r="I103" s="33"/>
      <c r="J103" s="31"/>
      <c r="K103" s="138"/>
      <c r="L103" s="330"/>
      <c r="M103" s="33"/>
      <c r="N103" s="760"/>
    </row>
    <row r="104" spans="1:14" ht="21.75" customHeight="1">
      <c r="A104" s="746"/>
      <c r="B104" s="397"/>
      <c r="C104" s="398"/>
      <c r="D104" s="713"/>
      <c r="E104" s="713"/>
      <c r="F104" s="62"/>
      <c r="G104" s="62"/>
      <c r="H104" s="62"/>
      <c r="I104" s="38"/>
      <c r="J104" s="62"/>
      <c r="K104" s="128"/>
      <c r="L104" s="349"/>
      <c r="M104" s="38"/>
      <c r="N104" s="761"/>
    </row>
    <row r="105" spans="1:14" s="40" customFormat="1" ht="12">
      <c r="A105" s="145"/>
      <c r="B105" s="146"/>
      <c r="C105" s="195"/>
      <c r="D105" s="147"/>
      <c r="E105" s="147"/>
      <c r="F105" s="145"/>
      <c r="G105" s="145"/>
      <c r="H105" s="145"/>
      <c r="I105" s="148"/>
      <c r="J105" s="145"/>
      <c r="K105" s="149"/>
      <c r="L105" s="350"/>
      <c r="M105" s="150"/>
      <c r="N105" s="215"/>
    </row>
    <row r="106" spans="1:14" s="40" customFormat="1" ht="12">
      <c r="A106" s="151" t="s">
        <v>130</v>
      </c>
      <c r="B106" s="762" t="s">
        <v>78</v>
      </c>
      <c r="C106" s="763"/>
      <c r="D106" s="152"/>
      <c r="E106" s="152"/>
      <c r="F106" s="153"/>
      <c r="G106" s="156">
        <f>G107+G108</f>
        <v>252000</v>
      </c>
      <c r="H106" s="154">
        <f>H107+H108</f>
        <v>80005.39</v>
      </c>
      <c r="I106" s="155">
        <v>31.7</v>
      </c>
      <c r="J106" s="154">
        <v>30000</v>
      </c>
      <c r="K106" s="156">
        <f>K107+K108</f>
        <v>30000</v>
      </c>
      <c r="L106" s="154">
        <f>L107+L108</f>
        <v>29999.99</v>
      </c>
      <c r="M106" s="155">
        <v>26.7</v>
      </c>
      <c r="N106" s="216"/>
    </row>
    <row r="107" spans="1:14" s="40" customFormat="1" ht="12">
      <c r="A107" s="153"/>
      <c r="B107" s="762"/>
      <c r="C107" s="763"/>
      <c r="D107" s="152"/>
      <c r="E107" s="152"/>
      <c r="F107" s="157" t="s">
        <v>18</v>
      </c>
      <c r="G107" s="159">
        <f>G111</f>
        <v>252000</v>
      </c>
      <c r="H107" s="158">
        <f>H111</f>
        <v>80005.39</v>
      </c>
      <c r="I107" s="155">
        <v>31.7</v>
      </c>
      <c r="J107" s="158">
        <v>30000</v>
      </c>
      <c r="K107" s="159">
        <f>K111</f>
        <v>30000</v>
      </c>
      <c r="L107" s="158">
        <f>L111</f>
        <v>29999.99</v>
      </c>
      <c r="M107" s="148">
        <v>26.7</v>
      </c>
      <c r="N107" s="216"/>
    </row>
    <row r="108" spans="1:14" s="40" customFormat="1" ht="12">
      <c r="A108" s="153"/>
      <c r="B108" s="762"/>
      <c r="C108" s="763"/>
      <c r="D108" s="152"/>
      <c r="E108" s="152"/>
      <c r="F108" s="160" t="s">
        <v>23</v>
      </c>
      <c r="G108" s="159">
        <v>0</v>
      </c>
      <c r="H108" s="158">
        <v>0</v>
      </c>
      <c r="I108" s="148" t="s">
        <v>79</v>
      </c>
      <c r="J108" s="158">
        <v>0</v>
      </c>
      <c r="K108" s="159">
        <v>0</v>
      </c>
      <c r="L108" s="158">
        <v>0</v>
      </c>
      <c r="M108" s="148" t="s">
        <v>79</v>
      </c>
      <c r="N108" s="216"/>
    </row>
    <row r="109" spans="1:14" s="40" customFormat="1" ht="12">
      <c r="A109" s="161"/>
      <c r="B109" s="162"/>
      <c r="C109" s="196"/>
      <c r="D109" s="163"/>
      <c r="E109" s="163"/>
      <c r="F109" s="161"/>
      <c r="G109" s="165"/>
      <c r="H109" s="161"/>
      <c r="I109" s="164"/>
      <c r="J109" s="161"/>
      <c r="K109" s="165"/>
      <c r="L109" s="468"/>
      <c r="M109" s="164"/>
      <c r="N109" s="217"/>
    </row>
    <row r="110" spans="1:14" ht="12">
      <c r="A110" s="764" t="s">
        <v>4</v>
      </c>
      <c r="B110" s="292"/>
      <c r="C110" s="293"/>
      <c r="D110" s="294"/>
      <c r="E110" s="294"/>
      <c r="F110" s="292"/>
      <c r="G110" s="295"/>
      <c r="H110" s="292"/>
      <c r="I110" s="296"/>
      <c r="J110" s="292"/>
      <c r="K110" s="297"/>
      <c r="L110" s="469"/>
      <c r="M110" s="296"/>
      <c r="N110" s="298"/>
    </row>
    <row r="111" spans="1:14" ht="33.75">
      <c r="A111" s="765"/>
      <c r="B111" s="166" t="s">
        <v>80</v>
      </c>
      <c r="C111" s="197" t="s">
        <v>81</v>
      </c>
      <c r="D111" s="766" t="s">
        <v>82</v>
      </c>
      <c r="E111" s="767" t="s">
        <v>83</v>
      </c>
      <c r="F111" s="167" t="s">
        <v>30</v>
      </c>
      <c r="G111" s="169">
        <v>252000</v>
      </c>
      <c r="H111" s="168">
        <v>80005.39</v>
      </c>
      <c r="I111" s="364">
        <v>31.74</v>
      </c>
      <c r="J111" s="168">
        <v>30000</v>
      </c>
      <c r="K111" s="169">
        <v>30000</v>
      </c>
      <c r="L111" s="168">
        <f>L112</f>
        <v>29999.99</v>
      </c>
      <c r="M111" s="364">
        <v>26.68</v>
      </c>
      <c r="N111" s="769" t="s">
        <v>84</v>
      </c>
    </row>
    <row r="112" spans="1:14" ht="22.5">
      <c r="A112" s="765"/>
      <c r="B112" s="170" t="s">
        <v>24</v>
      </c>
      <c r="C112" s="197" t="s">
        <v>85</v>
      </c>
      <c r="D112" s="767"/>
      <c r="E112" s="767"/>
      <c r="F112" s="171" t="s">
        <v>18</v>
      </c>
      <c r="G112" s="223">
        <v>252000</v>
      </c>
      <c r="H112" s="172">
        <v>101999.99</v>
      </c>
      <c r="I112" s="365">
        <v>31.7</v>
      </c>
      <c r="J112" s="172">
        <v>30000</v>
      </c>
      <c r="K112" s="173">
        <v>30000</v>
      </c>
      <c r="L112" s="470">
        <v>29999.99</v>
      </c>
      <c r="M112" s="365">
        <v>26.7</v>
      </c>
      <c r="N112" s="769"/>
    </row>
    <row r="113" spans="1:14" ht="71.25" customHeight="1">
      <c r="A113" s="765"/>
      <c r="B113" s="174"/>
      <c r="C113" s="198"/>
      <c r="D113" s="768"/>
      <c r="E113" s="768"/>
      <c r="F113" s="175" t="s">
        <v>23</v>
      </c>
      <c r="G113" s="176"/>
      <c r="H113" s="175"/>
      <c r="I113" s="366" t="s">
        <v>79</v>
      </c>
      <c r="J113" s="175"/>
      <c r="K113" s="299"/>
      <c r="L113" s="471"/>
      <c r="M113" s="300" t="s">
        <v>79</v>
      </c>
      <c r="N113" s="770"/>
    </row>
    <row r="114" spans="1:14" s="40" customFormat="1">
      <c r="A114" s="185"/>
      <c r="B114" s="702"/>
      <c r="C114" s="703"/>
      <c r="D114" s="6"/>
      <c r="E114" s="6"/>
      <c r="F114" s="7"/>
      <c r="G114" s="73">
        <f>SUM(G115:G116)</f>
        <v>67650</v>
      </c>
      <c r="H114" s="8">
        <f>SUM(H115:H116)</f>
        <v>1000</v>
      </c>
      <c r="I114" s="9">
        <f>IF(G114&gt;0,H114/G114*100,"-")</f>
        <v>1.4781966001478197</v>
      </c>
      <c r="J114" s="8">
        <f>SUM(J115)</f>
        <v>68000</v>
      </c>
      <c r="K114" s="73">
        <f>SUM(K115:K116)</f>
        <v>68000</v>
      </c>
      <c r="L114" s="8">
        <f>SUM(L115:L116)</f>
        <v>67650</v>
      </c>
      <c r="M114" s="63">
        <f>IF(K114&gt;0,L114/K114*100,"-")</f>
        <v>99.485294117647058</v>
      </c>
      <c r="N114" s="213"/>
    </row>
    <row r="115" spans="1:14" s="40" customFormat="1">
      <c r="A115" s="438" t="s">
        <v>133</v>
      </c>
      <c r="B115" s="184" t="s">
        <v>86</v>
      </c>
      <c r="C115" s="188"/>
      <c r="D115" s="6"/>
      <c r="E115" s="6"/>
      <c r="F115" s="11" t="s">
        <v>18</v>
      </c>
      <c r="G115" s="74">
        <f>G120</f>
        <v>67650</v>
      </c>
      <c r="H115" s="64">
        <f>H120</f>
        <v>1000</v>
      </c>
      <c r="I115" s="13">
        <f>IF(G115&gt;0,H115/G115*100,"-")</f>
        <v>1.4781966001478197</v>
      </c>
      <c r="J115" s="64">
        <v>68000</v>
      </c>
      <c r="K115" s="74">
        <f>K120</f>
        <v>68000</v>
      </c>
      <c r="L115" s="12">
        <f t="shared" ref="J115:L116" si="4">L120</f>
        <v>67650</v>
      </c>
      <c r="M115" s="65">
        <f>IF(K115&gt;0,L115/K115*100,"-")</f>
        <v>99.485294117647058</v>
      </c>
      <c r="N115" s="213"/>
    </row>
    <row r="116" spans="1:14" s="40" customFormat="1">
      <c r="A116" s="7"/>
      <c r="B116" s="10"/>
      <c r="C116" s="188"/>
      <c r="D116" s="6"/>
      <c r="E116" s="6"/>
      <c r="F116" s="11" t="s">
        <v>23</v>
      </c>
      <c r="G116" s="74">
        <f>G121</f>
        <v>0</v>
      </c>
      <c r="H116" s="12">
        <f>H121</f>
        <v>0</v>
      </c>
      <c r="I116" s="13" t="str">
        <f>IF(G116&gt;0,H116/G116*100,"-")</f>
        <v>-</v>
      </c>
      <c r="J116" s="64">
        <f t="shared" si="4"/>
        <v>0</v>
      </c>
      <c r="K116" s="74">
        <f t="shared" si="4"/>
        <v>0</v>
      </c>
      <c r="L116" s="12">
        <f t="shared" si="4"/>
        <v>0</v>
      </c>
      <c r="M116" s="13" t="str">
        <f>IF(K116&gt;0,L116/K116*100,"-")</f>
        <v>-</v>
      </c>
      <c r="N116" s="213"/>
    </row>
    <row r="117" spans="1:14" s="40" customFormat="1">
      <c r="A117" s="20"/>
      <c r="B117" s="21"/>
      <c r="C117" s="189"/>
      <c r="D117" s="22"/>
      <c r="E117" s="22"/>
      <c r="F117" s="20"/>
      <c r="G117" s="20"/>
      <c r="H117" s="20"/>
      <c r="I117" s="24"/>
      <c r="J117" s="20"/>
      <c r="K117" s="75"/>
      <c r="L117" s="23"/>
      <c r="M117" s="24"/>
      <c r="N117" s="214"/>
    </row>
    <row r="118" spans="1:14" s="40" customFormat="1">
      <c r="A118" s="699" t="s">
        <v>4</v>
      </c>
      <c r="B118" s="26"/>
      <c r="C118" s="190"/>
      <c r="D118" s="25"/>
      <c r="E118" s="25"/>
      <c r="F118" s="26"/>
      <c r="G118" s="26"/>
      <c r="H118" s="26"/>
      <c r="I118" s="28"/>
      <c r="J118" s="26"/>
      <c r="K118" s="76"/>
      <c r="L118" s="407"/>
      <c r="M118" s="28"/>
      <c r="N118" s="211"/>
    </row>
    <row r="119" spans="1:14" s="40" customFormat="1">
      <c r="A119" s="660"/>
      <c r="B119" s="29" t="s">
        <v>29</v>
      </c>
      <c r="C119" s="192" t="s">
        <v>87</v>
      </c>
      <c r="D119" s="34"/>
      <c r="E119" s="39"/>
      <c r="F119" s="30" t="s">
        <v>30</v>
      </c>
      <c r="G119" s="78">
        <f>SUM(G120:G121)</f>
        <v>67650</v>
      </c>
      <c r="H119" s="14">
        <f>SUM(H120:H121)</f>
        <v>1000</v>
      </c>
      <c r="I119" s="15">
        <f>IF(G119&gt;0,H119/G119*100,"-")</f>
        <v>1.4781966001478197</v>
      </c>
      <c r="J119" s="78">
        <v>68000</v>
      </c>
      <c r="K119" s="78">
        <f>SUM(K120:K121)</f>
        <v>68000</v>
      </c>
      <c r="L119" s="14">
        <f>SUM(L120:L121)</f>
        <v>67650</v>
      </c>
      <c r="M119" s="66">
        <f>IF(K119&gt;0,L119/K119*100,"-")</f>
        <v>99.485294117647058</v>
      </c>
      <c r="N119" s="771" t="s">
        <v>88</v>
      </c>
    </row>
    <row r="120" spans="1:14" s="40" customFormat="1">
      <c r="A120" s="660"/>
      <c r="B120" s="773" t="s">
        <v>89</v>
      </c>
      <c r="C120" s="774"/>
      <c r="D120" s="34"/>
      <c r="E120" s="39"/>
      <c r="F120" s="31" t="s">
        <v>18</v>
      </c>
      <c r="G120" s="177">
        <v>67650</v>
      </c>
      <c r="H120" s="67">
        <v>1000</v>
      </c>
      <c r="I120" s="33">
        <f>IF(G120&gt;0,H120/G120*100,"-")</f>
        <v>1.4781966001478197</v>
      </c>
      <c r="J120" s="69" t="s">
        <v>90</v>
      </c>
      <c r="K120" s="79">
        <v>68000</v>
      </c>
      <c r="L120" s="32">
        <v>67650</v>
      </c>
      <c r="M120" s="68"/>
      <c r="N120" s="772"/>
    </row>
    <row r="121" spans="1:14" s="40" customFormat="1">
      <c r="A121" s="660"/>
      <c r="B121" s="775"/>
      <c r="C121" s="774"/>
      <c r="D121" s="34"/>
      <c r="E121" s="39"/>
      <c r="F121" s="31" t="s">
        <v>23</v>
      </c>
      <c r="G121" s="79"/>
      <c r="H121" s="31"/>
      <c r="I121" s="33" t="str">
        <f>IF(G121&gt;0,H121/G121*100,"-")</f>
        <v>-</v>
      </c>
      <c r="J121" s="31"/>
      <c r="K121" s="79"/>
      <c r="L121" s="330"/>
      <c r="M121" s="33" t="str">
        <f>IF(K121&gt;0,L121/K121*100,"-")</f>
        <v>-</v>
      </c>
      <c r="N121" s="772"/>
    </row>
    <row r="122" spans="1:14" s="40" customFormat="1" ht="16.5" customHeight="1">
      <c r="A122" s="700"/>
      <c r="B122" s="36"/>
      <c r="C122" s="194"/>
      <c r="D122" s="35"/>
      <c r="E122" s="35"/>
      <c r="F122" s="36"/>
      <c r="G122" s="137"/>
      <c r="H122" s="36"/>
      <c r="I122" s="38"/>
      <c r="J122" s="36"/>
      <c r="K122" s="81"/>
      <c r="L122" s="331"/>
      <c r="M122" s="38"/>
      <c r="N122" s="212"/>
    </row>
    <row r="123" spans="1:14" s="40" customFormat="1">
      <c r="A123" s="16"/>
      <c r="B123" s="332"/>
      <c r="C123" s="333"/>
      <c r="D123" s="17"/>
      <c r="E123" s="17"/>
      <c r="F123" s="16"/>
      <c r="G123" s="72"/>
      <c r="H123" s="16"/>
      <c r="I123" s="19"/>
      <c r="J123" s="16"/>
      <c r="K123" s="72"/>
      <c r="L123" s="18"/>
      <c r="M123" s="19"/>
      <c r="N123" s="218"/>
    </row>
    <row r="124" spans="1:14" s="40" customFormat="1">
      <c r="A124" s="5" t="s">
        <v>136</v>
      </c>
      <c r="B124" s="702" t="s">
        <v>91</v>
      </c>
      <c r="C124" s="703"/>
      <c r="D124" s="6"/>
      <c r="E124" s="6"/>
      <c r="F124" s="7"/>
      <c r="G124" s="73">
        <f>SUM(G125:G126)</f>
        <v>4816400</v>
      </c>
      <c r="H124" s="8">
        <f>SUM(H125:H126)</f>
        <v>1360395.08</v>
      </c>
      <c r="I124" s="9">
        <f>IF(G124&gt;0,H124/G124*100,"-")</f>
        <v>28.245060210945937</v>
      </c>
      <c r="J124" s="8">
        <f>SUM(J125:J126)</f>
        <v>693000</v>
      </c>
      <c r="K124" s="73">
        <f>SUM(K125:K126)</f>
        <v>693000</v>
      </c>
      <c r="L124" s="8">
        <f>SUM(L125:L126)</f>
        <v>565759.1</v>
      </c>
      <c r="M124" s="9">
        <f>IF(K124&gt;0,L124/K124*100,"-")</f>
        <v>81.639119769119759</v>
      </c>
      <c r="N124" s="213"/>
    </row>
    <row r="125" spans="1:14" s="40" customFormat="1">
      <c r="A125" s="7"/>
      <c r="B125" s="10"/>
      <c r="C125" s="188"/>
      <c r="D125" s="6"/>
      <c r="E125" s="6"/>
      <c r="F125" s="11" t="s">
        <v>18</v>
      </c>
      <c r="G125" s="74">
        <f>+G130+G135+G139</f>
        <v>4816400</v>
      </c>
      <c r="H125" s="12">
        <f>+H130+H135+H139</f>
        <v>1360395.08</v>
      </c>
      <c r="I125" s="13">
        <f>IF(G125&gt;0,H125/G125*100,"-")</f>
        <v>28.245060210945937</v>
      </c>
      <c r="J125" s="12">
        <f>J130+J135+J139</f>
        <v>693000</v>
      </c>
      <c r="K125" s="74">
        <f>K130+K135+K139</f>
        <v>693000</v>
      </c>
      <c r="L125" s="12">
        <f>L130+L135+L139</f>
        <v>565759.1</v>
      </c>
      <c r="M125" s="13">
        <f>IF(K125&gt;0,L125/K125*100,"-")</f>
        <v>81.639119769119759</v>
      </c>
      <c r="N125" s="213"/>
    </row>
    <row r="126" spans="1:14" s="40" customFormat="1">
      <c r="A126" s="7"/>
      <c r="B126" s="10"/>
      <c r="C126" s="188"/>
      <c r="D126" s="6"/>
      <c r="E126" s="6"/>
      <c r="F126" s="11" t="s">
        <v>23</v>
      </c>
      <c r="G126" s="74"/>
      <c r="H126" s="12">
        <f>+H131+H136</f>
        <v>0</v>
      </c>
      <c r="I126" s="13" t="str">
        <f>IF(G126&gt;0,H126/G126*100,"-")</f>
        <v>-</v>
      </c>
      <c r="J126" s="12">
        <f>J131+J136</f>
        <v>0</v>
      </c>
      <c r="K126" s="74">
        <f>K131+K136</f>
        <v>0</v>
      </c>
      <c r="L126" s="12">
        <f>L131+L136</f>
        <v>0</v>
      </c>
      <c r="M126" s="13" t="str">
        <f>IF(K126&gt;0,L126/K126*100,"-")</f>
        <v>-</v>
      </c>
      <c r="N126" s="213"/>
    </row>
    <row r="127" spans="1:14" s="40" customFormat="1">
      <c r="A127" s="20"/>
      <c r="B127" s="21"/>
      <c r="C127" s="189"/>
      <c r="D127" s="22"/>
      <c r="E127" s="22"/>
      <c r="F127" s="20"/>
      <c r="G127" s="75"/>
      <c r="H127" s="20"/>
      <c r="I127" s="24"/>
      <c r="J127" s="20"/>
      <c r="K127" s="75"/>
      <c r="L127" s="23"/>
      <c r="M127" s="24"/>
      <c r="N127" s="214"/>
    </row>
    <row r="128" spans="1:14">
      <c r="A128" s="699" t="s">
        <v>4</v>
      </c>
      <c r="B128" s="50"/>
      <c r="C128" s="207"/>
      <c r="D128" s="139"/>
      <c r="E128" s="139"/>
      <c r="F128" s="50"/>
      <c r="G128" s="119"/>
      <c r="H128" s="50"/>
      <c r="I128" s="130"/>
      <c r="J128" s="50"/>
      <c r="K128" s="121"/>
      <c r="L128" s="345"/>
      <c r="M128" s="130"/>
      <c r="N128" s="776" t="s">
        <v>92</v>
      </c>
    </row>
    <row r="129" spans="1:14" ht="22.5">
      <c r="A129" s="660"/>
      <c r="B129" s="29" t="s">
        <v>29</v>
      </c>
      <c r="C129" s="193" t="s">
        <v>93</v>
      </c>
      <c r="D129" s="661" t="s">
        <v>39</v>
      </c>
      <c r="E129" s="661">
        <v>710</v>
      </c>
      <c r="F129" s="30" t="s">
        <v>30</v>
      </c>
      <c r="G129" s="78">
        <f>SUM(G130:G131)</f>
        <v>3401905</v>
      </c>
      <c r="H129" s="14">
        <f>SUM(H130:H131)</f>
        <v>865900.35</v>
      </c>
      <c r="I129" s="15">
        <f>IF(G129&gt;0,H129/G129*100,"-")</f>
        <v>25.453395964907898</v>
      </c>
      <c r="J129" s="14">
        <f>SUM(J130:J131)</f>
        <v>473000</v>
      </c>
      <c r="K129" s="78">
        <f>SUM(K130:K131)</f>
        <v>473000</v>
      </c>
      <c r="L129" s="14">
        <f>SUM(L130:L131)</f>
        <v>359512.97</v>
      </c>
      <c r="M129" s="15">
        <f>IF(K129&gt;0,L129/K129*100,"-")</f>
        <v>76.006970401691319</v>
      </c>
      <c r="N129" s="777"/>
    </row>
    <row r="130" spans="1:14">
      <c r="A130" s="660"/>
      <c r="B130" s="29" t="s">
        <v>24</v>
      </c>
      <c r="C130" s="192" t="s">
        <v>94</v>
      </c>
      <c r="D130" s="661"/>
      <c r="E130" s="661"/>
      <c r="F130" s="31" t="s">
        <v>18</v>
      </c>
      <c r="G130" s="79">
        <v>3401905</v>
      </c>
      <c r="H130" s="32">
        <v>865900.35</v>
      </c>
      <c r="I130" s="33">
        <f>IF(G130&gt;0,H130/G130*100,"-")</f>
        <v>25.453395964907898</v>
      </c>
      <c r="J130" s="32">
        <v>473000</v>
      </c>
      <c r="K130" s="79">
        <v>473000</v>
      </c>
      <c r="L130" s="32">
        <v>359512.97</v>
      </c>
      <c r="M130" s="33">
        <f>IF(K130&gt;0,L130/K130*100,"-")</f>
        <v>76.006970401691319</v>
      </c>
      <c r="N130" s="777"/>
    </row>
    <row r="131" spans="1:14">
      <c r="A131" s="660"/>
      <c r="B131" s="29"/>
      <c r="C131" s="193"/>
      <c r="D131" s="661"/>
      <c r="E131" s="661"/>
      <c r="F131" s="31" t="s">
        <v>23</v>
      </c>
      <c r="G131" s="32"/>
      <c r="H131" s="32"/>
      <c r="I131" s="33" t="str">
        <f>IF(G131&gt;0,H131/G131*100,"-")</f>
        <v>-</v>
      </c>
      <c r="J131" s="32"/>
      <c r="K131" s="79"/>
      <c r="L131" s="34"/>
      <c r="M131" s="33" t="str">
        <f>IF(K131&gt;0,L131/K131*100,"-")</f>
        <v>-</v>
      </c>
      <c r="N131" s="777"/>
    </row>
    <row r="132" spans="1:14" ht="69" customHeight="1">
      <c r="A132" s="700"/>
      <c r="B132" s="36"/>
      <c r="C132" s="194"/>
      <c r="D132" s="779"/>
      <c r="E132" s="35">
        <v>71095</v>
      </c>
      <c r="F132" s="36"/>
      <c r="G132" s="36"/>
      <c r="H132" s="36"/>
      <c r="I132" s="38"/>
      <c r="J132" s="36"/>
      <c r="K132" s="128"/>
      <c r="L132" s="37"/>
      <c r="M132" s="38"/>
      <c r="N132" s="778"/>
    </row>
    <row r="133" spans="1:14">
      <c r="A133" s="699" t="s">
        <v>51</v>
      </c>
      <c r="B133" s="26"/>
      <c r="C133" s="190"/>
      <c r="D133" s="25"/>
      <c r="E133" s="708" t="s">
        <v>95</v>
      </c>
      <c r="F133" s="26"/>
      <c r="G133" s="26"/>
      <c r="H133" s="26"/>
      <c r="I133" s="28"/>
      <c r="J133" s="50"/>
      <c r="K133" s="121"/>
      <c r="L133" s="407"/>
      <c r="M133" s="28"/>
      <c r="N133" s="211"/>
    </row>
    <row r="134" spans="1:14" ht="22.5">
      <c r="A134" s="660"/>
      <c r="B134" s="29" t="s">
        <v>29</v>
      </c>
      <c r="C134" s="193" t="s">
        <v>96</v>
      </c>
      <c r="D134" s="661" t="s">
        <v>97</v>
      </c>
      <c r="E134" s="661"/>
      <c r="F134" s="30" t="s">
        <v>30</v>
      </c>
      <c r="G134" s="78">
        <f>SUM(G135:G136)</f>
        <v>519449</v>
      </c>
      <c r="H134" s="14">
        <f>SUM(H135:H136)</f>
        <v>249448.73</v>
      </c>
      <c r="I134" s="15">
        <v>40</v>
      </c>
      <c r="J134" s="14">
        <f>SUM(J135:J136)</f>
        <v>90000</v>
      </c>
      <c r="K134" s="78">
        <f>SUM(K135:K136)</f>
        <v>90000</v>
      </c>
      <c r="L134" s="14">
        <f>SUM(L135:L136)</f>
        <v>90000</v>
      </c>
      <c r="M134" s="15">
        <f>IF(K134&gt;0,L134/K134*100,"-")</f>
        <v>100</v>
      </c>
      <c r="N134" s="710" t="s">
        <v>98</v>
      </c>
    </row>
    <row r="135" spans="1:14" ht="22.5">
      <c r="A135" s="660"/>
      <c r="B135" s="29" t="s">
        <v>24</v>
      </c>
      <c r="C135" s="193" t="s">
        <v>99</v>
      </c>
      <c r="D135" s="661"/>
      <c r="E135" s="661"/>
      <c r="F135" s="31" t="s">
        <v>18</v>
      </c>
      <c r="G135" s="79">
        <v>519449</v>
      </c>
      <c r="H135" s="32">
        <v>249448.73</v>
      </c>
      <c r="I135" s="33">
        <v>40</v>
      </c>
      <c r="J135" s="32">
        <v>90000</v>
      </c>
      <c r="K135" s="79">
        <v>90000</v>
      </c>
      <c r="L135" s="466">
        <v>90000</v>
      </c>
      <c r="M135" s="33">
        <v>95.9</v>
      </c>
      <c r="N135" s="710"/>
    </row>
    <row r="136" spans="1:14">
      <c r="A136" s="660"/>
      <c r="B136" s="29"/>
      <c r="C136" s="193"/>
      <c r="D136" s="661"/>
      <c r="E136" s="661"/>
      <c r="F136" s="31" t="s">
        <v>23</v>
      </c>
      <c r="G136" s="79"/>
      <c r="H136" s="32"/>
      <c r="I136" s="120" t="str">
        <f>IF(G136&gt;0,H136/G136*100,"-")</f>
        <v>-</v>
      </c>
      <c r="J136" s="276"/>
      <c r="K136" s="138"/>
      <c r="L136" s="34"/>
      <c r="M136" s="33" t="str">
        <f>IF(K136&gt;0,L136/K136*100,"-")</f>
        <v>-</v>
      </c>
      <c r="N136" s="710"/>
    </row>
    <row r="137" spans="1:14">
      <c r="A137" s="700"/>
      <c r="B137" s="36"/>
      <c r="C137" s="194"/>
      <c r="D137" s="35"/>
      <c r="E137" s="709"/>
      <c r="F137" s="31"/>
      <c r="G137" s="82"/>
      <c r="H137" s="29"/>
      <c r="I137" s="120"/>
      <c r="J137" s="132"/>
      <c r="K137" s="138"/>
      <c r="L137" s="54"/>
      <c r="M137" s="120"/>
      <c r="N137" s="219"/>
    </row>
    <row r="138" spans="1:14" ht="11.25" customHeight="1">
      <c r="A138" s="699">
        <v>3</v>
      </c>
      <c r="B138" s="26"/>
      <c r="C138" s="199"/>
      <c r="D138" s="711" t="s">
        <v>101</v>
      </c>
      <c r="E138" s="714" t="s">
        <v>95</v>
      </c>
      <c r="F138" s="85" t="s">
        <v>30</v>
      </c>
      <c r="G138" s="224">
        <f t="shared" ref="G138:L138" si="5">G139</f>
        <v>895046</v>
      </c>
      <c r="H138" s="90">
        <f t="shared" si="5"/>
        <v>245046</v>
      </c>
      <c r="I138" s="142">
        <f t="shared" si="5"/>
        <v>23</v>
      </c>
      <c r="J138" s="27">
        <f t="shared" si="5"/>
        <v>130000</v>
      </c>
      <c r="K138" s="178">
        <f t="shared" si="5"/>
        <v>130000</v>
      </c>
      <c r="L138" s="467">
        <f t="shared" si="5"/>
        <v>116246.13</v>
      </c>
      <c r="M138" s="86">
        <v>62</v>
      </c>
      <c r="N138" s="717" t="s">
        <v>503</v>
      </c>
    </row>
    <row r="139" spans="1:14" ht="11.25" customHeight="1">
      <c r="A139" s="660"/>
      <c r="B139" s="187" t="s">
        <v>100</v>
      </c>
      <c r="C139" s="200" t="s">
        <v>211</v>
      </c>
      <c r="D139" s="712"/>
      <c r="E139" s="715"/>
      <c r="F139" s="53" t="s">
        <v>18</v>
      </c>
      <c r="G139" s="82">
        <v>895046</v>
      </c>
      <c r="H139" s="54">
        <v>245046</v>
      </c>
      <c r="I139" s="92">
        <v>23</v>
      </c>
      <c r="J139" s="32">
        <v>130000</v>
      </c>
      <c r="K139" s="179">
        <v>130000</v>
      </c>
      <c r="L139" s="91">
        <v>116246.13</v>
      </c>
      <c r="M139" s="87">
        <v>62</v>
      </c>
      <c r="N139" s="718"/>
    </row>
    <row r="140" spans="1:14" ht="21" customHeight="1">
      <c r="A140" s="660"/>
      <c r="B140" s="186" t="s">
        <v>24</v>
      </c>
      <c r="C140" s="201" t="s">
        <v>212</v>
      </c>
      <c r="D140" s="712"/>
      <c r="E140" s="715"/>
      <c r="F140" s="53" t="s">
        <v>23</v>
      </c>
      <c r="G140" s="82"/>
      <c r="H140" s="29"/>
      <c r="I140" s="92"/>
      <c r="J140" s="61"/>
      <c r="K140" s="179"/>
      <c r="L140" s="91"/>
      <c r="M140" s="87"/>
      <c r="N140" s="718"/>
    </row>
    <row r="141" spans="1:14" ht="75.75" customHeight="1">
      <c r="A141" s="700"/>
      <c r="B141" s="334"/>
      <c r="C141" s="202"/>
      <c r="D141" s="713"/>
      <c r="E141" s="716"/>
      <c r="F141" s="88"/>
      <c r="G141" s="137"/>
      <c r="H141" s="36"/>
      <c r="I141" s="93"/>
      <c r="J141" s="62"/>
      <c r="K141" s="180"/>
      <c r="L141" s="351"/>
      <c r="M141" s="89"/>
      <c r="N141" s="719"/>
    </row>
    <row r="142" spans="1:14" s="40" customFormat="1" ht="12">
      <c r="A142" s="95" t="s">
        <v>206</v>
      </c>
      <c r="B142" s="658" t="s">
        <v>102</v>
      </c>
      <c r="C142" s="659"/>
      <c r="D142" s="96"/>
      <c r="E142" s="96"/>
      <c r="F142" s="97"/>
      <c r="G142" s="181"/>
      <c r="H142" s="98"/>
      <c r="I142" s="99"/>
      <c r="J142" s="98"/>
      <c r="K142" s="181"/>
      <c r="L142" s="336"/>
      <c r="M142" s="99"/>
      <c r="N142" s="213"/>
    </row>
    <row r="143" spans="1:14" s="40" customFormat="1">
      <c r="A143" s="97"/>
      <c r="B143" s="100"/>
      <c r="C143" s="203"/>
      <c r="D143" s="96"/>
      <c r="E143" s="96"/>
      <c r="F143" s="101" t="s">
        <v>18</v>
      </c>
      <c r="G143" s="181">
        <v>8149422</v>
      </c>
      <c r="H143" s="98">
        <f>H147</f>
        <v>2712995</v>
      </c>
      <c r="I143" s="102">
        <f>IF(G143&gt;0,H143/G143*100,"-")</f>
        <v>33.290643189173416</v>
      </c>
      <c r="J143" s="98">
        <v>1137400</v>
      </c>
      <c r="K143" s="181">
        <f>K147</f>
        <v>1437400</v>
      </c>
      <c r="L143" s="98">
        <f>SUM(L148)</f>
        <v>1387972.76</v>
      </c>
      <c r="M143" s="102">
        <f>IF(K143&gt;0,L143/K143*100,"-")</f>
        <v>96.561344093502157</v>
      </c>
      <c r="N143" s="213"/>
    </row>
    <row r="144" spans="1:14" s="40" customFormat="1">
      <c r="A144" s="97"/>
      <c r="B144" s="100"/>
      <c r="C144" s="203"/>
      <c r="D144" s="96"/>
      <c r="E144" s="96"/>
      <c r="F144" s="101" t="s">
        <v>23</v>
      </c>
      <c r="G144" s="181"/>
      <c r="H144" s="98"/>
      <c r="I144" s="102" t="str">
        <f>IF(G144&gt;0,H144/G144*100,"-")</f>
        <v>-</v>
      </c>
      <c r="J144" s="98"/>
      <c r="K144" s="181"/>
      <c r="L144" s="98"/>
      <c r="M144" s="102" t="str">
        <f>IF(K144&gt;0,L144/K144*100,"-")</f>
        <v>-</v>
      </c>
      <c r="N144" s="213"/>
    </row>
    <row r="145" spans="1:14" s="40" customFormat="1">
      <c r="A145" s="103"/>
      <c r="B145" s="104"/>
      <c r="C145" s="204"/>
      <c r="D145" s="105"/>
      <c r="E145" s="105"/>
      <c r="F145" s="103"/>
      <c r="G145" s="182"/>
      <c r="H145" s="103"/>
      <c r="I145" s="106"/>
      <c r="J145" s="103"/>
      <c r="K145" s="182"/>
      <c r="L145" s="478"/>
      <c r="M145" s="106"/>
      <c r="N145" s="214"/>
    </row>
    <row r="146" spans="1:14" s="40" customFormat="1">
      <c r="A146" s="699" t="s">
        <v>4</v>
      </c>
      <c r="B146" s="26"/>
      <c r="C146" s="190"/>
      <c r="D146" s="25"/>
      <c r="E146" s="25"/>
      <c r="F146" s="26"/>
      <c r="G146" s="77"/>
      <c r="H146" s="26"/>
      <c r="I146" s="28"/>
      <c r="J146" s="59"/>
      <c r="K146" s="84"/>
      <c r="L146" s="479"/>
      <c r="M146" s="28"/>
      <c r="N146" s="211"/>
    </row>
    <row r="147" spans="1:14" s="40" customFormat="1" ht="22.5">
      <c r="A147" s="660"/>
      <c r="B147" s="29" t="s">
        <v>29</v>
      </c>
      <c r="C147" s="335" t="s">
        <v>103</v>
      </c>
      <c r="D147" s="661" t="s">
        <v>104</v>
      </c>
      <c r="E147" s="661" t="s">
        <v>105</v>
      </c>
      <c r="F147" s="30" t="s">
        <v>30</v>
      </c>
      <c r="G147" s="225">
        <v>8149422</v>
      </c>
      <c r="H147" s="94">
        <f>H148</f>
        <v>2712995</v>
      </c>
      <c r="I147" s="15">
        <f>IF(G147&gt;0,H147/G147*100,"-")</f>
        <v>33.290643189173416</v>
      </c>
      <c r="J147" s="58">
        <v>1137400</v>
      </c>
      <c r="K147" s="83">
        <f>K148</f>
        <v>1437400</v>
      </c>
      <c r="L147" s="58">
        <f>SUM(L148)</f>
        <v>1387972.76</v>
      </c>
      <c r="M147" s="15">
        <f>IF(K147&gt;0,L147/K147*100,"-")</f>
        <v>96.561344093502157</v>
      </c>
      <c r="N147" s="691" t="s">
        <v>504</v>
      </c>
    </row>
    <row r="148" spans="1:14" s="40" customFormat="1" ht="22.5">
      <c r="A148" s="660"/>
      <c r="B148" s="29" t="s">
        <v>24</v>
      </c>
      <c r="C148" s="193" t="s">
        <v>106</v>
      </c>
      <c r="D148" s="661"/>
      <c r="E148" s="661"/>
      <c r="F148" s="31" t="s">
        <v>18</v>
      </c>
      <c r="G148" s="226">
        <v>8149422</v>
      </c>
      <c r="H148" s="183">
        <v>2712995</v>
      </c>
      <c r="I148" s="33">
        <f>IF(G148&gt;0,H148/G148*100,"-")</f>
        <v>33.290643189173416</v>
      </c>
      <c r="J148" s="34">
        <v>1137400</v>
      </c>
      <c r="K148" s="80">
        <v>1437400</v>
      </c>
      <c r="L148" s="34">
        <v>1387972.76</v>
      </c>
      <c r="M148" s="33">
        <f>IF(K148&gt;0,L148/K148*100,"-")</f>
        <v>96.561344093502157</v>
      </c>
      <c r="N148" s="691"/>
    </row>
    <row r="149" spans="1:14" s="40" customFormat="1">
      <c r="A149" s="660"/>
      <c r="B149" s="29"/>
      <c r="C149" s="193"/>
      <c r="D149" s="661"/>
      <c r="E149" s="661"/>
      <c r="F149" s="31" t="s">
        <v>23</v>
      </c>
      <c r="G149" s="226"/>
      <c r="H149" s="183"/>
      <c r="I149" s="33" t="str">
        <f>IF(G149&gt;0,H149/G149*100,"-")</f>
        <v>-</v>
      </c>
      <c r="J149" s="34"/>
      <c r="K149" s="80"/>
      <c r="L149" s="330"/>
      <c r="M149" s="33" t="str">
        <f>IF(K149&gt;0,L149/K149*100,"-")</f>
        <v>-</v>
      </c>
      <c r="N149" s="691"/>
    </row>
    <row r="150" spans="1:14">
      <c r="A150" s="700"/>
      <c r="B150" s="36"/>
      <c r="C150" s="194"/>
      <c r="D150" s="35"/>
      <c r="E150" s="35"/>
      <c r="F150" s="36"/>
      <c r="G150" s="126"/>
      <c r="H150" s="123"/>
      <c r="I150" s="127"/>
      <c r="J150" s="289"/>
      <c r="K150" s="288"/>
      <c r="L150" s="346"/>
      <c r="M150" s="127"/>
      <c r="N150" s="278"/>
    </row>
    <row r="151" spans="1:14">
      <c r="A151" s="16"/>
      <c r="B151" s="413"/>
      <c r="C151" s="414"/>
      <c r="D151" s="17"/>
      <c r="E151" s="17"/>
      <c r="F151" s="16"/>
      <c r="G151" s="449"/>
      <c r="H151" s="450"/>
      <c r="I151" s="19"/>
      <c r="J151" s="450"/>
      <c r="K151" s="449"/>
      <c r="L151" s="352"/>
      <c r="M151" s="456"/>
      <c r="N151" s="304"/>
    </row>
    <row r="152" spans="1:14">
      <c r="A152" s="5" t="s">
        <v>207</v>
      </c>
      <c r="B152" s="702" t="s">
        <v>201</v>
      </c>
      <c r="C152" s="703"/>
      <c r="D152" s="6"/>
      <c r="E152" s="6"/>
      <c r="F152" s="7"/>
      <c r="G152" s="451">
        <f>G157+G162+G167</f>
        <v>16621605</v>
      </c>
      <c r="H152" s="452">
        <f>H157+H162+H167</f>
        <v>2206409.2199999997</v>
      </c>
      <c r="I152" s="9">
        <f>IF(G152&gt;0,H152/G152*100,"-")</f>
        <v>13.274345167028093</v>
      </c>
      <c r="J152" s="452">
        <f t="shared" ref="J152:L153" si="6">J157+J162+J167</f>
        <v>2896448</v>
      </c>
      <c r="K152" s="451">
        <f t="shared" si="6"/>
        <v>2977053</v>
      </c>
      <c r="L152" s="452">
        <f t="shared" si="6"/>
        <v>2908450.44</v>
      </c>
      <c r="M152" s="9">
        <f>IF(K152&gt;0,L152/K152*100,"-")</f>
        <v>97.695621811234119</v>
      </c>
      <c r="N152" s="305"/>
    </row>
    <row r="153" spans="1:14">
      <c r="A153" s="7"/>
      <c r="B153" s="10"/>
      <c r="C153" s="188"/>
      <c r="D153" s="6"/>
      <c r="E153" s="6"/>
      <c r="F153" s="11" t="s">
        <v>18</v>
      </c>
      <c r="G153" s="453">
        <f>G158+G163+G168</f>
        <v>15827261</v>
      </c>
      <c r="H153" s="64">
        <f>H158+H163+H168</f>
        <v>1703796.32</v>
      </c>
      <c r="I153" s="13">
        <f>IF(G153&gt;0,H153/G153*100,"-")</f>
        <v>10.764947390454987</v>
      </c>
      <c r="J153" s="64">
        <f t="shared" si="6"/>
        <v>2347635</v>
      </c>
      <c r="K153" s="453">
        <f t="shared" si="6"/>
        <v>2349285</v>
      </c>
      <c r="L153" s="64">
        <f t="shared" si="6"/>
        <v>2337517.13</v>
      </c>
      <c r="M153" s="13">
        <f>IF(K153&gt;0,L153/K153*100,"-")</f>
        <v>99.499087169074841</v>
      </c>
      <c r="N153" s="305"/>
    </row>
    <row r="154" spans="1:14">
      <c r="A154" s="7"/>
      <c r="B154" s="10"/>
      <c r="C154" s="188"/>
      <c r="D154" s="6"/>
      <c r="E154" s="6"/>
      <c r="F154" s="11" t="s">
        <v>23</v>
      </c>
      <c r="G154" s="453">
        <f>G159+G164</f>
        <v>794344</v>
      </c>
      <c r="H154" s="64">
        <f>H159+H164</f>
        <v>502612.9</v>
      </c>
      <c r="I154" s="13">
        <f>IF(G154&gt;0,H154/G154*100,"-")</f>
        <v>63.273959392907862</v>
      </c>
      <c r="J154" s="64">
        <f>J159+J164</f>
        <v>548813</v>
      </c>
      <c r="K154" s="453">
        <f>K159+K164</f>
        <v>627768</v>
      </c>
      <c r="L154" s="64">
        <f>L159+L164</f>
        <v>570933.30999999994</v>
      </c>
      <c r="M154" s="13">
        <f>IF(K154&gt;0,L154/K154*100,"-")</f>
        <v>90.946545539116357</v>
      </c>
      <c r="N154" s="305"/>
    </row>
    <row r="155" spans="1:14">
      <c r="A155" s="20"/>
      <c r="B155" s="21"/>
      <c r="C155" s="189"/>
      <c r="D155" s="22"/>
      <c r="E155" s="22"/>
      <c r="F155" s="20"/>
      <c r="G155" s="454"/>
      <c r="H155" s="454"/>
      <c r="I155" s="24"/>
      <c r="J155" s="454"/>
      <c r="K155" s="455"/>
      <c r="L155" s="473"/>
      <c r="M155" s="115"/>
      <c r="N155" s="306"/>
    </row>
    <row r="156" spans="1:14">
      <c r="A156" s="699" t="s">
        <v>4</v>
      </c>
      <c r="B156" s="50"/>
      <c r="C156" s="207"/>
      <c r="D156" s="139"/>
      <c r="E156" s="139"/>
      <c r="F156" s="50"/>
      <c r="G156" s="307"/>
      <c r="H156" s="307"/>
      <c r="I156" s="28"/>
      <c r="J156" s="445"/>
      <c r="K156" s="308"/>
      <c r="L156" s="474"/>
      <c r="M156" s="130"/>
      <c r="N156" s="309"/>
    </row>
    <row r="157" spans="1:14">
      <c r="A157" s="660"/>
      <c r="B157" s="419" t="s">
        <v>107</v>
      </c>
      <c r="C157" s="420"/>
      <c r="D157" s="661" t="s">
        <v>108</v>
      </c>
      <c r="E157" s="661" t="s">
        <v>109</v>
      </c>
      <c r="F157" s="30" t="s">
        <v>30</v>
      </c>
      <c r="G157" s="443">
        <v>382300</v>
      </c>
      <c r="H157" s="444">
        <f>H158+H159</f>
        <v>158310.09</v>
      </c>
      <c r="I157" s="15">
        <f>IF(G157&gt;0,H157/G157*100,"-")</f>
        <v>41.409911064608949</v>
      </c>
      <c r="J157" s="443">
        <f>SUM(J158:J159)</f>
        <v>264900</v>
      </c>
      <c r="K157" s="443">
        <f>SUM(K158:K159)</f>
        <v>272085</v>
      </c>
      <c r="L157" s="444">
        <f>SUM(L158:L159)</f>
        <v>252575.57</v>
      </c>
      <c r="M157" s="15">
        <f>IF(K157&gt;0,L157/K157*100,"-")</f>
        <v>92.829656173622226</v>
      </c>
      <c r="N157" s="691" t="s">
        <v>110</v>
      </c>
    </row>
    <row r="158" spans="1:14">
      <c r="A158" s="660"/>
      <c r="B158" s="706" t="s">
        <v>111</v>
      </c>
      <c r="C158" s="707"/>
      <c r="D158" s="661"/>
      <c r="E158" s="661"/>
      <c r="F158" s="31" t="s">
        <v>18</v>
      </c>
      <c r="G158" s="177">
        <v>11037</v>
      </c>
      <c r="H158" s="67">
        <v>864.94</v>
      </c>
      <c r="I158" s="33">
        <f>IF(G158&gt;0,H158/G158*100,"-")</f>
        <v>7.8367309957415978</v>
      </c>
      <c r="J158" s="177">
        <v>9387</v>
      </c>
      <c r="K158" s="177">
        <v>11037</v>
      </c>
      <c r="L158" s="67">
        <v>9930.61</v>
      </c>
      <c r="M158" s="33">
        <f>IF(K158&gt;0,L158/K158*100,"-")</f>
        <v>89.975627434991395</v>
      </c>
      <c r="N158" s="691"/>
    </row>
    <row r="159" spans="1:14">
      <c r="A159" s="660"/>
      <c r="B159" s="706"/>
      <c r="C159" s="707"/>
      <c r="D159" s="661"/>
      <c r="E159" s="661"/>
      <c r="F159" s="31" t="s">
        <v>23</v>
      </c>
      <c r="G159" s="177">
        <v>371263</v>
      </c>
      <c r="H159" s="67">
        <v>157445.15</v>
      </c>
      <c r="I159" s="33">
        <f>IF(G159&gt;0,H159/G159*100,"-")</f>
        <v>42.407983020123204</v>
      </c>
      <c r="J159" s="177">
        <v>255513</v>
      </c>
      <c r="K159" s="177">
        <v>261048</v>
      </c>
      <c r="L159" s="475">
        <v>242644.96</v>
      </c>
      <c r="M159" s="33">
        <f>IF(K159&gt;0,L159/K159*100,"-")</f>
        <v>92.950323312187805</v>
      </c>
      <c r="N159" s="691"/>
    </row>
    <row r="160" spans="1:14">
      <c r="A160" s="700"/>
      <c r="B160" s="123"/>
      <c r="C160" s="208"/>
      <c r="D160" s="277"/>
      <c r="E160" s="277"/>
      <c r="F160" s="123"/>
      <c r="G160" s="310"/>
      <c r="H160" s="310"/>
      <c r="I160" s="311"/>
      <c r="J160" s="310"/>
      <c r="K160" s="312"/>
      <c r="L160" s="476"/>
      <c r="M160" s="127"/>
      <c r="N160" s="313"/>
    </row>
    <row r="161" spans="1:14">
      <c r="A161" s="699" t="s">
        <v>51</v>
      </c>
      <c r="B161" s="50"/>
      <c r="C161" s="207"/>
      <c r="D161" s="139"/>
      <c r="E161" s="139"/>
      <c r="F161" s="50"/>
      <c r="G161" s="314"/>
      <c r="H161" s="314"/>
      <c r="I161" s="315"/>
      <c r="J161" s="314"/>
      <c r="K161" s="308"/>
      <c r="L161" s="474"/>
      <c r="M161" s="130"/>
      <c r="N161" s="309"/>
    </row>
    <row r="162" spans="1:14">
      <c r="A162" s="660"/>
      <c r="B162" s="419" t="s">
        <v>112</v>
      </c>
      <c r="C162" s="420" t="s">
        <v>113</v>
      </c>
      <c r="D162" s="661" t="s">
        <v>114</v>
      </c>
      <c r="E162" s="661" t="s">
        <v>109</v>
      </c>
      <c r="F162" s="30" t="s">
        <v>30</v>
      </c>
      <c r="G162" s="443">
        <v>470181</v>
      </c>
      <c r="H162" s="443">
        <f>H163+H164</f>
        <v>374625.13</v>
      </c>
      <c r="I162" s="15">
        <f>IF(G162&gt;0,H162/G162*100,"-")</f>
        <v>79.67679042751621</v>
      </c>
      <c r="J162" s="443">
        <f>SUM(J163:J164)</f>
        <v>340400</v>
      </c>
      <c r="K162" s="443">
        <f>SUM(K163:K164)</f>
        <v>413820</v>
      </c>
      <c r="L162" s="444">
        <f>SUM(L163:L164)</f>
        <v>364764.82999999996</v>
      </c>
      <c r="M162" s="15">
        <f>IF(K162&gt;0,L162/K162*100,"-")</f>
        <v>88.145771108211292</v>
      </c>
      <c r="N162" s="691" t="s">
        <v>115</v>
      </c>
    </row>
    <row r="163" spans="1:14">
      <c r="A163" s="660"/>
      <c r="B163" s="706" t="s">
        <v>116</v>
      </c>
      <c r="C163" s="707"/>
      <c r="D163" s="661"/>
      <c r="E163" s="661"/>
      <c r="F163" s="31" t="s">
        <v>18</v>
      </c>
      <c r="G163" s="177">
        <v>47100</v>
      </c>
      <c r="H163" s="67">
        <v>29457.38</v>
      </c>
      <c r="I163" s="33">
        <f>IF(G163&gt;0,H163/G163*100,"-")</f>
        <v>62.54220806794055</v>
      </c>
      <c r="J163" s="177">
        <v>47100</v>
      </c>
      <c r="K163" s="177">
        <v>47100</v>
      </c>
      <c r="L163" s="67">
        <v>36476.480000000003</v>
      </c>
      <c r="M163" s="33">
        <f>IF(K163&gt;0,L163/K163*100,"-")</f>
        <v>77.4447558386412</v>
      </c>
      <c r="N163" s="691"/>
    </row>
    <row r="164" spans="1:14" ht="26.25" customHeight="1">
      <c r="A164" s="660"/>
      <c r="B164" s="706"/>
      <c r="C164" s="707"/>
      <c r="D164" s="661"/>
      <c r="E164" s="661"/>
      <c r="F164" s="31" t="s">
        <v>23</v>
      </c>
      <c r="G164" s="177">
        <v>423081</v>
      </c>
      <c r="H164" s="67">
        <v>345167.75</v>
      </c>
      <c r="I164" s="33">
        <f>IF(G164&gt;0,H164/G164*100,"-")</f>
        <v>81.584318369295715</v>
      </c>
      <c r="J164" s="177">
        <v>293300</v>
      </c>
      <c r="K164" s="177">
        <v>366720</v>
      </c>
      <c r="L164" s="475">
        <v>328288.34999999998</v>
      </c>
      <c r="M164" s="33">
        <f>IF(K164&gt;0,L164/K164*100,"-")</f>
        <v>89.5201652486911</v>
      </c>
      <c r="N164" s="691"/>
    </row>
    <row r="165" spans="1:14">
      <c r="A165" s="700"/>
      <c r="B165" s="123"/>
      <c r="C165" s="208"/>
      <c r="D165" s="277"/>
      <c r="E165" s="277"/>
      <c r="F165" s="123"/>
      <c r="G165" s="310"/>
      <c r="H165" s="310"/>
      <c r="I165" s="311"/>
      <c r="J165" s="310"/>
      <c r="K165" s="312"/>
      <c r="L165" s="476"/>
      <c r="M165" s="127"/>
      <c r="N165" s="313"/>
    </row>
    <row r="166" spans="1:14">
      <c r="A166" s="699" t="s">
        <v>56</v>
      </c>
      <c r="B166" s="50"/>
      <c r="C166" s="207"/>
      <c r="D166" s="139"/>
      <c r="E166" s="139"/>
      <c r="F166" s="50"/>
      <c r="G166" s="314"/>
      <c r="H166" s="314"/>
      <c r="I166" s="315"/>
      <c r="J166" s="314"/>
      <c r="K166" s="308"/>
      <c r="L166" s="474"/>
      <c r="M166" s="130"/>
      <c r="N166" s="309"/>
    </row>
    <row r="167" spans="1:14">
      <c r="A167" s="660"/>
      <c r="B167" s="419" t="s">
        <v>117</v>
      </c>
      <c r="C167" s="420"/>
      <c r="D167" s="661" t="s">
        <v>101</v>
      </c>
      <c r="E167" s="661" t="s">
        <v>118</v>
      </c>
      <c r="F167" s="30" t="s">
        <v>30</v>
      </c>
      <c r="G167" s="443">
        <v>15769124</v>
      </c>
      <c r="H167" s="443">
        <v>1673474</v>
      </c>
      <c r="I167" s="15">
        <f>IF(G167&gt;0,H167/G167*100,"-")</f>
        <v>10.612345999689014</v>
      </c>
      <c r="J167" s="443">
        <v>2291148</v>
      </c>
      <c r="K167" s="443">
        <v>2291148</v>
      </c>
      <c r="L167" s="444">
        <f>SUM(L168:L169)</f>
        <v>2291110.04</v>
      </c>
      <c r="M167" s="15">
        <f>IF(K167&gt;0,L167/K167*100,"-")</f>
        <v>99.998343188654772</v>
      </c>
      <c r="N167" s="691" t="s">
        <v>119</v>
      </c>
    </row>
    <row r="168" spans="1:14">
      <c r="A168" s="660"/>
      <c r="B168" s="706" t="s">
        <v>120</v>
      </c>
      <c r="C168" s="707"/>
      <c r="D168" s="661"/>
      <c r="E168" s="661"/>
      <c r="F168" s="31" t="s">
        <v>18</v>
      </c>
      <c r="G168" s="177">
        <v>15769124</v>
      </c>
      <c r="H168" s="177">
        <v>1673474</v>
      </c>
      <c r="I168" s="33">
        <f>IF(G168&gt;0,H168/G168*100,"-")</f>
        <v>10.612345999689014</v>
      </c>
      <c r="J168" s="177">
        <v>2291148</v>
      </c>
      <c r="K168" s="177">
        <v>2291148</v>
      </c>
      <c r="L168" s="67">
        <f>8217.11+2282892.93</f>
        <v>2291110.04</v>
      </c>
      <c r="M168" s="33">
        <f>IF(K168&gt;0,L168/K168*100,"-")</f>
        <v>99.998343188654772</v>
      </c>
      <c r="N168" s="691"/>
    </row>
    <row r="169" spans="1:14">
      <c r="A169" s="660"/>
      <c r="B169" s="706"/>
      <c r="C169" s="707"/>
      <c r="D169" s="661"/>
      <c r="E169" s="661"/>
      <c r="F169" s="31" t="s">
        <v>23</v>
      </c>
      <c r="G169" s="177"/>
      <c r="H169" s="446"/>
      <c r="I169" s="447" t="str">
        <f>IF(G169&gt;0,H169/G169*100,"-")</f>
        <v>-</v>
      </c>
      <c r="J169" s="301"/>
      <c r="K169" s="301"/>
      <c r="L169" s="475"/>
      <c r="M169" s="448" t="str">
        <f>IF(K169&gt;0,L169/K169*100,"-")</f>
        <v>-</v>
      </c>
      <c r="N169" s="691"/>
    </row>
    <row r="170" spans="1:14">
      <c r="A170" s="700"/>
      <c r="B170" s="123"/>
      <c r="C170" s="208"/>
      <c r="D170" s="277"/>
      <c r="E170" s="277"/>
      <c r="F170" s="123"/>
      <c r="G170" s="310"/>
      <c r="H170" s="316"/>
      <c r="I170" s="127"/>
      <c r="J170" s="316"/>
      <c r="K170" s="312"/>
      <c r="L170" s="476"/>
      <c r="M170" s="317"/>
      <c r="N170" s="313"/>
    </row>
    <row r="171" spans="1:14">
      <c r="A171" s="16"/>
      <c r="B171" s="413"/>
      <c r="C171" s="414"/>
      <c r="D171" s="17"/>
      <c r="E171" s="17"/>
      <c r="F171" s="16"/>
      <c r="G171" s="72"/>
      <c r="H171" s="16"/>
      <c r="I171" s="265"/>
      <c r="J171" s="16"/>
      <c r="K171" s="222"/>
      <c r="L171" s="343"/>
      <c r="M171" s="265"/>
      <c r="N171" s="302"/>
    </row>
    <row r="172" spans="1:14">
      <c r="A172" s="5" t="s">
        <v>208</v>
      </c>
      <c r="B172" s="702" t="s">
        <v>121</v>
      </c>
      <c r="C172" s="703"/>
      <c r="D172" s="6"/>
      <c r="E172" s="6"/>
      <c r="F172" s="7"/>
      <c r="G172" s="73">
        <f>SUM(G173:G174)</f>
        <v>184871562</v>
      </c>
      <c r="H172" s="8">
        <f>SUM(H173:H174)</f>
        <v>71896529.590000004</v>
      </c>
      <c r="I172" s="9">
        <f>IF(G172&gt;0,H172/G172*100,"-")</f>
        <v>38.889988710107829</v>
      </c>
      <c r="J172" s="8">
        <f>SUM(J173:J174)</f>
        <v>23271080</v>
      </c>
      <c r="K172" s="73">
        <f>SUM(K173:K174)</f>
        <v>26746615</v>
      </c>
      <c r="L172" s="8">
        <f>SUM(L173:L174)</f>
        <v>26400982.59</v>
      </c>
      <c r="M172" s="9">
        <f>IF(K172&gt;0,L172/K172*100,"-")</f>
        <v>98.707752700668848</v>
      </c>
      <c r="N172" s="279"/>
    </row>
    <row r="173" spans="1:14">
      <c r="A173" s="7"/>
      <c r="B173" s="10"/>
      <c r="C173" s="188"/>
      <c r="D173" s="6"/>
      <c r="E173" s="6"/>
      <c r="F173" s="11" t="s">
        <v>18</v>
      </c>
      <c r="G173" s="74">
        <f>G177+G186+G195+G200+G207+G212+G217</f>
        <v>184871562</v>
      </c>
      <c r="H173" s="12">
        <f>H177+H186+H195+H200+H207+H212+H217</f>
        <v>71896529.590000004</v>
      </c>
      <c r="I173" s="13">
        <f>IF(G173&gt;0,H173/G173*100,"-")</f>
        <v>38.889988710107829</v>
      </c>
      <c r="J173" s="12">
        <f>J177+J186+J195+J200+J207+J212+J217</f>
        <v>23271080</v>
      </c>
      <c r="K173" s="74">
        <f>K177+K186+K195+K200+K207+K212+K217</f>
        <v>26746615</v>
      </c>
      <c r="L173" s="12">
        <f>L177+L186+L195+L200+L207+L212+L217</f>
        <v>26400982.59</v>
      </c>
      <c r="M173" s="13">
        <f>IF(K173&gt;0,L173/K173*100,"-")</f>
        <v>98.707752700668848</v>
      </c>
      <c r="N173" s="279"/>
    </row>
    <row r="174" spans="1:14">
      <c r="A174" s="7"/>
      <c r="B174" s="10"/>
      <c r="C174" s="188"/>
      <c r="D174" s="6"/>
      <c r="E174" s="6"/>
      <c r="F174" s="11" t="s">
        <v>23</v>
      </c>
      <c r="G174" s="74">
        <f>G179</f>
        <v>0</v>
      </c>
      <c r="H174" s="12">
        <f>H179</f>
        <v>0</v>
      </c>
      <c r="I174" s="13" t="str">
        <f>IF(G174&gt;0,H174/G174*100,"-")</f>
        <v>-</v>
      </c>
      <c r="J174" s="12">
        <f>J179</f>
        <v>0</v>
      </c>
      <c r="K174" s="74">
        <f>K179</f>
        <v>0</v>
      </c>
      <c r="L174" s="12">
        <f>L179</f>
        <v>0</v>
      </c>
      <c r="M174" s="13" t="str">
        <f>IF(K174&gt;0,L174/K174*100,"-")</f>
        <v>-</v>
      </c>
      <c r="N174" s="279"/>
    </row>
    <row r="175" spans="1:14">
      <c r="A175" s="20"/>
      <c r="B175" s="21"/>
      <c r="C175" s="189"/>
      <c r="D175" s="22"/>
      <c r="E175" s="22"/>
      <c r="F175" s="20"/>
      <c r="G175" s="49"/>
      <c r="H175" s="49"/>
      <c r="I175" s="115"/>
      <c r="J175" s="49"/>
      <c r="K175" s="114"/>
      <c r="L175" s="23"/>
      <c r="M175" s="115"/>
      <c r="N175" s="280"/>
    </row>
    <row r="176" spans="1:14">
      <c r="A176" s="699" t="s">
        <v>4</v>
      </c>
      <c r="B176" s="26"/>
      <c r="C176" s="190"/>
      <c r="D176" s="25"/>
      <c r="E176" s="25"/>
      <c r="F176" s="26"/>
      <c r="G176" s="26"/>
      <c r="H176" s="50"/>
      <c r="I176" s="130"/>
      <c r="J176" s="50"/>
      <c r="K176" s="121"/>
      <c r="L176" s="407"/>
      <c r="M176" s="28"/>
      <c r="N176" s="704" t="s">
        <v>372</v>
      </c>
    </row>
    <row r="177" spans="1:14" ht="22.5">
      <c r="A177" s="660"/>
      <c r="B177" s="29" t="s">
        <v>29</v>
      </c>
      <c r="C177" s="418" t="s">
        <v>122</v>
      </c>
      <c r="D177" s="661" t="s">
        <v>45</v>
      </c>
      <c r="E177" s="662">
        <v>600</v>
      </c>
      <c r="F177" s="30" t="s">
        <v>30</v>
      </c>
      <c r="G177" s="78">
        <f>SUM(G181:G183)</f>
        <v>12817000</v>
      </c>
      <c r="H177" s="14">
        <f>H181+H183</f>
        <v>7980178.3399999999</v>
      </c>
      <c r="I177" s="15">
        <f>IF(G177&gt;0,H177/G177*100,"-")</f>
        <v>62.262450963564021</v>
      </c>
      <c r="J177" s="14">
        <f>SUM(J181:J183)</f>
        <v>2500000</v>
      </c>
      <c r="K177" s="78">
        <f>SUM(K181:K183)</f>
        <v>2500000</v>
      </c>
      <c r="L177" s="14">
        <f>SUM(L181:L183)</f>
        <v>2473178.34</v>
      </c>
      <c r="M177" s="15">
        <f>IF(K177&gt;0,L177/K177*100,"-")</f>
        <v>98.927133599999991</v>
      </c>
      <c r="N177" s="691"/>
    </row>
    <row r="178" spans="1:14">
      <c r="A178" s="660"/>
      <c r="B178" s="670" t="s">
        <v>24</v>
      </c>
      <c r="C178" s="781" t="s">
        <v>123</v>
      </c>
      <c r="D178" s="661"/>
      <c r="E178" s="661"/>
      <c r="F178" s="31" t="s">
        <v>18</v>
      </c>
      <c r="G178" s="79"/>
      <c r="H178" s="31"/>
      <c r="I178" s="15"/>
      <c r="J178" s="31"/>
      <c r="K178" s="79"/>
      <c r="L178" s="32"/>
      <c r="M178" s="33"/>
      <c r="N178" s="691"/>
    </row>
    <row r="179" spans="1:14">
      <c r="A179" s="660"/>
      <c r="B179" s="670"/>
      <c r="C179" s="781"/>
      <c r="D179" s="661"/>
      <c r="E179" s="661"/>
      <c r="F179" s="31"/>
      <c r="G179" s="79"/>
      <c r="H179" s="31"/>
      <c r="I179" s="15"/>
      <c r="J179" s="31"/>
      <c r="K179" s="79"/>
      <c r="L179" s="34"/>
      <c r="M179" s="33"/>
      <c r="N179" s="691"/>
    </row>
    <row r="180" spans="1:14">
      <c r="A180" s="660"/>
      <c r="B180" s="419"/>
      <c r="C180" s="420"/>
      <c r="D180" s="47"/>
      <c r="E180" s="47"/>
      <c r="F180" s="53"/>
      <c r="G180" s="82"/>
      <c r="H180" s="53"/>
      <c r="I180" s="15"/>
      <c r="J180" s="53"/>
      <c r="K180" s="79"/>
      <c r="L180" s="363"/>
      <c r="M180" s="33"/>
      <c r="N180" s="691"/>
    </row>
    <row r="181" spans="1:14">
      <c r="A181" s="660"/>
      <c r="B181" s="419"/>
      <c r="C181" s="420"/>
      <c r="D181" s="47"/>
      <c r="E181" s="47">
        <v>60015</v>
      </c>
      <c r="F181" s="31" t="s">
        <v>18</v>
      </c>
      <c r="G181" s="82">
        <v>2150000</v>
      </c>
      <c r="H181" s="54">
        <v>2149392.2599999998</v>
      </c>
      <c r="I181" s="15">
        <f>IF(G181&gt;0,H181/G181*100,"-")</f>
        <v>99.971733023255808</v>
      </c>
      <c r="J181" s="54">
        <v>750000</v>
      </c>
      <c r="K181" s="79">
        <v>750000</v>
      </c>
      <c r="L181" s="363">
        <v>749392.26</v>
      </c>
      <c r="M181" s="33">
        <f>IF(K181&gt;0,L181/K181*100,"-")</f>
        <v>99.918967999999992</v>
      </c>
      <c r="N181" s="691"/>
    </row>
    <row r="182" spans="1:14">
      <c r="A182" s="660"/>
      <c r="B182" s="419"/>
      <c r="C182" s="420"/>
      <c r="D182" s="47"/>
      <c r="E182" s="47"/>
      <c r="F182" s="53"/>
      <c r="G182" s="82"/>
      <c r="H182" s="54"/>
      <c r="I182" s="15"/>
      <c r="J182" s="54"/>
      <c r="K182" s="79"/>
      <c r="L182" s="363"/>
      <c r="M182" s="33"/>
      <c r="N182" s="691"/>
    </row>
    <row r="183" spans="1:14">
      <c r="A183" s="660"/>
      <c r="B183" s="419"/>
      <c r="C183" s="420"/>
      <c r="D183" s="47"/>
      <c r="E183" s="47">
        <v>60016</v>
      </c>
      <c r="F183" s="31" t="s">
        <v>18</v>
      </c>
      <c r="G183" s="82">
        <v>10667000</v>
      </c>
      <c r="H183" s="54">
        <v>5830786.0800000001</v>
      </c>
      <c r="I183" s="15">
        <f>IF(G183&gt;0,H183/G183*100,"-")</f>
        <v>54.661911315271396</v>
      </c>
      <c r="J183" s="54">
        <v>1750000</v>
      </c>
      <c r="K183" s="79">
        <v>1750000</v>
      </c>
      <c r="L183" s="363">
        <v>1723786.08</v>
      </c>
      <c r="M183" s="33">
        <f>IF(K183&gt;0,L183/K183*100,"-")</f>
        <v>98.502061714285716</v>
      </c>
      <c r="N183" s="691"/>
    </row>
    <row r="184" spans="1:14">
      <c r="A184" s="700"/>
      <c r="B184" s="36"/>
      <c r="C184" s="194"/>
      <c r="D184" s="35"/>
      <c r="E184" s="35"/>
      <c r="F184" s="31"/>
      <c r="G184" s="137"/>
      <c r="H184" s="36"/>
      <c r="I184" s="15"/>
      <c r="J184" s="123"/>
      <c r="K184" s="128"/>
      <c r="L184" s="37"/>
      <c r="M184" s="33"/>
      <c r="N184" s="705"/>
    </row>
    <row r="185" spans="1:14">
      <c r="A185" s="699" t="s">
        <v>51</v>
      </c>
      <c r="B185" s="26"/>
      <c r="C185" s="190"/>
      <c r="D185" s="25"/>
      <c r="E185" s="25"/>
      <c r="F185" s="26"/>
      <c r="G185" s="119"/>
      <c r="H185" s="26"/>
      <c r="I185" s="28"/>
      <c r="J185" s="26"/>
      <c r="K185" s="121"/>
      <c r="L185" s="407"/>
      <c r="M185" s="28"/>
      <c r="N185" s="704" t="s">
        <v>373</v>
      </c>
    </row>
    <row r="186" spans="1:14">
      <c r="A186" s="660"/>
      <c r="B186" s="29" t="s">
        <v>29</v>
      </c>
      <c r="C186" s="421" t="s">
        <v>124</v>
      </c>
      <c r="D186" s="661" t="s">
        <v>45</v>
      </c>
      <c r="E186" s="661">
        <v>600</v>
      </c>
      <c r="F186" s="30" t="s">
        <v>30</v>
      </c>
      <c r="G186" s="78">
        <f>G190+G192</f>
        <v>45436980</v>
      </c>
      <c r="H186" s="14">
        <f>H190+H192</f>
        <v>20427880.800000001</v>
      </c>
      <c r="I186" s="15">
        <f>IF(G186&gt;0,H186/G186*100,"-")</f>
        <v>44.958711604512445</v>
      </c>
      <c r="J186" s="14">
        <f>J190+J192</f>
        <v>3950000</v>
      </c>
      <c r="K186" s="78">
        <f>K190+K192</f>
        <v>4593980</v>
      </c>
      <c r="L186" s="14">
        <f>L190+L192</f>
        <v>4584880.8</v>
      </c>
      <c r="M186" s="15">
        <f>IF(K186&gt;0,L186/K186*100,"-")</f>
        <v>99.801932093740064</v>
      </c>
      <c r="N186" s="691"/>
    </row>
    <row r="187" spans="1:14">
      <c r="A187" s="660"/>
      <c r="B187" s="784" t="s">
        <v>24</v>
      </c>
      <c r="C187" s="780" t="s">
        <v>125</v>
      </c>
      <c r="D187" s="661"/>
      <c r="E187" s="661"/>
      <c r="F187" s="31" t="s">
        <v>18</v>
      </c>
      <c r="G187" s="79"/>
      <c r="H187" s="31"/>
      <c r="I187" s="15"/>
      <c r="J187" s="31"/>
      <c r="K187" s="79"/>
      <c r="L187" s="32"/>
      <c r="M187" s="15"/>
      <c r="N187" s="691"/>
    </row>
    <row r="188" spans="1:14">
      <c r="A188" s="660"/>
      <c r="B188" s="784"/>
      <c r="C188" s="780"/>
      <c r="D188" s="661"/>
      <c r="E188" s="661"/>
      <c r="F188" s="31"/>
      <c r="G188" s="79"/>
      <c r="H188" s="31"/>
      <c r="I188" s="15"/>
      <c r="J188" s="31"/>
      <c r="K188" s="79"/>
      <c r="L188" s="34"/>
      <c r="M188" s="15"/>
      <c r="N188" s="691"/>
    </row>
    <row r="189" spans="1:14">
      <c r="A189" s="660"/>
      <c r="B189" s="784"/>
      <c r="C189" s="780"/>
      <c r="D189" s="47"/>
      <c r="E189" s="47"/>
      <c r="F189" s="53"/>
      <c r="G189" s="82"/>
      <c r="H189" s="53"/>
      <c r="I189" s="15"/>
      <c r="J189" s="53"/>
      <c r="K189" s="79"/>
      <c r="L189" s="363"/>
      <c r="M189" s="15"/>
      <c r="N189" s="691"/>
    </row>
    <row r="190" spans="1:14">
      <c r="A190" s="660"/>
      <c r="B190" s="784"/>
      <c r="C190" s="780"/>
      <c r="D190" s="47"/>
      <c r="E190" s="47">
        <v>60015</v>
      </c>
      <c r="F190" s="31" t="s">
        <v>18</v>
      </c>
      <c r="G190" s="82">
        <v>36760000</v>
      </c>
      <c r="H190" s="54">
        <v>11760000</v>
      </c>
      <c r="I190" s="15">
        <f>IF(G190&gt;0,H190/G190*100,"-")</f>
        <v>31.991294885745376</v>
      </c>
      <c r="J190" s="54">
        <v>2760000</v>
      </c>
      <c r="K190" s="79">
        <v>2760000</v>
      </c>
      <c r="L190" s="363">
        <v>2760000</v>
      </c>
      <c r="M190" s="15">
        <f>IF(K190&gt;0,L190/K190*100,"-")</f>
        <v>100</v>
      </c>
      <c r="N190" s="691"/>
    </row>
    <row r="191" spans="1:14">
      <c r="A191" s="660"/>
      <c r="B191" s="784"/>
      <c r="C191" s="193"/>
      <c r="D191" s="47"/>
      <c r="E191" s="47"/>
      <c r="F191" s="53"/>
      <c r="G191" s="82"/>
      <c r="H191" s="54"/>
      <c r="I191" s="15"/>
      <c r="J191" s="82"/>
      <c r="K191" s="79"/>
      <c r="L191" s="363"/>
      <c r="M191" s="15"/>
      <c r="N191" s="691"/>
    </row>
    <row r="192" spans="1:14">
      <c r="A192" s="660"/>
      <c r="B192" s="784"/>
      <c r="C192" s="193"/>
      <c r="D192" s="47"/>
      <c r="E192" s="47">
        <v>60016</v>
      </c>
      <c r="F192" s="31" t="s">
        <v>18</v>
      </c>
      <c r="G192" s="82">
        <v>8676980</v>
      </c>
      <c r="H192" s="54">
        <v>8667880.8000000007</v>
      </c>
      <c r="I192" s="15">
        <f>IF(G192&gt;0,H192/G192*100,"-")</f>
        <v>99.895134021283923</v>
      </c>
      <c r="J192" s="54">
        <v>1190000</v>
      </c>
      <c r="K192" s="79">
        <v>1833980</v>
      </c>
      <c r="L192" s="363">
        <v>1824880.8</v>
      </c>
      <c r="M192" s="15">
        <f>IF(K192&gt;0,L192/K192*100,"-")</f>
        <v>99.503855003871365</v>
      </c>
      <c r="N192" s="691"/>
    </row>
    <row r="193" spans="1:14" ht="21" customHeight="1">
      <c r="A193" s="660"/>
      <c r="B193" s="784"/>
      <c r="C193" s="193"/>
      <c r="D193" s="47"/>
      <c r="E193" s="47"/>
      <c r="F193" s="53"/>
      <c r="G193" s="82"/>
      <c r="H193" s="53"/>
      <c r="I193" s="15"/>
      <c r="J193" s="53"/>
      <c r="K193" s="79"/>
      <c r="L193" s="363"/>
      <c r="M193" s="15"/>
      <c r="N193" s="705"/>
    </row>
    <row r="194" spans="1:14">
      <c r="A194" s="699" t="s">
        <v>56</v>
      </c>
      <c r="B194" s="26"/>
      <c r="C194" s="190"/>
      <c r="D194" s="25"/>
      <c r="E194" s="25">
        <v>900</v>
      </c>
      <c r="F194" s="26"/>
      <c r="G194" s="77"/>
      <c r="H194" s="26"/>
      <c r="I194" s="28"/>
      <c r="J194" s="26"/>
      <c r="K194" s="76"/>
      <c r="L194" s="407"/>
      <c r="M194" s="28"/>
      <c r="N194" s="704" t="s">
        <v>374</v>
      </c>
    </row>
    <row r="195" spans="1:14">
      <c r="A195" s="660"/>
      <c r="B195" s="29" t="s">
        <v>29</v>
      </c>
      <c r="C195" s="421" t="s">
        <v>126</v>
      </c>
      <c r="D195" s="661" t="s">
        <v>45</v>
      </c>
      <c r="E195" s="661">
        <v>90003</v>
      </c>
      <c r="F195" s="30" t="s">
        <v>30</v>
      </c>
      <c r="G195" s="78">
        <f>SUM(G196:G197)</f>
        <v>56714918</v>
      </c>
      <c r="H195" s="14">
        <f>SUM(H196:H197)</f>
        <v>21491023.170000002</v>
      </c>
      <c r="I195" s="15">
        <f>IF(G195&gt;0,H195/G195*100,"-")</f>
        <v>37.893069280290597</v>
      </c>
      <c r="J195" s="14">
        <f>SUM(J196:J197)</f>
        <v>7000000</v>
      </c>
      <c r="K195" s="78">
        <f>SUM(K196:K197)</f>
        <v>9914918</v>
      </c>
      <c r="L195" s="14">
        <f>SUM(L196:L197)</f>
        <v>9691023.1699999999</v>
      </c>
      <c r="M195" s="15">
        <f>IF(K195&gt;0,L195/K195*100,"-")</f>
        <v>97.741838812988675</v>
      </c>
      <c r="N195" s="691"/>
    </row>
    <row r="196" spans="1:14">
      <c r="A196" s="660"/>
      <c r="B196" s="29" t="s">
        <v>24</v>
      </c>
      <c r="C196" s="780" t="s">
        <v>127</v>
      </c>
      <c r="D196" s="661"/>
      <c r="E196" s="661"/>
      <c r="F196" s="31"/>
      <c r="G196" s="79"/>
      <c r="H196" s="31"/>
      <c r="I196" s="33"/>
      <c r="J196" s="31"/>
      <c r="K196" s="79"/>
      <c r="L196" s="32"/>
      <c r="M196" s="33" t="str">
        <f>IF(K196&gt;0,L196/K196*100,"-")</f>
        <v>-</v>
      </c>
      <c r="N196" s="691"/>
    </row>
    <row r="197" spans="1:14">
      <c r="A197" s="660"/>
      <c r="B197" s="29"/>
      <c r="C197" s="780"/>
      <c r="D197" s="661"/>
      <c r="E197" s="661"/>
      <c r="F197" s="31" t="s">
        <v>18</v>
      </c>
      <c r="G197" s="79">
        <v>56714918</v>
      </c>
      <c r="H197" s="32">
        <v>21491023.170000002</v>
      </c>
      <c r="I197" s="33">
        <f>IF(G197&gt;0,H197/G197*100,"-")</f>
        <v>37.893069280290597</v>
      </c>
      <c r="J197" s="32">
        <v>7000000</v>
      </c>
      <c r="K197" s="79">
        <v>9914918</v>
      </c>
      <c r="L197" s="34">
        <v>9691023.1699999999</v>
      </c>
      <c r="M197" s="33">
        <f>IF(K197&gt;0,L197/K197*100,"-")</f>
        <v>97.741838812988675</v>
      </c>
      <c r="N197" s="691"/>
    </row>
    <row r="198" spans="1:14">
      <c r="A198" s="700"/>
      <c r="B198" s="36"/>
      <c r="C198" s="785"/>
      <c r="D198" s="35"/>
      <c r="E198" s="35"/>
      <c r="F198" s="36"/>
      <c r="G198" s="137"/>
      <c r="H198" s="36"/>
      <c r="I198" s="38"/>
      <c r="J198" s="36"/>
      <c r="K198" s="128"/>
      <c r="L198" s="37"/>
      <c r="M198" s="38"/>
      <c r="N198" s="705"/>
    </row>
    <row r="199" spans="1:14">
      <c r="A199" s="699" t="s">
        <v>73</v>
      </c>
      <c r="B199" s="26"/>
      <c r="C199" s="190"/>
      <c r="D199" s="25"/>
      <c r="E199" s="25">
        <v>900</v>
      </c>
      <c r="F199" s="26"/>
      <c r="G199" s="77"/>
      <c r="H199" s="50"/>
      <c r="I199" s="130"/>
      <c r="J199" s="26"/>
      <c r="K199" s="76"/>
      <c r="L199" s="407"/>
      <c r="M199" s="28"/>
      <c r="N199" s="704" t="s">
        <v>375</v>
      </c>
    </row>
    <row r="200" spans="1:14">
      <c r="A200" s="660"/>
      <c r="B200" s="29" t="s">
        <v>29</v>
      </c>
      <c r="C200" s="421" t="s">
        <v>128</v>
      </c>
      <c r="D200" s="661" t="s">
        <v>45</v>
      </c>
      <c r="E200" s="661">
        <v>90001</v>
      </c>
      <c r="F200" s="30" t="s">
        <v>30</v>
      </c>
      <c r="G200" s="78">
        <f>G202+G204</f>
        <v>17551562</v>
      </c>
      <c r="H200" s="14">
        <f>H202+H204</f>
        <v>6496097.0199999996</v>
      </c>
      <c r="I200" s="15">
        <f>IF(G200&gt;0,H200/G200*100,"-")</f>
        <v>37.011503705482163</v>
      </c>
      <c r="J200" s="14">
        <f>J202+J204</f>
        <v>2211080</v>
      </c>
      <c r="K200" s="78">
        <f>K202+K204</f>
        <v>1946162</v>
      </c>
      <c r="L200" s="14">
        <f>L202+L204</f>
        <v>1946097.02</v>
      </c>
      <c r="M200" s="15">
        <f>IF(K200&gt;0,L200/K200*100,"-")</f>
        <v>99.996661120708353</v>
      </c>
      <c r="N200" s="691"/>
    </row>
    <row r="201" spans="1:14">
      <c r="A201" s="660"/>
      <c r="B201" s="29" t="s">
        <v>24</v>
      </c>
      <c r="C201" s="782" t="s">
        <v>129</v>
      </c>
      <c r="D201" s="661"/>
      <c r="E201" s="661"/>
      <c r="F201" s="31"/>
      <c r="G201" s="79"/>
      <c r="H201" s="31"/>
      <c r="I201" s="33"/>
      <c r="J201" s="31"/>
      <c r="K201" s="79"/>
      <c r="L201" s="32"/>
      <c r="M201" s="33" t="str">
        <f>IF(K201&gt;0,L201/K201*100,"-")</f>
        <v>-</v>
      </c>
      <c r="N201" s="691"/>
    </row>
    <row r="202" spans="1:14">
      <c r="A202" s="660"/>
      <c r="B202" s="29"/>
      <c r="C202" s="782"/>
      <c r="D202" s="661"/>
      <c r="E202" s="661"/>
      <c r="F202" s="31" t="s">
        <v>18</v>
      </c>
      <c r="G202" s="79">
        <v>17251562</v>
      </c>
      <c r="H202" s="32">
        <v>6196100.3099999996</v>
      </c>
      <c r="I202" s="33">
        <f>IF(G202&gt;0,H202/G202*100,"-")</f>
        <v>35.916169851750233</v>
      </c>
      <c r="J202" s="32">
        <v>2211080</v>
      </c>
      <c r="K202" s="79">
        <v>1646162</v>
      </c>
      <c r="L202" s="34">
        <v>1646100.31</v>
      </c>
      <c r="M202" s="33">
        <f>IF(K202&gt;0,L202/K202*100,"-")</f>
        <v>99.996252495197922</v>
      </c>
      <c r="N202" s="691"/>
    </row>
    <row r="203" spans="1:14">
      <c r="A203" s="660"/>
      <c r="B203" s="29"/>
      <c r="C203" s="782"/>
      <c r="D203" s="47"/>
      <c r="E203" s="47"/>
      <c r="F203" s="53"/>
      <c r="G203" s="82"/>
      <c r="H203" s="54"/>
      <c r="I203" s="33"/>
      <c r="J203" s="54"/>
      <c r="K203" s="79"/>
      <c r="L203" s="363"/>
      <c r="M203" s="33"/>
      <c r="N203" s="691"/>
    </row>
    <row r="204" spans="1:14">
      <c r="A204" s="660"/>
      <c r="B204" s="29"/>
      <c r="C204" s="782"/>
      <c r="D204" s="47"/>
      <c r="E204" s="47">
        <v>90019</v>
      </c>
      <c r="F204" s="31" t="s">
        <v>18</v>
      </c>
      <c r="G204" s="82">
        <v>300000</v>
      </c>
      <c r="H204" s="54">
        <v>299996.71000000002</v>
      </c>
      <c r="I204" s="33"/>
      <c r="J204" s="54">
        <v>0</v>
      </c>
      <c r="K204" s="79">
        <v>300000</v>
      </c>
      <c r="L204" s="363">
        <v>299996.71000000002</v>
      </c>
      <c r="M204" s="33"/>
      <c r="N204" s="691"/>
    </row>
    <row r="205" spans="1:14">
      <c r="A205" s="700"/>
      <c r="B205" s="36"/>
      <c r="C205" s="783"/>
      <c r="D205" s="35"/>
      <c r="E205" s="35"/>
      <c r="F205" s="36"/>
      <c r="G205" s="123"/>
      <c r="H205" s="123"/>
      <c r="I205" s="127"/>
      <c r="J205" s="123"/>
      <c r="K205" s="128"/>
      <c r="L205" s="37"/>
      <c r="M205" s="38"/>
      <c r="N205" s="705"/>
    </row>
    <row r="206" spans="1:14">
      <c r="A206" s="699" t="s">
        <v>130</v>
      </c>
      <c r="B206" s="26"/>
      <c r="C206" s="190"/>
      <c r="D206" s="25"/>
      <c r="E206" s="25">
        <v>900</v>
      </c>
      <c r="F206" s="26"/>
      <c r="G206" s="26"/>
      <c r="H206" s="26"/>
      <c r="I206" s="28"/>
      <c r="J206" s="26"/>
      <c r="K206" s="76"/>
      <c r="L206" s="407"/>
      <c r="M206" s="28"/>
      <c r="N206" s="704" t="s">
        <v>376</v>
      </c>
    </row>
    <row r="207" spans="1:14">
      <c r="A207" s="660"/>
      <c r="B207" s="29" t="s">
        <v>29</v>
      </c>
      <c r="C207" s="421" t="s">
        <v>131</v>
      </c>
      <c r="D207" s="661" t="s">
        <v>45</v>
      </c>
      <c r="E207" s="661">
        <v>90015</v>
      </c>
      <c r="F207" s="30" t="s">
        <v>30</v>
      </c>
      <c r="G207" s="78">
        <f>SUM(G208:G209)</f>
        <v>44448702</v>
      </c>
      <c r="H207" s="14">
        <f>SUM(H208:H209)</f>
        <v>12699171.619999999</v>
      </c>
      <c r="I207" s="15">
        <f>IF(G207&gt;0,H207/G207*100,"-")</f>
        <v>28.570399243604456</v>
      </c>
      <c r="J207" s="14">
        <f>SUM(J208:J209)</f>
        <v>6600000</v>
      </c>
      <c r="K207" s="78">
        <f>SUM(K208:K209)</f>
        <v>6789155</v>
      </c>
      <c r="L207" s="14">
        <f>SUM(L208:L209)</f>
        <v>6703624.6200000001</v>
      </c>
      <c r="M207" s="15">
        <f>IF(K207&gt;0,L207/K207*100,"-")</f>
        <v>98.740191084162916</v>
      </c>
      <c r="N207" s="691"/>
    </row>
    <row r="208" spans="1:14">
      <c r="A208" s="660"/>
      <c r="B208" s="29" t="s">
        <v>24</v>
      </c>
      <c r="C208" s="780" t="s">
        <v>132</v>
      </c>
      <c r="D208" s="661"/>
      <c r="E208" s="661"/>
      <c r="F208" s="31"/>
      <c r="G208" s="79"/>
      <c r="H208" s="31"/>
      <c r="I208" s="33"/>
      <c r="J208" s="31"/>
      <c r="K208" s="79"/>
      <c r="L208" s="32"/>
      <c r="M208" s="33" t="str">
        <f>IF(K208&gt;0,L208/K208*100,"-")</f>
        <v>-</v>
      </c>
      <c r="N208" s="691"/>
    </row>
    <row r="209" spans="1:14">
      <c r="A209" s="660"/>
      <c r="B209" s="29"/>
      <c r="C209" s="780"/>
      <c r="D209" s="661"/>
      <c r="E209" s="661"/>
      <c r="F209" s="31" t="s">
        <v>18</v>
      </c>
      <c r="G209" s="79">
        <v>44448702</v>
      </c>
      <c r="H209" s="32">
        <v>12699171.619999999</v>
      </c>
      <c r="I209" s="33">
        <f>IF(G209&gt;0,H209/G209*100,"-")</f>
        <v>28.570399243604456</v>
      </c>
      <c r="J209" s="32">
        <v>6600000</v>
      </c>
      <c r="K209" s="79">
        <v>6789155</v>
      </c>
      <c r="L209" s="34">
        <v>6703624.6200000001</v>
      </c>
      <c r="M209" s="33">
        <f>IF(K209&gt;0,L209/K209*100,"-")</f>
        <v>98.740191084162916</v>
      </c>
      <c r="N209" s="691"/>
    </row>
    <row r="210" spans="1:14">
      <c r="A210" s="700"/>
      <c r="B210" s="36"/>
      <c r="C210" s="785"/>
      <c r="D210" s="35"/>
      <c r="E210" s="35"/>
      <c r="F210" s="36"/>
      <c r="G210" s="126"/>
      <c r="H210" s="123"/>
      <c r="I210" s="127"/>
      <c r="J210" s="123"/>
      <c r="K210" s="128"/>
      <c r="L210" s="37"/>
      <c r="M210" s="38"/>
      <c r="N210" s="705"/>
    </row>
    <row r="211" spans="1:14">
      <c r="A211" s="699" t="s">
        <v>133</v>
      </c>
      <c r="B211" s="26"/>
      <c r="C211" s="190"/>
      <c r="D211" s="25"/>
      <c r="E211" s="25">
        <v>600</v>
      </c>
      <c r="F211" s="26"/>
      <c r="G211" s="119"/>
      <c r="H211" s="50"/>
      <c r="I211" s="130"/>
      <c r="J211" s="50"/>
      <c r="K211" s="121"/>
      <c r="L211" s="407"/>
      <c r="M211" s="28"/>
      <c r="N211" s="704" t="s">
        <v>557</v>
      </c>
    </row>
    <row r="212" spans="1:14" ht="33.75">
      <c r="A212" s="660"/>
      <c r="B212" s="29" t="s">
        <v>29</v>
      </c>
      <c r="C212" s="205" t="s">
        <v>134</v>
      </c>
      <c r="D212" s="661" t="s">
        <v>97</v>
      </c>
      <c r="E212" s="661">
        <v>60016</v>
      </c>
      <c r="F212" s="30" t="s">
        <v>30</v>
      </c>
      <c r="G212" s="78">
        <f>SUM(G213:G214)</f>
        <v>202400</v>
      </c>
      <c r="H212" s="14">
        <f>SUM(H213:H214)</f>
        <v>102398.5</v>
      </c>
      <c r="I212" s="15">
        <f>IF(G212&gt;0,H212/G212*100,"-")</f>
        <v>50.59214426877471</v>
      </c>
      <c r="J212" s="14">
        <f>SUM(J213:J214)</f>
        <v>10000</v>
      </c>
      <c r="K212" s="78">
        <f>SUM(K213:K214)</f>
        <v>2400</v>
      </c>
      <c r="L212" s="14">
        <f>SUM(L213:L214)</f>
        <v>2398.5</v>
      </c>
      <c r="M212" s="15">
        <f>IF(K212&gt;0,L212/K212*100,"-")</f>
        <v>99.9375</v>
      </c>
      <c r="N212" s="691"/>
    </row>
    <row r="213" spans="1:14">
      <c r="A213" s="660"/>
      <c r="B213" s="29" t="s">
        <v>24</v>
      </c>
      <c r="C213" s="780" t="s">
        <v>135</v>
      </c>
      <c r="D213" s="661"/>
      <c r="E213" s="661"/>
      <c r="F213" s="31"/>
      <c r="G213" s="79"/>
      <c r="H213" s="31"/>
      <c r="I213" s="33"/>
      <c r="J213" s="31"/>
      <c r="K213" s="79"/>
      <c r="L213" s="32"/>
      <c r="M213" s="33" t="str">
        <f>IF(K213&gt;0,L213/K213*100,"-")</f>
        <v>-</v>
      </c>
      <c r="N213" s="691"/>
    </row>
    <row r="214" spans="1:14">
      <c r="A214" s="660"/>
      <c r="B214" s="29"/>
      <c r="C214" s="780"/>
      <c r="D214" s="661"/>
      <c r="E214" s="661"/>
      <c r="F214" s="31" t="s">
        <v>18</v>
      </c>
      <c r="G214" s="79">
        <v>202400</v>
      </c>
      <c r="H214" s="32">
        <v>102398.5</v>
      </c>
      <c r="I214" s="33">
        <f>IF(G214&gt;0,H214/G214*100,"-")</f>
        <v>50.59214426877471</v>
      </c>
      <c r="J214" s="32">
        <v>10000</v>
      </c>
      <c r="K214" s="79">
        <v>2400</v>
      </c>
      <c r="L214" s="34">
        <v>2398.5</v>
      </c>
      <c r="M214" s="33">
        <f>IF(K214&gt;0,L214/K214*100,"-")</f>
        <v>99.9375</v>
      </c>
      <c r="N214" s="691"/>
    </row>
    <row r="215" spans="1:14">
      <c r="A215" s="700"/>
      <c r="B215" s="36"/>
      <c r="C215" s="785"/>
      <c r="D215" s="35"/>
      <c r="E215" s="35"/>
      <c r="F215" s="123"/>
      <c r="G215" s="137"/>
      <c r="H215" s="36"/>
      <c r="I215" s="38"/>
      <c r="J215" s="36"/>
      <c r="K215" s="81"/>
      <c r="L215" s="37"/>
      <c r="M215" s="38"/>
      <c r="N215" s="705"/>
    </row>
    <row r="216" spans="1:14">
      <c r="A216" s="699" t="s">
        <v>136</v>
      </c>
      <c r="B216" s="26"/>
      <c r="C216" s="190"/>
      <c r="D216" s="25"/>
      <c r="E216" s="25">
        <v>600</v>
      </c>
      <c r="F216" s="26"/>
      <c r="G216" s="119"/>
      <c r="H216" s="50"/>
      <c r="I216" s="130"/>
      <c r="J216" s="50"/>
      <c r="K216" s="121"/>
      <c r="L216" s="407"/>
      <c r="M216" s="28"/>
      <c r="N216" s="704" t="s">
        <v>377</v>
      </c>
    </row>
    <row r="217" spans="1:14">
      <c r="A217" s="660"/>
      <c r="B217" s="29" t="s">
        <v>29</v>
      </c>
      <c r="C217" s="421" t="s">
        <v>137</v>
      </c>
      <c r="D217" s="661" t="s">
        <v>45</v>
      </c>
      <c r="E217" s="44"/>
      <c r="F217" s="30" t="s">
        <v>30</v>
      </c>
      <c r="G217" s="78">
        <f>SUM(G219:G221)</f>
        <v>7700000</v>
      </c>
      <c r="H217" s="14">
        <f>SUM(H219:H221)</f>
        <v>2699780.14</v>
      </c>
      <c r="I217" s="15">
        <f>IF(G217&gt;0,H217/G217*100,"-")</f>
        <v>35.062079740259747</v>
      </c>
      <c r="J217" s="14">
        <f>SUM(J219:J221)</f>
        <v>1000000</v>
      </c>
      <c r="K217" s="78">
        <f>SUM(K219:K221)</f>
        <v>1000000</v>
      </c>
      <c r="L217" s="14">
        <f>SUM(L219:L221)</f>
        <v>999780.14</v>
      </c>
      <c r="M217" s="15">
        <f>IF(K217&gt;0,L217/K217*100,"-")</f>
        <v>99.978014000000002</v>
      </c>
      <c r="N217" s="691"/>
    </row>
    <row r="218" spans="1:14">
      <c r="A218" s="660"/>
      <c r="B218" s="29"/>
      <c r="C218" s="421"/>
      <c r="D218" s="661"/>
      <c r="E218" s="44"/>
      <c r="F218" s="30"/>
      <c r="G218" s="78"/>
      <c r="H218" s="14"/>
      <c r="I218" s="15"/>
      <c r="J218" s="14"/>
      <c r="K218" s="78"/>
      <c r="L218" s="14"/>
      <c r="M218" s="15"/>
      <c r="N218" s="691"/>
    </row>
    <row r="219" spans="1:14">
      <c r="A219" s="660"/>
      <c r="B219" s="29" t="s">
        <v>24</v>
      </c>
      <c r="C219" s="192" t="s">
        <v>138</v>
      </c>
      <c r="D219" s="661"/>
      <c r="E219" s="47">
        <v>60015</v>
      </c>
      <c r="F219" s="31" t="s">
        <v>18</v>
      </c>
      <c r="G219" s="82">
        <v>800000</v>
      </c>
      <c r="H219" s="54">
        <v>799780.14</v>
      </c>
      <c r="I219" s="15">
        <f>IF(G219&gt;0,H219/G219*100,"-")</f>
        <v>99.972517500000009</v>
      </c>
      <c r="J219" s="54">
        <v>500000</v>
      </c>
      <c r="K219" s="79">
        <v>500000</v>
      </c>
      <c r="L219" s="363">
        <v>499780.14</v>
      </c>
      <c r="M219" s="15">
        <f>IF(K219&gt;0,L219/K219*100,"-")</f>
        <v>99.956028000000003</v>
      </c>
      <c r="N219" s="691"/>
    </row>
    <row r="220" spans="1:14">
      <c r="A220" s="660"/>
      <c r="B220" s="29"/>
      <c r="C220" s="192"/>
      <c r="D220" s="661"/>
      <c r="E220" s="47"/>
      <c r="F220" s="31"/>
      <c r="G220" s="79"/>
      <c r="H220" s="31"/>
      <c r="I220" s="33"/>
      <c r="J220" s="31"/>
      <c r="K220" s="79"/>
      <c r="L220" s="32"/>
      <c r="M220" s="33"/>
      <c r="N220" s="691"/>
    </row>
    <row r="221" spans="1:14">
      <c r="A221" s="660"/>
      <c r="B221" s="29"/>
      <c r="C221" s="193"/>
      <c r="D221" s="661"/>
      <c r="E221" s="47">
        <v>60016</v>
      </c>
      <c r="F221" s="31" t="s">
        <v>18</v>
      </c>
      <c r="G221" s="79">
        <v>6900000</v>
      </c>
      <c r="H221" s="32">
        <v>1900000</v>
      </c>
      <c r="I221" s="33">
        <f>IF(G221&gt;0,H221/G221*100,"-")</f>
        <v>27.536231884057973</v>
      </c>
      <c r="J221" s="32">
        <v>500000</v>
      </c>
      <c r="K221" s="79">
        <v>500000</v>
      </c>
      <c r="L221" s="34">
        <v>500000</v>
      </c>
      <c r="M221" s="33">
        <f>IF(K221&gt;0,L221/K221*100,"-")</f>
        <v>100</v>
      </c>
      <c r="N221" s="691"/>
    </row>
    <row r="222" spans="1:14">
      <c r="A222" s="700"/>
      <c r="B222" s="36"/>
      <c r="C222" s="194"/>
      <c r="D222" s="35"/>
      <c r="E222" s="35"/>
      <c r="F222" s="36"/>
      <c r="G222" s="137"/>
      <c r="H222" s="123"/>
      <c r="I222" s="38"/>
      <c r="J222" s="36"/>
      <c r="K222" s="128"/>
      <c r="L222" s="331"/>
      <c r="M222" s="38"/>
      <c r="N222" s="705"/>
    </row>
    <row r="223" spans="1:14">
      <c r="A223" s="16"/>
      <c r="B223" s="413"/>
      <c r="C223" s="414"/>
      <c r="D223" s="17"/>
      <c r="E223" s="17"/>
      <c r="F223" s="16"/>
      <c r="G223" s="72"/>
      <c r="H223" s="16"/>
      <c r="I223" s="19"/>
      <c r="J223" s="72"/>
      <c r="K223" s="72"/>
      <c r="L223" s="18"/>
      <c r="M223" s="318"/>
      <c r="N223" s="319"/>
    </row>
    <row r="224" spans="1:14">
      <c r="A224" s="5" t="s">
        <v>209</v>
      </c>
      <c r="B224" s="702" t="s">
        <v>139</v>
      </c>
      <c r="C224" s="703"/>
      <c r="D224" s="6"/>
      <c r="E224" s="415"/>
      <c r="F224" s="7"/>
      <c r="G224" s="73">
        <f>SUM(G225:G226)</f>
        <v>592848951</v>
      </c>
      <c r="H224" s="73">
        <f>SUM(H225:H226)</f>
        <v>218061537.95999998</v>
      </c>
      <c r="I224" s="9"/>
      <c r="J224" s="73">
        <f>SUM(J225:J226)</f>
        <v>73837210</v>
      </c>
      <c r="K224" s="73">
        <f>SUM(K225:K226)</f>
        <v>76900541</v>
      </c>
      <c r="L224" s="8">
        <f>SUM(L225:L226)</f>
        <v>74695734.899999991</v>
      </c>
      <c r="M224" s="320"/>
      <c r="N224" s="321"/>
    </row>
    <row r="225" spans="1:14">
      <c r="A225" s="7"/>
      <c r="B225" s="416"/>
      <c r="C225" s="417"/>
      <c r="D225" s="6"/>
      <c r="E225" s="415"/>
      <c r="F225" s="11" t="s">
        <v>18</v>
      </c>
      <c r="G225" s="74">
        <f t="shared" ref="G225:L225" si="7">G230+G235+G247+G257+G273+G278+G283</f>
        <v>592845979</v>
      </c>
      <c r="H225" s="74">
        <f t="shared" si="7"/>
        <v>218058600.95999998</v>
      </c>
      <c r="I225" s="13">
        <f t="shared" si="7"/>
        <v>206.74825124258379</v>
      </c>
      <c r="J225" s="74">
        <f t="shared" si="7"/>
        <v>73836850</v>
      </c>
      <c r="K225" s="74">
        <f t="shared" si="7"/>
        <v>76899330</v>
      </c>
      <c r="L225" s="12">
        <f t="shared" si="7"/>
        <v>74694558.899999991</v>
      </c>
      <c r="M225" s="320"/>
      <c r="N225" s="321"/>
    </row>
    <row r="226" spans="1:14">
      <c r="A226" s="7"/>
      <c r="B226" s="10"/>
      <c r="C226" s="188"/>
      <c r="D226" s="6"/>
      <c r="E226" s="415"/>
      <c r="F226" s="11" t="s">
        <v>23</v>
      </c>
      <c r="G226" s="12">
        <f>G231+G243+G253+G269+G274+G279+G284+G288</f>
        <v>2972</v>
      </c>
      <c r="H226" s="74">
        <f>H231+H243+H253+H269+H274+H279+H284+H288</f>
        <v>2937</v>
      </c>
      <c r="I226" s="13"/>
      <c r="J226" s="74">
        <f>J231+J243+J253+J269+J274+J279+J284+J288</f>
        <v>360</v>
      </c>
      <c r="K226" s="74">
        <f>K231+K243+K253+K269+K274+K279+K284+K288</f>
        <v>1211</v>
      </c>
      <c r="L226" s="12">
        <f>L231+L243+L253+L269+L274+L279+L284+L288</f>
        <v>1176</v>
      </c>
      <c r="M226" s="320"/>
      <c r="N226" s="321"/>
    </row>
    <row r="227" spans="1:14">
      <c r="A227" s="20"/>
      <c r="B227" s="111"/>
      <c r="C227" s="206"/>
      <c r="D227" s="112"/>
      <c r="E227" s="113"/>
      <c r="F227" s="49"/>
      <c r="G227" s="114"/>
      <c r="H227" s="111"/>
      <c r="I227" s="115"/>
      <c r="J227" s="116"/>
      <c r="K227" s="114"/>
      <c r="L227" s="344"/>
      <c r="M227" s="303"/>
      <c r="N227" s="117"/>
    </row>
    <row r="228" spans="1:14">
      <c r="A228" s="699" t="s">
        <v>4</v>
      </c>
      <c r="B228" s="26"/>
      <c r="C228" s="190"/>
      <c r="D228" s="25"/>
      <c r="E228" s="107"/>
      <c r="F228" s="26"/>
      <c r="G228" s="119"/>
      <c r="H228" s="50"/>
      <c r="I228" s="120"/>
      <c r="J228" s="119"/>
      <c r="K228" s="121"/>
      <c r="L228" s="345"/>
      <c r="M228" s="140"/>
      <c r="N228" s="122"/>
    </row>
    <row r="229" spans="1:14">
      <c r="A229" s="660"/>
      <c r="B229" s="29" t="s">
        <v>29</v>
      </c>
      <c r="C229" s="192" t="s">
        <v>140</v>
      </c>
      <c r="D229" s="661" t="s">
        <v>45</v>
      </c>
      <c r="E229" s="661" t="s">
        <v>141</v>
      </c>
      <c r="F229" s="30" t="s">
        <v>30</v>
      </c>
      <c r="G229" s="78">
        <f>G230+G231</f>
        <v>66189600</v>
      </c>
      <c r="H229" s="78">
        <f>H230+H231</f>
        <v>24004600</v>
      </c>
      <c r="I229" s="15">
        <v>12.47</v>
      </c>
      <c r="J229" s="78">
        <v>8437000</v>
      </c>
      <c r="K229" s="78">
        <v>8437000</v>
      </c>
      <c r="L229" s="14">
        <f>L230</f>
        <v>8437000</v>
      </c>
      <c r="M229" s="15">
        <v>100</v>
      </c>
      <c r="N229" s="691" t="s">
        <v>142</v>
      </c>
    </row>
    <row r="230" spans="1:14" ht="45">
      <c r="A230" s="660"/>
      <c r="B230" s="29" t="s">
        <v>24</v>
      </c>
      <c r="C230" s="193" t="s">
        <v>143</v>
      </c>
      <c r="D230" s="661"/>
      <c r="E230" s="661"/>
      <c r="F230" s="31" t="s">
        <v>18</v>
      </c>
      <c r="G230" s="80">
        <v>66189600</v>
      </c>
      <c r="H230" s="32">
        <v>24004600</v>
      </c>
      <c r="I230" s="33">
        <v>12.47</v>
      </c>
      <c r="J230" s="79">
        <v>8437000</v>
      </c>
      <c r="K230" s="79">
        <v>8437000</v>
      </c>
      <c r="L230" s="32">
        <v>8437000</v>
      </c>
      <c r="M230" s="33">
        <f>L230/K230*100</f>
        <v>100</v>
      </c>
      <c r="N230" s="691"/>
    </row>
    <row r="231" spans="1:14">
      <c r="A231" s="660"/>
      <c r="B231" s="132"/>
      <c r="C231" s="209"/>
      <c r="D231" s="661"/>
      <c r="E231" s="661"/>
      <c r="F231" s="31" t="s">
        <v>23</v>
      </c>
      <c r="G231" s="79">
        <v>0</v>
      </c>
      <c r="H231" s="32">
        <v>0</v>
      </c>
      <c r="I231" s="33">
        <v>0</v>
      </c>
      <c r="J231" s="79">
        <v>0</v>
      </c>
      <c r="K231" s="79">
        <v>0</v>
      </c>
      <c r="L231" s="32">
        <v>0</v>
      </c>
      <c r="M231" s="33">
        <v>0</v>
      </c>
      <c r="N231" s="691"/>
    </row>
    <row r="232" spans="1:14">
      <c r="A232" s="700"/>
      <c r="B232" s="123"/>
      <c r="C232" s="208"/>
      <c r="D232" s="124"/>
      <c r="E232" s="124"/>
      <c r="F232" s="125"/>
      <c r="G232" s="126"/>
      <c r="H232" s="51"/>
      <c r="I232" s="127"/>
      <c r="J232" s="126"/>
      <c r="K232" s="128"/>
      <c r="L232" s="346"/>
      <c r="M232" s="38"/>
      <c r="N232" s="412"/>
    </row>
    <row r="233" spans="1:14">
      <c r="A233" s="699" t="s">
        <v>51</v>
      </c>
      <c r="B233" s="85"/>
      <c r="C233" s="356"/>
      <c r="D233" s="25"/>
      <c r="E233" s="107"/>
      <c r="F233" s="26"/>
      <c r="G233" s="119"/>
      <c r="H233" s="50"/>
      <c r="I233" s="120"/>
      <c r="J233" s="119"/>
      <c r="K233" s="121"/>
      <c r="L233" s="345"/>
      <c r="M233" s="28"/>
      <c r="N233" s="382"/>
    </row>
    <row r="234" spans="1:14">
      <c r="A234" s="660"/>
      <c r="B234" s="29" t="s">
        <v>29</v>
      </c>
      <c r="C234" s="193" t="s">
        <v>144</v>
      </c>
      <c r="D234" s="661" t="s">
        <v>39</v>
      </c>
      <c r="E234" s="110"/>
      <c r="F234" s="30" t="s">
        <v>30</v>
      </c>
      <c r="G234" s="78">
        <f>G235+G243</f>
        <v>152103940</v>
      </c>
      <c r="H234" s="78">
        <f>H235+H243</f>
        <v>59997370</v>
      </c>
      <c r="I234" s="15">
        <f>H234/G234*100</f>
        <v>39.444980846649997</v>
      </c>
      <c r="J234" s="78">
        <f>J235+J243</f>
        <v>18421314</v>
      </c>
      <c r="K234" s="78">
        <f>K235+K243</f>
        <v>19078268</v>
      </c>
      <c r="L234" s="14">
        <f>L235+L243</f>
        <v>19078268</v>
      </c>
      <c r="M234" s="15">
        <f>L234/K234*100</f>
        <v>100</v>
      </c>
      <c r="N234" s="691" t="s">
        <v>145</v>
      </c>
    </row>
    <row r="235" spans="1:14" ht="22.5">
      <c r="A235" s="660"/>
      <c r="B235" s="29" t="s">
        <v>24</v>
      </c>
      <c r="C235" s="193" t="s">
        <v>146</v>
      </c>
      <c r="D235" s="661"/>
      <c r="E235" s="39"/>
      <c r="F235" s="31" t="s">
        <v>18</v>
      </c>
      <c r="G235" s="79">
        <v>152103940</v>
      </c>
      <c r="H235" s="79">
        <v>59997370</v>
      </c>
      <c r="I235" s="15">
        <f t="shared" ref="I235:I242" si="8">H235/G235*100</f>
        <v>39.444980846649997</v>
      </c>
      <c r="J235" s="79">
        <f>SUM(J236:J242)</f>
        <v>18421314</v>
      </c>
      <c r="K235" s="79">
        <v>19078268</v>
      </c>
      <c r="L235" s="32">
        <v>19078268</v>
      </c>
      <c r="M235" s="15">
        <f t="shared" ref="M235:M242" si="9">L235/K235*100</f>
        <v>100</v>
      </c>
      <c r="N235" s="691"/>
    </row>
    <row r="236" spans="1:14" ht="22.5">
      <c r="A236" s="660"/>
      <c r="B236" s="60"/>
      <c r="C236" s="205"/>
      <c r="D236" s="661"/>
      <c r="E236" s="110" t="s">
        <v>147</v>
      </c>
      <c r="F236" s="31" t="s">
        <v>18</v>
      </c>
      <c r="G236" s="79">
        <v>18590506</v>
      </c>
      <c r="H236" s="32">
        <v>6989006</v>
      </c>
      <c r="I236" s="15">
        <f>H236/G236*100</f>
        <v>37.594490435064003</v>
      </c>
      <c r="J236" s="79">
        <v>2320300</v>
      </c>
      <c r="K236" s="131">
        <v>2390806</v>
      </c>
      <c r="L236" s="34">
        <v>2390806</v>
      </c>
      <c r="M236" s="15">
        <f t="shared" si="9"/>
        <v>100</v>
      </c>
      <c r="N236" s="691"/>
    </row>
    <row r="237" spans="1:14" ht="22.5">
      <c r="A237" s="660"/>
      <c r="B237" s="29"/>
      <c r="C237" s="193"/>
      <c r="D237" s="661"/>
      <c r="E237" s="47" t="s">
        <v>148</v>
      </c>
      <c r="F237" s="31" t="s">
        <v>18</v>
      </c>
      <c r="G237" s="79">
        <v>25460466</v>
      </c>
      <c r="H237" s="32">
        <v>1112466</v>
      </c>
      <c r="I237" s="15">
        <f t="shared" si="8"/>
        <v>4.369385854917188</v>
      </c>
      <c r="J237" s="79">
        <f>1378000+1490000</f>
        <v>2868000</v>
      </c>
      <c r="K237" s="131">
        <v>2898000</v>
      </c>
      <c r="L237" s="32">
        <v>2898000</v>
      </c>
      <c r="M237" s="15">
        <f t="shared" si="9"/>
        <v>100</v>
      </c>
      <c r="N237" s="691"/>
    </row>
    <row r="238" spans="1:14" ht="22.5">
      <c r="A238" s="660"/>
      <c r="B238" s="29"/>
      <c r="C238" s="193"/>
      <c r="D238" s="661"/>
      <c r="E238" s="47" t="s">
        <v>149</v>
      </c>
      <c r="F238" s="31" t="s">
        <v>18</v>
      </c>
      <c r="G238" s="79">
        <v>6391600</v>
      </c>
      <c r="H238" s="32">
        <v>2841600</v>
      </c>
      <c r="I238" s="15">
        <f t="shared" si="8"/>
        <v>44.458351586457226</v>
      </c>
      <c r="J238" s="79">
        <v>710000</v>
      </c>
      <c r="K238" s="131">
        <v>813000</v>
      </c>
      <c r="L238" s="34">
        <v>813000</v>
      </c>
      <c r="M238" s="15">
        <f t="shared" si="9"/>
        <v>100</v>
      </c>
      <c r="N238" s="691"/>
    </row>
    <row r="239" spans="1:14" ht="22.5">
      <c r="A239" s="660"/>
      <c r="B239" s="29"/>
      <c r="C239" s="193"/>
      <c r="D239" s="661"/>
      <c r="E239" s="47" t="s">
        <v>150</v>
      </c>
      <c r="F239" s="31" t="s">
        <v>18</v>
      </c>
      <c r="G239" s="79">
        <v>32300712</v>
      </c>
      <c r="H239" s="32">
        <v>12410712</v>
      </c>
      <c r="I239" s="15">
        <f t="shared" si="8"/>
        <v>38.422410007556493</v>
      </c>
      <c r="J239" s="79">
        <v>3978000</v>
      </c>
      <c r="K239" s="131">
        <v>4233000</v>
      </c>
      <c r="L239" s="34">
        <v>4233000</v>
      </c>
      <c r="M239" s="15">
        <f t="shared" si="9"/>
        <v>100</v>
      </c>
      <c r="N239" s="691"/>
    </row>
    <row r="240" spans="1:14" ht="22.5">
      <c r="A240" s="660"/>
      <c r="B240" s="29"/>
      <c r="C240" s="193"/>
      <c r="D240" s="661"/>
      <c r="E240" s="47" t="s">
        <v>151</v>
      </c>
      <c r="F240" s="31" t="s">
        <v>18</v>
      </c>
      <c r="G240" s="79">
        <v>14734176</v>
      </c>
      <c r="H240" s="32">
        <v>5584176</v>
      </c>
      <c r="I240" s="15">
        <f t="shared" si="8"/>
        <v>37.899479414390051</v>
      </c>
      <c r="J240" s="79">
        <v>1830000</v>
      </c>
      <c r="K240" s="131">
        <v>1936300</v>
      </c>
      <c r="L240" s="34">
        <v>1936300</v>
      </c>
      <c r="M240" s="15">
        <f t="shared" si="9"/>
        <v>100</v>
      </c>
      <c r="N240" s="691"/>
    </row>
    <row r="241" spans="1:14" ht="22.5">
      <c r="A241" s="660"/>
      <c r="B241" s="29"/>
      <c r="C241" s="193"/>
      <c r="D241" s="661"/>
      <c r="E241" s="47" t="s">
        <v>152</v>
      </c>
      <c r="F241" s="31" t="s">
        <v>18</v>
      </c>
      <c r="G241" s="79">
        <v>33606758</v>
      </c>
      <c r="H241" s="32">
        <v>12763038</v>
      </c>
      <c r="I241" s="15">
        <f t="shared" si="8"/>
        <v>37.977593673272501</v>
      </c>
      <c r="J241" s="79">
        <v>4168744</v>
      </c>
      <c r="K241" s="131">
        <v>4168744</v>
      </c>
      <c r="L241" s="34">
        <v>4168744</v>
      </c>
      <c r="M241" s="15">
        <f t="shared" si="9"/>
        <v>100</v>
      </c>
      <c r="N241" s="691"/>
    </row>
    <row r="242" spans="1:14" ht="22.5">
      <c r="A242" s="660"/>
      <c r="B242" s="29"/>
      <c r="C242" s="193"/>
      <c r="D242" s="661"/>
      <c r="E242" s="47" t="s">
        <v>153</v>
      </c>
      <c r="F242" s="31" t="s">
        <v>18</v>
      </c>
      <c r="G242" s="79">
        <v>21019722</v>
      </c>
      <c r="H242" s="32">
        <v>8288372</v>
      </c>
      <c r="I242" s="15">
        <f t="shared" si="8"/>
        <v>39.431406371597113</v>
      </c>
      <c r="J242" s="79">
        <f>1150000+1396270</f>
        <v>2546270</v>
      </c>
      <c r="K242" s="131">
        <v>2638418</v>
      </c>
      <c r="L242" s="34">
        <v>2638418</v>
      </c>
      <c r="M242" s="15">
        <f t="shared" si="9"/>
        <v>100</v>
      </c>
      <c r="N242" s="691"/>
    </row>
    <row r="243" spans="1:14">
      <c r="A243" s="660"/>
      <c r="B243" s="29"/>
      <c r="C243" s="193"/>
      <c r="D243" s="661"/>
      <c r="E243" s="44"/>
      <c r="F243" s="31" t="s">
        <v>23</v>
      </c>
      <c r="G243" s="79">
        <v>0</v>
      </c>
      <c r="H243" s="32">
        <v>0</v>
      </c>
      <c r="I243" s="33">
        <v>0</v>
      </c>
      <c r="J243" s="79">
        <v>0</v>
      </c>
      <c r="K243" s="79">
        <v>0</v>
      </c>
      <c r="L243" s="32">
        <v>0</v>
      </c>
      <c r="M243" s="33">
        <v>0</v>
      </c>
      <c r="N243" s="691"/>
    </row>
    <row r="244" spans="1:14">
      <c r="A244" s="700"/>
      <c r="B244" s="123"/>
      <c r="C244" s="208"/>
      <c r="D244" s="124"/>
      <c r="E244" s="124"/>
      <c r="F244" s="125"/>
      <c r="G244" s="126"/>
      <c r="H244" s="37"/>
      <c r="I244" s="127"/>
      <c r="J244" s="126"/>
      <c r="K244" s="128"/>
      <c r="L244" s="346"/>
      <c r="M244" s="127"/>
      <c r="N244" s="220"/>
    </row>
    <row r="245" spans="1:14">
      <c r="A245" s="699" t="s">
        <v>56</v>
      </c>
      <c r="B245" s="26"/>
      <c r="C245" s="190"/>
      <c r="D245" s="25"/>
      <c r="E245" s="107"/>
      <c r="F245" s="26"/>
      <c r="G245" s="119"/>
      <c r="H245" s="133"/>
      <c r="I245" s="120"/>
      <c r="J245" s="119"/>
      <c r="K245" s="121"/>
      <c r="L245" s="345"/>
      <c r="M245" s="28"/>
      <c r="N245" s="704" t="s">
        <v>154</v>
      </c>
    </row>
    <row r="246" spans="1:14" ht="45">
      <c r="A246" s="660"/>
      <c r="B246" s="29" t="s">
        <v>29</v>
      </c>
      <c r="C246" s="191" t="s">
        <v>155</v>
      </c>
      <c r="D246" s="786" t="s">
        <v>39</v>
      </c>
      <c r="E246" s="110"/>
      <c r="F246" s="30" t="s">
        <v>30</v>
      </c>
      <c r="G246" s="83">
        <f>G247+G253</f>
        <v>245949497</v>
      </c>
      <c r="H246" s="83">
        <f>H247+H253</f>
        <v>88422565.379999995</v>
      </c>
      <c r="I246" s="15">
        <f>H246/G246*100</f>
        <v>35.951512996995476</v>
      </c>
      <c r="J246" s="78">
        <f>J247+J253</f>
        <v>30476988</v>
      </c>
      <c r="K246" s="78">
        <f>K247+K253</f>
        <v>30866444</v>
      </c>
      <c r="L246" s="14">
        <f>L247+L253</f>
        <v>28704746.799999997</v>
      </c>
      <c r="M246" s="141">
        <f>L246/K246*100</f>
        <v>92.996610817883635</v>
      </c>
      <c r="N246" s="691"/>
    </row>
    <row r="247" spans="1:14" ht="33.75">
      <c r="A247" s="660"/>
      <c r="B247" s="29" t="s">
        <v>24</v>
      </c>
      <c r="C247" s="191" t="s">
        <v>156</v>
      </c>
      <c r="D247" s="661"/>
      <c r="E247" s="39"/>
      <c r="F247" s="31" t="s">
        <v>18</v>
      </c>
      <c r="G247" s="80">
        <f>SUM(G248:G253)</f>
        <v>245949497</v>
      </c>
      <c r="H247" s="80">
        <f>SUM(H248:H252)</f>
        <v>88422565.379999995</v>
      </c>
      <c r="I247" s="33">
        <f t="shared" ref="I247:I252" si="10">H247/G247*100</f>
        <v>35.951512996995476</v>
      </c>
      <c r="J247" s="134">
        <f>SUM(J248:J253)</f>
        <v>30476988</v>
      </c>
      <c r="K247" s="134">
        <f>SUM(K248:K253)</f>
        <v>30866444</v>
      </c>
      <c r="L247" s="485">
        <f>SUM(L248:L253)</f>
        <v>28704746.799999997</v>
      </c>
      <c r="M247" s="143">
        <f t="shared" ref="M247:M252" si="11">L247/K247*100</f>
        <v>92.996610817883635</v>
      </c>
      <c r="N247" s="691"/>
    </row>
    <row r="248" spans="1:14" ht="22.5">
      <c r="A248" s="660"/>
      <c r="B248" s="29"/>
      <c r="C248" s="191"/>
      <c r="D248" s="661"/>
      <c r="E248" s="109" t="s">
        <v>157</v>
      </c>
      <c r="F248" s="31" t="s">
        <v>18</v>
      </c>
      <c r="G248" s="80">
        <v>32229427</v>
      </c>
      <c r="H248" s="135">
        <v>12460145.32</v>
      </c>
      <c r="I248" s="33">
        <f t="shared" si="10"/>
        <v>38.660772095017386</v>
      </c>
      <c r="J248" s="134">
        <f>1832170+2116270</f>
        <v>3948440</v>
      </c>
      <c r="K248" s="134">
        <v>4580577</v>
      </c>
      <c r="L248" s="472">
        <v>4553494.96</v>
      </c>
      <c r="M248" s="143">
        <f t="shared" si="11"/>
        <v>99.408763568432533</v>
      </c>
      <c r="N248" s="691"/>
    </row>
    <row r="249" spans="1:14" ht="22.5">
      <c r="A249" s="660"/>
      <c r="B249" s="29"/>
      <c r="C249" s="191"/>
      <c r="D249" s="661"/>
      <c r="E249" s="108" t="s">
        <v>158</v>
      </c>
      <c r="F249" s="31" t="s">
        <v>18</v>
      </c>
      <c r="G249" s="80">
        <v>6733360</v>
      </c>
      <c r="H249" s="135">
        <v>2202895.77</v>
      </c>
      <c r="I249" s="33">
        <f t="shared" si="10"/>
        <v>32.716144242993096</v>
      </c>
      <c r="J249" s="136">
        <v>905680</v>
      </c>
      <c r="K249" s="134">
        <v>417194</v>
      </c>
      <c r="L249" s="472">
        <v>415129.74</v>
      </c>
      <c r="M249" s="143">
        <f t="shared" si="11"/>
        <v>99.505203814052933</v>
      </c>
      <c r="N249" s="691"/>
    </row>
    <row r="250" spans="1:14" ht="22.5">
      <c r="A250" s="660"/>
      <c r="B250" s="29"/>
      <c r="C250" s="191"/>
      <c r="D250" s="661"/>
      <c r="E250" s="108" t="s">
        <v>159</v>
      </c>
      <c r="F250" s="31" t="s">
        <v>18</v>
      </c>
      <c r="G250" s="80">
        <v>150018468</v>
      </c>
      <c r="H250" s="135">
        <v>55825621.520000003</v>
      </c>
      <c r="I250" s="33">
        <f t="shared" si="10"/>
        <v>37.212499410405925</v>
      </c>
      <c r="J250" s="136">
        <v>18412630</v>
      </c>
      <c r="K250" s="134">
        <v>19325291</v>
      </c>
      <c r="L250" s="472">
        <v>17195594.48</v>
      </c>
      <c r="M250" s="143">
        <f t="shared" si="11"/>
        <v>88.979744108381084</v>
      </c>
      <c r="N250" s="691"/>
    </row>
    <row r="251" spans="1:14" ht="22.5">
      <c r="A251" s="660"/>
      <c r="B251" s="29"/>
      <c r="C251" s="193"/>
      <c r="D251" s="661"/>
      <c r="E251" s="108" t="s">
        <v>160</v>
      </c>
      <c r="F251" s="31" t="s">
        <v>18</v>
      </c>
      <c r="G251" s="80">
        <v>14126363</v>
      </c>
      <c r="H251" s="135">
        <v>4765629.34</v>
      </c>
      <c r="I251" s="33">
        <f t="shared" si="10"/>
        <v>33.735713431687969</v>
      </c>
      <c r="J251" s="136">
        <v>1871576</v>
      </c>
      <c r="K251" s="134">
        <v>1554372</v>
      </c>
      <c r="L251" s="472">
        <v>1551518.58</v>
      </c>
      <c r="M251" s="143">
        <f t="shared" si="11"/>
        <v>99.81642618369348</v>
      </c>
      <c r="N251" s="691"/>
    </row>
    <row r="252" spans="1:14" ht="22.5">
      <c r="A252" s="660"/>
      <c r="B252" s="29"/>
      <c r="C252" s="193"/>
      <c r="D252" s="661"/>
      <c r="E252" s="108" t="s">
        <v>161</v>
      </c>
      <c r="F252" s="31" t="s">
        <v>18</v>
      </c>
      <c r="G252" s="80">
        <v>42841879</v>
      </c>
      <c r="H252" s="135">
        <v>13168273.43</v>
      </c>
      <c r="I252" s="33">
        <f t="shared" si="10"/>
        <v>30.736918495101484</v>
      </c>
      <c r="J252" s="136">
        <v>5338662</v>
      </c>
      <c r="K252" s="134">
        <v>4989010</v>
      </c>
      <c r="L252" s="472">
        <v>4989009.04</v>
      </c>
      <c r="M252" s="143">
        <f t="shared" si="11"/>
        <v>99.999980757705444</v>
      </c>
      <c r="N252" s="691"/>
    </row>
    <row r="253" spans="1:14">
      <c r="A253" s="660"/>
      <c r="B253" s="29"/>
      <c r="C253" s="193"/>
      <c r="D253" s="661"/>
      <c r="E253" s="44"/>
      <c r="F253" s="31" t="s">
        <v>23</v>
      </c>
      <c r="G253" s="79">
        <v>0</v>
      </c>
      <c r="H253" s="80">
        <v>0</v>
      </c>
      <c r="I253" s="120"/>
      <c r="J253" s="79">
        <v>0</v>
      </c>
      <c r="K253" s="138"/>
      <c r="L253" s="32">
        <v>0</v>
      </c>
      <c r="M253" s="33"/>
      <c r="N253" s="691"/>
    </row>
    <row r="254" spans="1:14">
      <c r="A254" s="700"/>
      <c r="B254" s="36"/>
      <c r="C254" s="194"/>
      <c r="D254" s="55"/>
      <c r="E254" s="55"/>
      <c r="F254" s="52"/>
      <c r="G254" s="126"/>
      <c r="H254" s="129"/>
      <c r="I254" s="127"/>
      <c r="J254" s="126"/>
      <c r="K254" s="128"/>
      <c r="L254" s="346"/>
      <c r="M254" s="38"/>
      <c r="N254" s="705"/>
    </row>
    <row r="255" spans="1:14">
      <c r="A255" s="699" t="s">
        <v>73</v>
      </c>
      <c r="B255" s="50"/>
      <c r="C255" s="207"/>
      <c r="D255" s="139"/>
      <c r="E255" s="118"/>
      <c r="F255" s="50"/>
      <c r="G255" s="119"/>
      <c r="H255" s="50"/>
      <c r="I255" s="120"/>
      <c r="J255" s="119"/>
      <c r="K255" s="121"/>
      <c r="L255" s="345"/>
      <c r="M255" s="28"/>
      <c r="N255" s="704" t="s">
        <v>162</v>
      </c>
    </row>
    <row r="256" spans="1:14" ht="45">
      <c r="A256" s="660"/>
      <c r="B256" s="29" t="s">
        <v>29</v>
      </c>
      <c r="C256" s="191" t="s">
        <v>163</v>
      </c>
      <c r="D256" s="786" t="s">
        <v>39</v>
      </c>
      <c r="E256" s="110"/>
      <c r="F256" s="30" t="s">
        <v>30</v>
      </c>
      <c r="G256" s="83">
        <f>G257+G265</f>
        <v>92778526</v>
      </c>
      <c r="H256" s="83">
        <f>H257+H265</f>
        <v>35464096.150000006</v>
      </c>
      <c r="I256" s="15">
        <f>H256/G256*100</f>
        <v>38.224466025683576</v>
      </c>
      <c r="J256" s="78">
        <f>J257+J265</f>
        <v>11461548</v>
      </c>
      <c r="K256" s="78">
        <f>K257+K265</f>
        <v>13137618</v>
      </c>
      <c r="L256" s="14">
        <f>L257+L265</f>
        <v>13130928.799999999</v>
      </c>
      <c r="M256" s="15">
        <f>L256/K256*100</f>
        <v>99.949083616223263</v>
      </c>
      <c r="N256" s="691"/>
    </row>
    <row r="257" spans="1:14" ht="33.75">
      <c r="A257" s="660"/>
      <c r="B257" s="29" t="s">
        <v>24</v>
      </c>
      <c r="C257" s="191" t="s">
        <v>156</v>
      </c>
      <c r="D257" s="661"/>
      <c r="E257" s="39"/>
      <c r="F257" s="31" t="s">
        <v>18</v>
      </c>
      <c r="G257" s="80">
        <f>SUM(G258:G264)</f>
        <v>92778526</v>
      </c>
      <c r="H257" s="80">
        <f>SUM(H258:H264)</f>
        <v>35464096.150000006</v>
      </c>
      <c r="I257" s="33">
        <f t="shared" ref="I257:I264" si="12">H257/G257*100</f>
        <v>38.224466025683576</v>
      </c>
      <c r="J257" s="79">
        <f>SUM(J258:J265)</f>
        <v>11461548</v>
      </c>
      <c r="K257" s="79">
        <f>SUM(K258:K265)</f>
        <v>13137618</v>
      </c>
      <c r="L257" s="32">
        <f>SUM(L258:L265)</f>
        <v>13130928.799999999</v>
      </c>
      <c r="M257" s="359">
        <f>L257/K257*100</f>
        <v>99.949083616223263</v>
      </c>
      <c r="N257" s="691"/>
    </row>
    <row r="258" spans="1:14" ht="22.5">
      <c r="A258" s="660"/>
      <c r="B258" s="132"/>
      <c r="C258" s="274"/>
      <c r="D258" s="661"/>
      <c r="E258" s="110" t="s">
        <v>164</v>
      </c>
      <c r="F258" s="31" t="s">
        <v>18</v>
      </c>
      <c r="G258" s="80">
        <v>20776499</v>
      </c>
      <c r="H258" s="135">
        <v>8133918.1299999999</v>
      </c>
      <c r="I258" s="143">
        <f t="shared" si="12"/>
        <v>39.149609036633173</v>
      </c>
      <c r="J258" s="136">
        <v>2528516</v>
      </c>
      <c r="K258" s="358">
        <v>3000102</v>
      </c>
      <c r="L258" s="472">
        <v>3000101.38</v>
      </c>
      <c r="M258" s="359">
        <f>L258/K258*100</f>
        <v>99.99997933403597</v>
      </c>
      <c r="N258" s="691"/>
    </row>
    <row r="259" spans="1:14" ht="22.5">
      <c r="A259" s="660"/>
      <c r="B259" s="132"/>
      <c r="C259" s="274"/>
      <c r="D259" s="661"/>
      <c r="E259" s="47" t="s">
        <v>165</v>
      </c>
      <c r="F259" s="31" t="s">
        <v>18</v>
      </c>
      <c r="G259" s="80">
        <v>1764703</v>
      </c>
      <c r="H259" s="135">
        <v>555232.68999999994</v>
      </c>
      <c r="I259" s="143">
        <f t="shared" si="12"/>
        <v>31.463237156620689</v>
      </c>
      <c r="J259" s="136">
        <v>241894</v>
      </c>
      <c r="K259" s="134">
        <v>188438</v>
      </c>
      <c r="L259" s="472">
        <v>188437.51</v>
      </c>
      <c r="M259" s="359">
        <f>L259/K260*100</f>
        <v>4.560645110855587</v>
      </c>
      <c r="N259" s="691"/>
    </row>
    <row r="260" spans="1:14" ht="22.5">
      <c r="A260" s="660"/>
      <c r="B260" s="132"/>
      <c r="C260" s="274"/>
      <c r="D260" s="661"/>
      <c r="E260" s="47" t="s">
        <v>166</v>
      </c>
      <c r="F260" s="31" t="s">
        <v>18</v>
      </c>
      <c r="G260" s="80">
        <v>26642170</v>
      </c>
      <c r="H260" s="135">
        <v>10830238.470000001</v>
      </c>
      <c r="I260" s="143">
        <f t="shared" si="12"/>
        <v>40.650737045818715</v>
      </c>
      <c r="J260" s="136">
        <f>2728356+434030</f>
        <v>3162386</v>
      </c>
      <c r="K260" s="134">
        <v>4131817</v>
      </c>
      <c r="L260" s="472">
        <v>4131815.9</v>
      </c>
      <c r="M260" s="359">
        <f>L260/K261*100</f>
        <v>415.14647828170735</v>
      </c>
      <c r="N260" s="691"/>
    </row>
    <row r="261" spans="1:14" ht="22.5">
      <c r="A261" s="660"/>
      <c r="B261" s="132"/>
      <c r="C261" s="209"/>
      <c r="D261" s="661"/>
      <c r="E261" s="47" t="s">
        <v>167</v>
      </c>
      <c r="F261" s="31" t="s">
        <v>18</v>
      </c>
      <c r="G261" s="80">
        <v>6096958</v>
      </c>
      <c r="H261" s="135">
        <v>2171427.6</v>
      </c>
      <c r="I261" s="143">
        <f t="shared" si="12"/>
        <v>35.614934529645772</v>
      </c>
      <c r="J261" s="136">
        <v>784255</v>
      </c>
      <c r="K261" s="134">
        <v>995267</v>
      </c>
      <c r="L261" s="472">
        <v>991011.81</v>
      </c>
      <c r="M261" s="359">
        <f>L261/K262*100</f>
        <v>602.61462919271275</v>
      </c>
      <c r="N261" s="691"/>
    </row>
    <row r="262" spans="1:14" ht="22.5">
      <c r="A262" s="660"/>
      <c r="B262" s="132"/>
      <c r="C262" s="323"/>
      <c r="D262" s="661"/>
      <c r="E262" s="47" t="s">
        <v>168</v>
      </c>
      <c r="F262" s="31" t="s">
        <v>18</v>
      </c>
      <c r="G262" s="80">
        <v>1463022</v>
      </c>
      <c r="H262" s="135">
        <v>310305.19</v>
      </c>
      <c r="I262" s="143">
        <f t="shared" si="12"/>
        <v>21.209878593760038</v>
      </c>
      <c r="J262" s="136">
        <v>230370</v>
      </c>
      <c r="K262" s="134">
        <v>164452</v>
      </c>
      <c r="L262" s="472">
        <v>163585.18</v>
      </c>
      <c r="M262" s="359">
        <f>L262/K263*100</f>
        <v>3.5229938167580048</v>
      </c>
      <c r="N262" s="691"/>
    </row>
    <row r="263" spans="1:14" ht="22.5">
      <c r="A263" s="660"/>
      <c r="B263" s="132"/>
      <c r="C263" s="209"/>
      <c r="D263" s="661"/>
      <c r="E263" s="47" t="s">
        <v>169</v>
      </c>
      <c r="F263" s="31" t="s">
        <v>18</v>
      </c>
      <c r="G263" s="80">
        <v>36020989</v>
      </c>
      <c r="H263" s="135">
        <v>13450352.869999999</v>
      </c>
      <c r="I263" s="143">
        <f t="shared" si="12"/>
        <v>37.340320861262306</v>
      </c>
      <c r="J263" s="136">
        <f>1535552+2978575</f>
        <v>4514127</v>
      </c>
      <c r="K263" s="134">
        <v>4643357</v>
      </c>
      <c r="L263" s="472">
        <v>4643355.82</v>
      </c>
      <c r="M263" s="359">
        <f>L263/K264*100</f>
        <v>32734.267324638706</v>
      </c>
      <c r="N263" s="691"/>
    </row>
    <row r="264" spans="1:14">
      <c r="A264" s="660"/>
      <c r="B264" s="132"/>
      <c r="C264" s="291"/>
      <c r="D264" s="661"/>
      <c r="E264" s="47"/>
      <c r="F264" s="31" t="s">
        <v>18</v>
      </c>
      <c r="G264" s="80">
        <v>14185</v>
      </c>
      <c r="H264" s="135">
        <v>12621.2</v>
      </c>
      <c r="I264" s="143">
        <f t="shared" si="12"/>
        <v>88.975678533662332</v>
      </c>
      <c r="J264" s="136" t="s">
        <v>79</v>
      </c>
      <c r="K264" s="134">
        <v>14185</v>
      </c>
      <c r="L264" s="472">
        <v>12621.2</v>
      </c>
      <c r="M264" s="359"/>
      <c r="N264" s="691"/>
    </row>
    <row r="265" spans="1:14">
      <c r="A265" s="660"/>
      <c r="B265" s="132"/>
      <c r="C265" s="209"/>
      <c r="D265" s="661"/>
      <c r="E265" s="110"/>
      <c r="F265" s="31" t="s">
        <v>23</v>
      </c>
      <c r="G265" s="79">
        <v>0</v>
      </c>
      <c r="H265" s="80">
        <v>0</v>
      </c>
      <c r="I265" s="33"/>
      <c r="J265" s="79">
        <v>0</v>
      </c>
      <c r="K265" s="79"/>
      <c r="L265" s="32">
        <v>0</v>
      </c>
      <c r="M265" s="33"/>
      <c r="N265" s="691"/>
    </row>
    <row r="266" spans="1:14">
      <c r="A266" s="660"/>
      <c r="B266" s="132"/>
      <c r="C266" s="209"/>
      <c r="D266" s="661"/>
      <c r="E266" s="47"/>
      <c r="F266" s="31"/>
      <c r="G266" s="79"/>
      <c r="H266" s="135"/>
      <c r="I266" s="143"/>
      <c r="J266" s="324"/>
      <c r="K266" s="322"/>
      <c r="L266" s="354"/>
      <c r="M266" s="360"/>
      <c r="N266" s="691"/>
    </row>
    <row r="267" spans="1:14">
      <c r="A267" s="660"/>
      <c r="B267" s="132"/>
      <c r="C267" s="209"/>
      <c r="D267" s="661"/>
      <c r="E267" s="47"/>
      <c r="F267" s="31"/>
      <c r="G267" s="79"/>
      <c r="H267" s="135"/>
      <c r="I267" s="143"/>
      <c r="J267" s="324"/>
      <c r="K267" s="322"/>
      <c r="L267" s="354"/>
      <c r="M267" s="361"/>
      <c r="N267" s="691"/>
    </row>
    <row r="268" spans="1:14">
      <c r="A268" s="660"/>
      <c r="B268" s="132"/>
      <c r="C268" s="209"/>
      <c r="D268" s="661"/>
      <c r="E268" s="47"/>
      <c r="F268" s="31"/>
      <c r="G268" s="79"/>
      <c r="H268" s="135"/>
      <c r="I268" s="143"/>
      <c r="J268" s="324"/>
      <c r="K268" s="322"/>
      <c r="L268" s="354"/>
      <c r="M268" s="361"/>
      <c r="N268" s="691"/>
    </row>
    <row r="269" spans="1:14">
      <c r="A269" s="660"/>
      <c r="B269" s="132"/>
      <c r="C269" s="209"/>
      <c r="D269" s="661"/>
      <c r="E269" s="44"/>
      <c r="F269" s="31"/>
      <c r="G269" s="79"/>
      <c r="H269" s="357"/>
      <c r="I269" s="33"/>
      <c r="J269" s="325"/>
      <c r="K269" s="322"/>
      <c r="L269" s="353"/>
      <c r="M269" s="33"/>
      <c r="N269" s="691"/>
    </row>
    <row r="270" spans="1:14">
      <c r="A270" s="700"/>
      <c r="B270" s="123"/>
      <c r="C270" s="208"/>
      <c r="D270" s="124"/>
      <c r="E270" s="124"/>
      <c r="F270" s="125"/>
      <c r="G270" s="126"/>
      <c r="H270" s="51"/>
      <c r="I270" s="127"/>
      <c r="J270" s="126"/>
      <c r="K270" s="128"/>
      <c r="L270" s="346"/>
      <c r="M270" s="38"/>
      <c r="N270" s="705"/>
    </row>
    <row r="271" spans="1:14">
      <c r="A271" s="699" t="s">
        <v>130</v>
      </c>
      <c r="B271" s="26"/>
      <c r="C271" s="190"/>
      <c r="D271" s="139"/>
      <c r="E271" s="118"/>
      <c r="F271" s="50"/>
      <c r="G271" s="119"/>
      <c r="H271" s="50"/>
      <c r="I271" s="120"/>
      <c r="J271" s="119"/>
      <c r="K271" s="121"/>
      <c r="L271" s="345"/>
      <c r="M271" s="130"/>
      <c r="N271" s="122"/>
    </row>
    <row r="272" spans="1:14" ht="22.5">
      <c r="A272" s="660"/>
      <c r="B272" s="29" t="s">
        <v>29</v>
      </c>
      <c r="C272" s="193" t="s">
        <v>170</v>
      </c>
      <c r="D272" s="661" t="s">
        <v>39</v>
      </c>
      <c r="E272" s="661" t="s">
        <v>171</v>
      </c>
      <c r="F272" s="30" t="s">
        <v>30</v>
      </c>
      <c r="G272" s="78">
        <f>G273+G274</f>
        <v>955000</v>
      </c>
      <c r="H272" s="14">
        <f>H273+H274</f>
        <v>224398.79</v>
      </c>
      <c r="I272" s="15">
        <f>H272/G272*100</f>
        <v>23.497255497382199</v>
      </c>
      <c r="J272" s="78">
        <f>J273+J274</f>
        <v>140000</v>
      </c>
      <c r="K272" s="78">
        <f>K273+K274</f>
        <v>130000</v>
      </c>
      <c r="L272" s="14">
        <f>L273+L274</f>
        <v>102512.66</v>
      </c>
      <c r="M272" s="15">
        <f>L272/K272*100</f>
        <v>78.855892307692315</v>
      </c>
      <c r="N272" s="691" t="s">
        <v>172</v>
      </c>
    </row>
    <row r="273" spans="1:14" ht="22.5">
      <c r="A273" s="660"/>
      <c r="B273" s="29" t="s">
        <v>24</v>
      </c>
      <c r="C273" s="193" t="s">
        <v>173</v>
      </c>
      <c r="D273" s="661"/>
      <c r="E273" s="661"/>
      <c r="F273" s="31" t="s">
        <v>18</v>
      </c>
      <c r="G273" s="79">
        <v>955000</v>
      </c>
      <c r="H273" s="32">
        <v>224398.79</v>
      </c>
      <c r="I273" s="15">
        <f>H273/G273*100</f>
        <v>23.497255497382199</v>
      </c>
      <c r="J273" s="79">
        <v>140000</v>
      </c>
      <c r="K273" s="79">
        <v>130000</v>
      </c>
      <c r="L273" s="32">
        <v>102512.66</v>
      </c>
      <c r="M273" s="33">
        <f>L273/K273*100</f>
        <v>78.855892307692315</v>
      </c>
      <c r="N273" s="691"/>
    </row>
    <row r="274" spans="1:14">
      <c r="A274" s="660"/>
      <c r="B274" s="29"/>
      <c r="C274" s="193"/>
      <c r="D274" s="661"/>
      <c r="E274" s="661"/>
      <c r="F274" s="31" t="s">
        <v>23</v>
      </c>
      <c r="G274" s="79">
        <v>0</v>
      </c>
      <c r="H274" s="32">
        <v>0</v>
      </c>
      <c r="I274" s="120"/>
      <c r="J274" s="138"/>
      <c r="K274" s="138"/>
      <c r="L274" s="329"/>
      <c r="M274" s="33"/>
      <c r="N274" s="691"/>
    </row>
    <row r="275" spans="1:14">
      <c r="A275" s="700"/>
      <c r="B275" s="36"/>
      <c r="C275" s="194"/>
      <c r="D275" s="124"/>
      <c r="E275" s="124"/>
      <c r="F275" s="125"/>
      <c r="G275" s="126"/>
      <c r="H275" s="51"/>
      <c r="I275" s="127"/>
      <c r="J275" s="126"/>
      <c r="K275" s="128"/>
      <c r="L275" s="346"/>
      <c r="M275" s="127"/>
      <c r="N275" s="326"/>
    </row>
    <row r="276" spans="1:14">
      <c r="A276" s="699" t="s">
        <v>133</v>
      </c>
      <c r="B276" s="26"/>
      <c r="C276" s="190"/>
      <c r="D276" s="25"/>
      <c r="E276" s="107"/>
      <c r="F276" s="26"/>
      <c r="G276" s="119"/>
      <c r="H276" s="50"/>
      <c r="I276" s="120"/>
      <c r="J276" s="119"/>
      <c r="K276" s="121"/>
      <c r="L276" s="345"/>
      <c r="M276" s="130"/>
      <c r="N276" s="221"/>
    </row>
    <row r="277" spans="1:14">
      <c r="A277" s="660"/>
      <c r="B277" s="29" t="s">
        <v>29</v>
      </c>
      <c r="C277" s="192" t="s">
        <v>174</v>
      </c>
      <c r="D277" s="661" t="s">
        <v>39</v>
      </c>
      <c r="E277" s="661" t="s">
        <v>175</v>
      </c>
      <c r="F277" s="30" t="s">
        <v>30</v>
      </c>
      <c r="G277" s="78">
        <f>G278+G279</f>
        <v>18382507</v>
      </c>
      <c r="H277" s="14">
        <f>H278+H279</f>
        <v>5058662</v>
      </c>
      <c r="I277" s="15">
        <f>H277/G277*100</f>
        <v>27.518890649681243</v>
      </c>
      <c r="J277" s="78">
        <f>J278+J279</f>
        <v>2580000</v>
      </c>
      <c r="K277" s="78">
        <f>K278+K279</f>
        <v>2880000</v>
      </c>
      <c r="L277" s="14">
        <f>L278+L279</f>
        <v>2880000</v>
      </c>
      <c r="M277" s="15">
        <f>L277/K277*100</f>
        <v>100</v>
      </c>
      <c r="N277" s="691" t="s">
        <v>176</v>
      </c>
    </row>
    <row r="278" spans="1:14">
      <c r="A278" s="660"/>
      <c r="B278" s="29" t="s">
        <v>24</v>
      </c>
      <c r="C278" s="192" t="s">
        <v>177</v>
      </c>
      <c r="D278" s="661"/>
      <c r="E278" s="661"/>
      <c r="F278" s="31" t="s">
        <v>18</v>
      </c>
      <c r="G278" s="79">
        <v>18382507</v>
      </c>
      <c r="H278" s="32">
        <v>5058662</v>
      </c>
      <c r="I278" s="15">
        <f>H278/G278*100</f>
        <v>27.518890649681243</v>
      </c>
      <c r="J278" s="79">
        <v>2580000</v>
      </c>
      <c r="K278" s="79">
        <v>2880000</v>
      </c>
      <c r="L278" s="32">
        <v>2880000</v>
      </c>
      <c r="M278" s="33">
        <f>L278/K278*100</f>
        <v>100</v>
      </c>
      <c r="N278" s="691"/>
    </row>
    <row r="279" spans="1:14">
      <c r="A279" s="660"/>
      <c r="B279" s="29"/>
      <c r="C279" s="193"/>
      <c r="D279" s="661"/>
      <c r="E279" s="661"/>
      <c r="F279" s="31" t="s">
        <v>23</v>
      </c>
      <c r="G279" s="79">
        <v>0</v>
      </c>
      <c r="H279" s="32">
        <v>0</v>
      </c>
      <c r="I279" s="33"/>
      <c r="J279" s="79"/>
      <c r="K279" s="79"/>
      <c r="L279" s="32"/>
      <c r="M279" s="33"/>
      <c r="N279" s="691"/>
    </row>
    <row r="280" spans="1:14">
      <c r="A280" s="700"/>
      <c r="B280" s="36"/>
      <c r="C280" s="194"/>
      <c r="D280" s="55"/>
      <c r="E280" s="55"/>
      <c r="F280" s="52"/>
      <c r="G280" s="137"/>
      <c r="H280" s="37"/>
      <c r="I280" s="38"/>
      <c r="J280" s="137"/>
      <c r="K280" s="81"/>
      <c r="L280" s="362"/>
      <c r="M280" s="127"/>
      <c r="N280" s="326"/>
    </row>
    <row r="281" spans="1:14">
      <c r="A281" s="699" t="s">
        <v>136</v>
      </c>
      <c r="B281" s="26"/>
      <c r="C281" s="190"/>
      <c r="D281" s="25"/>
      <c r="E281" s="107"/>
      <c r="F281" s="26"/>
      <c r="G281" s="119"/>
      <c r="H281" s="50"/>
      <c r="I281" s="120"/>
      <c r="J281" s="119"/>
      <c r="K281" s="121"/>
      <c r="L281" s="345"/>
      <c r="M281" s="130"/>
      <c r="N281" s="221"/>
    </row>
    <row r="282" spans="1:14">
      <c r="A282" s="660"/>
      <c r="B282" s="29" t="s">
        <v>29</v>
      </c>
      <c r="C282" s="193" t="s">
        <v>178</v>
      </c>
      <c r="D282" s="661" t="s">
        <v>179</v>
      </c>
      <c r="E282" s="662" t="s">
        <v>180</v>
      </c>
      <c r="F282" s="30" t="s">
        <v>30</v>
      </c>
      <c r="G282" s="78">
        <f>G283+G284</f>
        <v>16486909</v>
      </c>
      <c r="H282" s="14">
        <f>H283+H284</f>
        <v>4886908.6399999997</v>
      </c>
      <c r="I282" s="15">
        <f>H282/G282*100</f>
        <v>29.641145226191274</v>
      </c>
      <c r="J282" s="78">
        <f>J283+J284</f>
        <v>2320000</v>
      </c>
      <c r="K282" s="78">
        <f>K283+K284</f>
        <v>2370000</v>
      </c>
      <c r="L282" s="14">
        <f>L283+L284</f>
        <v>2361102.64</v>
      </c>
      <c r="M282" s="15">
        <f>L282/K282*100</f>
        <v>99.624583966244728</v>
      </c>
      <c r="N282" s="691" t="s">
        <v>203</v>
      </c>
    </row>
    <row r="283" spans="1:14" ht="33.75">
      <c r="A283" s="660"/>
      <c r="B283" s="29" t="s">
        <v>24</v>
      </c>
      <c r="C283" s="193" t="s">
        <v>181</v>
      </c>
      <c r="D283" s="661"/>
      <c r="E283" s="661"/>
      <c r="F283" s="31" t="s">
        <v>18</v>
      </c>
      <c r="G283" s="79">
        <v>16486909</v>
      </c>
      <c r="H283" s="54">
        <v>4886908.6399999997</v>
      </c>
      <c r="I283" s="15">
        <f>H283/G283*100</f>
        <v>29.641145226191274</v>
      </c>
      <c r="J283" s="82">
        <v>2320000</v>
      </c>
      <c r="K283" s="82">
        <v>2370000</v>
      </c>
      <c r="L283" s="363">
        <v>2361102.64</v>
      </c>
      <c r="M283" s="33">
        <f>L283/K283*100</f>
        <v>99.624583966244728</v>
      </c>
      <c r="N283" s="691"/>
    </row>
    <row r="284" spans="1:14">
      <c r="A284" s="660"/>
      <c r="B284" s="29"/>
      <c r="C284" s="193"/>
      <c r="D284" s="661"/>
      <c r="E284" s="661"/>
      <c r="F284" s="31" t="s">
        <v>23</v>
      </c>
      <c r="G284" s="79">
        <v>0</v>
      </c>
      <c r="H284" s="32">
        <v>0</v>
      </c>
      <c r="I284" s="33">
        <v>0</v>
      </c>
      <c r="J284" s="79">
        <v>0</v>
      </c>
      <c r="K284" s="79">
        <v>0</v>
      </c>
      <c r="L284" s="32">
        <v>0</v>
      </c>
      <c r="M284" s="33">
        <v>0</v>
      </c>
      <c r="N284" s="691"/>
    </row>
    <row r="285" spans="1:14" ht="12.75" customHeight="1">
      <c r="A285" s="700"/>
      <c r="B285" s="36"/>
      <c r="C285" s="194"/>
      <c r="D285" s="55"/>
      <c r="E285" s="55"/>
      <c r="F285" s="52"/>
      <c r="G285" s="126"/>
      <c r="H285" s="51"/>
      <c r="I285" s="127"/>
      <c r="J285" s="126"/>
      <c r="K285" s="128"/>
      <c r="L285" s="346"/>
      <c r="M285" s="127"/>
      <c r="N285" s="220"/>
    </row>
    <row r="286" spans="1:14" ht="12.75" customHeight="1">
      <c r="A286" s="699" t="s">
        <v>206</v>
      </c>
      <c r="B286" s="26"/>
      <c r="C286" s="190"/>
      <c r="D286" s="25"/>
      <c r="E286" s="107"/>
      <c r="F286" s="26"/>
      <c r="G286" s="77"/>
      <c r="H286" s="26"/>
      <c r="I286" s="33"/>
      <c r="J286" s="77"/>
      <c r="K286" s="76"/>
      <c r="L286" s="407"/>
      <c r="M286" s="28"/>
      <c r="N286" s="382"/>
    </row>
    <row r="287" spans="1:14" ht="12.75" customHeight="1">
      <c r="A287" s="660"/>
      <c r="B287" s="29" t="s">
        <v>29</v>
      </c>
      <c r="C287" s="193" t="s">
        <v>186</v>
      </c>
      <c r="D287" s="661" t="s">
        <v>114</v>
      </c>
      <c r="E287" s="701" t="s">
        <v>188</v>
      </c>
      <c r="F287" s="30" t="s">
        <v>30</v>
      </c>
      <c r="G287" s="78">
        <f>G288+G289</f>
        <v>2972</v>
      </c>
      <c r="H287" s="14">
        <f>H288+H289</f>
        <v>2937</v>
      </c>
      <c r="I287" s="15">
        <f>H287/G287*100</f>
        <v>98.822341857335132</v>
      </c>
      <c r="J287" s="78">
        <f>J288+J289</f>
        <v>360</v>
      </c>
      <c r="K287" s="78">
        <f>K288+K289</f>
        <v>1211</v>
      </c>
      <c r="L287" s="14">
        <f>L288+L289</f>
        <v>1176</v>
      </c>
      <c r="M287" s="15">
        <f>L287/K287*100</f>
        <v>97.109826589595372</v>
      </c>
      <c r="N287" s="691" t="s">
        <v>218</v>
      </c>
    </row>
    <row r="288" spans="1:14">
      <c r="A288" s="660"/>
      <c r="B288" s="29" t="s">
        <v>24</v>
      </c>
      <c r="C288" s="193" t="s">
        <v>187</v>
      </c>
      <c r="D288" s="661"/>
      <c r="E288" s="701"/>
      <c r="F288" s="31" t="s">
        <v>23</v>
      </c>
      <c r="G288" s="79">
        <v>2972</v>
      </c>
      <c r="H288" s="54">
        <v>2937</v>
      </c>
      <c r="I288" s="15">
        <f>H288/G288*100</f>
        <v>98.822341857335132</v>
      </c>
      <c r="J288" s="82">
        <v>360</v>
      </c>
      <c r="K288" s="82">
        <v>1211</v>
      </c>
      <c r="L288" s="363">
        <v>1176</v>
      </c>
      <c r="M288" s="33">
        <f>L288/K288*100</f>
        <v>97.109826589595372</v>
      </c>
      <c r="N288" s="691"/>
    </row>
    <row r="289" spans="1:14" ht="12.75" customHeight="1">
      <c r="A289" s="660"/>
      <c r="B289" s="29"/>
      <c r="C289" s="193"/>
      <c r="D289" s="661"/>
      <c r="E289" s="701"/>
      <c r="F289" s="31"/>
      <c r="G289" s="79"/>
      <c r="H289" s="32"/>
      <c r="I289" s="33"/>
      <c r="J289" s="79"/>
      <c r="K289" s="79"/>
      <c r="L289" s="32"/>
      <c r="M289" s="33"/>
      <c r="N289" s="691"/>
    </row>
    <row r="290" spans="1:14" ht="12.75" customHeight="1">
      <c r="A290" s="700"/>
      <c r="B290" s="123"/>
      <c r="C290" s="208"/>
      <c r="D290" s="124"/>
      <c r="E290" s="124"/>
      <c r="F290" s="125"/>
      <c r="G290" s="126"/>
      <c r="H290" s="51"/>
      <c r="I290" s="127"/>
      <c r="J290" s="126"/>
      <c r="K290" s="128"/>
      <c r="L290" s="346"/>
      <c r="M290" s="127"/>
      <c r="N290" s="220"/>
    </row>
    <row r="291" spans="1:14">
      <c r="A291" s="16"/>
      <c r="B291" s="413"/>
      <c r="C291" s="414"/>
      <c r="D291" s="17"/>
      <c r="E291" s="17"/>
      <c r="F291" s="457"/>
      <c r="G291" s="222"/>
      <c r="H291" s="48"/>
      <c r="I291" s="265"/>
      <c r="J291" s="222"/>
      <c r="K291" s="222"/>
      <c r="L291" s="343"/>
      <c r="M291" s="318"/>
      <c r="N291" s="319"/>
    </row>
    <row r="292" spans="1:14" ht="18" customHeight="1">
      <c r="A292" s="5" t="s">
        <v>210</v>
      </c>
      <c r="B292" s="702" t="s">
        <v>202</v>
      </c>
      <c r="C292" s="703"/>
      <c r="D292" s="5"/>
      <c r="E292" s="458"/>
      <c r="F292" s="459" t="s">
        <v>18</v>
      </c>
      <c r="G292" s="73">
        <f>G296+G308+G326+G341+G346+G351+G356</f>
        <v>11739035.870000001</v>
      </c>
      <c r="H292" s="73">
        <f>H296</f>
        <v>0</v>
      </c>
      <c r="I292" s="99">
        <f>H292/G292*100</f>
        <v>0</v>
      </c>
      <c r="J292" s="73">
        <f>J296</f>
        <v>1000800</v>
      </c>
      <c r="K292" s="73">
        <f>K296</f>
        <v>941800</v>
      </c>
      <c r="L292" s="8">
        <f>L296</f>
        <v>939331.87</v>
      </c>
      <c r="M292" s="181"/>
      <c r="N292" s="480"/>
    </row>
    <row r="293" spans="1:14" ht="18.75" customHeight="1">
      <c r="A293" s="20"/>
      <c r="B293" s="21"/>
      <c r="C293" s="189"/>
      <c r="D293" s="22"/>
      <c r="E293" s="460"/>
      <c r="F293" s="103"/>
      <c r="G293" s="75"/>
      <c r="H293" s="21"/>
      <c r="I293" s="24"/>
      <c r="J293" s="439"/>
      <c r="K293" s="75"/>
      <c r="L293" s="23"/>
      <c r="M293" s="182"/>
      <c r="N293" s="481"/>
    </row>
    <row r="294" spans="1:14">
      <c r="A294" s="699" t="s">
        <v>4</v>
      </c>
      <c r="B294" s="26"/>
      <c r="C294" s="190"/>
      <c r="D294" s="25"/>
      <c r="E294" s="107"/>
      <c r="F294" s="26"/>
      <c r="G294" s="77"/>
      <c r="H294" s="434"/>
      <c r="I294" s="33"/>
      <c r="J294" s="77"/>
      <c r="K294" s="76"/>
      <c r="L294" s="482"/>
      <c r="M294" s="381"/>
      <c r="N294" s="382"/>
    </row>
    <row r="295" spans="1:14" ht="48" customHeight="1">
      <c r="A295" s="660"/>
      <c r="B295" s="29" t="s">
        <v>29</v>
      </c>
      <c r="C295" s="193" t="s">
        <v>184</v>
      </c>
      <c r="D295" s="661" t="s">
        <v>183</v>
      </c>
      <c r="E295" s="661" t="s">
        <v>182</v>
      </c>
      <c r="F295" s="30" t="s">
        <v>30</v>
      </c>
      <c r="G295" s="440">
        <f>SUM(G296)</f>
        <v>5207931.87</v>
      </c>
      <c r="H295" s="440">
        <f>SUM(H296)</f>
        <v>0</v>
      </c>
      <c r="I295" s="15">
        <v>12.47</v>
      </c>
      <c r="J295" s="440">
        <f>SUM(J296)</f>
        <v>1000800</v>
      </c>
      <c r="K295" s="440">
        <f>SUM(K296)</f>
        <v>941800</v>
      </c>
      <c r="L295" s="483">
        <f>SUM(L296)</f>
        <v>939331.87</v>
      </c>
      <c r="M295" s="15">
        <v>100</v>
      </c>
      <c r="N295" s="691" t="s">
        <v>215</v>
      </c>
    </row>
    <row r="296" spans="1:14" ht="33.75">
      <c r="A296" s="660"/>
      <c r="B296" s="29" t="s">
        <v>24</v>
      </c>
      <c r="C296" s="193" t="s">
        <v>185</v>
      </c>
      <c r="D296" s="661"/>
      <c r="E296" s="661"/>
      <c r="F296" s="31" t="s">
        <v>18</v>
      </c>
      <c r="G296" s="82">
        <v>5207931.87</v>
      </c>
      <c r="H296" s="32">
        <v>0</v>
      </c>
      <c r="I296" s="33">
        <v>12.47</v>
      </c>
      <c r="J296" s="82">
        <v>1000800</v>
      </c>
      <c r="K296" s="79">
        <v>941800</v>
      </c>
      <c r="L296" s="91">
        <v>939331.87</v>
      </c>
      <c r="M296" s="15">
        <v>100</v>
      </c>
      <c r="N296" s="691"/>
    </row>
    <row r="297" spans="1:14">
      <c r="A297" s="700"/>
      <c r="B297" s="123"/>
      <c r="C297" s="208"/>
      <c r="D297" s="124"/>
      <c r="E297" s="124"/>
      <c r="F297" s="125"/>
      <c r="G297" s="137"/>
      <c r="H297" s="484"/>
      <c r="I297" s="38"/>
      <c r="J297" s="126"/>
      <c r="K297" s="128"/>
      <c r="L297" s="355"/>
      <c r="M297" s="127"/>
      <c r="N297" s="220"/>
    </row>
    <row r="298" spans="1:14">
      <c r="A298" s="5" t="s">
        <v>253</v>
      </c>
      <c r="B298" s="702" t="s">
        <v>189</v>
      </c>
      <c r="C298" s="703"/>
      <c r="D298" s="267"/>
      <c r="E298" s="267"/>
      <c r="F298" s="7"/>
      <c r="G298" s="73">
        <f>SUM(G299:G300)</f>
        <v>496411189</v>
      </c>
      <c r="H298" s="8">
        <f>SUM(H299:H300)</f>
        <v>71765142.75</v>
      </c>
      <c r="I298" s="9">
        <f>IF(G298&gt;0,H298/G298*100,"-")</f>
        <v>14.45679395232165</v>
      </c>
      <c r="J298" s="8">
        <f>SUM(J299:J300)</f>
        <v>71894000</v>
      </c>
      <c r="K298" s="73">
        <f>SUM(K299:K300)</f>
        <v>71966095</v>
      </c>
      <c r="L298" s="8">
        <f>SUM(L299:L300)</f>
        <v>71765142.75</v>
      </c>
      <c r="M298" s="9">
        <f>IF(K298&gt;0,L298/K298*100,"-")</f>
        <v>99.720768161729495</v>
      </c>
      <c r="N298" s="279"/>
    </row>
    <row r="299" spans="1:14">
      <c r="A299" s="7"/>
      <c r="B299" s="269"/>
      <c r="C299" s="270"/>
      <c r="D299" s="267"/>
      <c r="E299" s="267"/>
      <c r="F299" s="11" t="s">
        <v>18</v>
      </c>
      <c r="G299" s="74">
        <f>G303+G307+G310</f>
        <v>496411189</v>
      </c>
      <c r="H299" s="12">
        <f>H303+H307+H310</f>
        <v>71765142.75</v>
      </c>
      <c r="I299" s="13">
        <f>IF(G299&gt;0,H299/G299*100,"-")</f>
        <v>14.45679395232165</v>
      </c>
      <c r="J299" s="12">
        <f>J303+J307+J310</f>
        <v>71894000</v>
      </c>
      <c r="K299" s="74">
        <f>K303+K307+K310</f>
        <v>71966095</v>
      </c>
      <c r="L299" s="12">
        <f>L303+L307+L310</f>
        <v>71765142.75</v>
      </c>
      <c r="M299" s="13">
        <f>IF(K299&gt;0,L299/K299*100,"-")</f>
        <v>99.720768161729495</v>
      </c>
      <c r="N299" s="279"/>
    </row>
    <row r="300" spans="1:14">
      <c r="A300" s="7"/>
      <c r="B300" s="269"/>
      <c r="C300" s="270"/>
      <c r="D300" s="267"/>
      <c r="E300" s="267"/>
      <c r="F300" s="11" t="s">
        <v>23</v>
      </c>
      <c r="G300" s="74">
        <f>G304</f>
        <v>0</v>
      </c>
      <c r="H300" s="12">
        <f>H304</f>
        <v>0</v>
      </c>
      <c r="I300" s="13" t="str">
        <f>IF(G300&gt;0,H300/G300*100,"-")</f>
        <v>-</v>
      </c>
      <c r="J300" s="12">
        <f>J304</f>
        <v>0</v>
      </c>
      <c r="K300" s="74">
        <f>K304</f>
        <v>0</v>
      </c>
      <c r="L300" s="12">
        <f>L304</f>
        <v>0</v>
      </c>
      <c r="M300" s="13" t="str">
        <f>IF(K300&gt;0,L300/K300*100,"-")</f>
        <v>-</v>
      </c>
      <c r="N300" s="279"/>
    </row>
    <row r="301" spans="1:14">
      <c r="A301" s="20"/>
      <c r="B301" s="111"/>
      <c r="C301" s="206"/>
      <c r="D301" s="112"/>
      <c r="E301" s="112"/>
      <c r="F301" s="20"/>
      <c r="G301" s="75"/>
      <c r="H301" s="20"/>
      <c r="I301" s="24"/>
      <c r="J301" s="20"/>
      <c r="K301" s="75"/>
      <c r="L301" s="344"/>
      <c r="M301" s="115"/>
      <c r="N301" s="280"/>
    </row>
    <row r="302" spans="1:14" ht="67.5">
      <c r="A302" s="660" t="s">
        <v>4</v>
      </c>
      <c r="B302" s="29" t="s">
        <v>29</v>
      </c>
      <c r="C302" s="193" t="s">
        <v>190</v>
      </c>
      <c r="D302" s="661" t="s">
        <v>97</v>
      </c>
      <c r="E302" s="662" t="s">
        <v>191</v>
      </c>
      <c r="F302" s="30" t="s">
        <v>30</v>
      </c>
      <c r="G302" s="78">
        <f>SUM(G303:G304)</f>
        <v>192000</v>
      </c>
      <c r="H302" s="14">
        <f>SUM(H303:H304)</f>
        <v>48000</v>
      </c>
      <c r="I302" s="15">
        <f>IF(G302&gt;0,H302/G302*100,"-")</f>
        <v>25</v>
      </c>
      <c r="J302" s="14">
        <f>SUM(J303:J304)</f>
        <v>48000</v>
      </c>
      <c r="K302" s="78">
        <f>SUM(K303:K304)</f>
        <v>48000</v>
      </c>
      <c r="L302" s="14">
        <f>SUM(L303:L304)</f>
        <v>48000</v>
      </c>
      <c r="M302" s="15">
        <f>IF(K302&gt;0,L302/K302*100,"-")</f>
        <v>100</v>
      </c>
      <c r="N302" s="704" t="s">
        <v>204</v>
      </c>
    </row>
    <row r="303" spans="1:14" ht="22.5">
      <c r="A303" s="660"/>
      <c r="B303" s="29" t="s">
        <v>24</v>
      </c>
      <c r="C303" s="193" t="s">
        <v>192</v>
      </c>
      <c r="D303" s="661"/>
      <c r="E303" s="661"/>
      <c r="F303" s="31" t="s">
        <v>18</v>
      </c>
      <c r="G303" s="79">
        <v>192000</v>
      </c>
      <c r="H303" s="32">
        <v>48000</v>
      </c>
      <c r="I303" s="33">
        <f>IF(G303&gt;0,H303/G303*100,"-")</f>
        <v>25</v>
      </c>
      <c r="J303" s="67">
        <v>48000</v>
      </c>
      <c r="K303" s="79">
        <v>48000</v>
      </c>
      <c r="L303" s="32">
        <v>48000</v>
      </c>
      <c r="M303" s="33">
        <f>IF(K303&gt;0,L303/K303*100,"-")</f>
        <v>100</v>
      </c>
      <c r="N303" s="691"/>
    </row>
    <row r="304" spans="1:14">
      <c r="A304" s="660"/>
      <c r="B304" s="29"/>
      <c r="C304" s="193"/>
      <c r="D304" s="661"/>
      <c r="E304" s="661"/>
      <c r="F304" s="31" t="s">
        <v>23</v>
      </c>
      <c r="G304" s="79"/>
      <c r="H304" s="31"/>
      <c r="I304" s="33" t="str">
        <f>IF(G304&gt;0,H304/G304*100,"-")</f>
        <v>-</v>
      </c>
      <c r="J304" s="31"/>
      <c r="K304" s="79"/>
      <c r="L304" s="34"/>
      <c r="M304" s="33" t="str">
        <f>IF(K304&gt;0,L304/K304*100,"-")</f>
        <v>-</v>
      </c>
      <c r="N304" s="691"/>
    </row>
    <row r="305" spans="1:14">
      <c r="A305" s="700"/>
      <c r="B305" s="123"/>
      <c r="C305" s="208"/>
      <c r="D305" s="277"/>
      <c r="E305" s="277"/>
      <c r="F305" s="123"/>
      <c r="G305" s="126"/>
      <c r="H305" s="123"/>
      <c r="I305" s="127"/>
      <c r="J305" s="123"/>
      <c r="K305" s="128"/>
      <c r="L305" s="37"/>
      <c r="M305" s="127"/>
      <c r="N305" s="278"/>
    </row>
    <row r="306" spans="1:14" ht="56.25">
      <c r="A306" s="432"/>
      <c r="B306" s="29" t="s">
        <v>29</v>
      </c>
      <c r="C306" s="193" t="s">
        <v>193</v>
      </c>
      <c r="D306" s="661" t="s">
        <v>194</v>
      </c>
      <c r="E306" s="661" t="s">
        <v>195</v>
      </c>
      <c r="F306" s="30" t="s">
        <v>30</v>
      </c>
      <c r="G306" s="78">
        <f>SUM(G307:G308)</f>
        <v>100000</v>
      </c>
      <c r="H306" s="14">
        <f>SUM(H307:H308)</f>
        <v>20000</v>
      </c>
      <c r="I306" s="15">
        <f t="shared" ref="I306:I311" si="13">IF(G306&gt;0,H306/G306*100,"-")</f>
        <v>20</v>
      </c>
      <c r="J306" s="14">
        <f>SUM(J307:J308)</f>
        <v>20000</v>
      </c>
      <c r="K306" s="78">
        <f>SUM(K307:K308)</f>
        <v>20000</v>
      </c>
      <c r="L306" s="14">
        <f>SUM(L307:L308)</f>
        <v>20000</v>
      </c>
      <c r="M306" s="15">
        <f t="shared" ref="M306:M311" si="14">IF(K306&gt;0,L306/K306*100,"-")</f>
        <v>100</v>
      </c>
      <c r="N306" s="691" t="s">
        <v>205</v>
      </c>
    </row>
    <row r="307" spans="1:14" ht="33.75">
      <c r="A307" s="432" t="s">
        <v>51</v>
      </c>
      <c r="B307" s="29" t="s">
        <v>24</v>
      </c>
      <c r="C307" s="193" t="s">
        <v>196</v>
      </c>
      <c r="D307" s="661"/>
      <c r="E307" s="661"/>
      <c r="F307" s="31" t="s">
        <v>18</v>
      </c>
      <c r="G307" s="79">
        <v>100000</v>
      </c>
      <c r="H307" s="32">
        <v>20000</v>
      </c>
      <c r="I307" s="33">
        <f t="shared" si="13"/>
        <v>20</v>
      </c>
      <c r="J307" s="67">
        <v>20000</v>
      </c>
      <c r="K307" s="79">
        <v>20000</v>
      </c>
      <c r="L307" s="32">
        <v>20000</v>
      </c>
      <c r="M307" s="33">
        <f t="shared" si="14"/>
        <v>100</v>
      </c>
      <c r="N307" s="691"/>
    </row>
    <row r="308" spans="1:14">
      <c r="A308" s="370"/>
      <c r="B308" s="29"/>
      <c r="C308" s="193"/>
      <c r="D308" s="661"/>
      <c r="E308" s="661"/>
      <c r="F308" s="31"/>
      <c r="G308" s="79"/>
      <c r="H308" s="31"/>
      <c r="I308" s="33" t="str">
        <f t="shared" si="13"/>
        <v>-</v>
      </c>
      <c r="J308" s="31"/>
      <c r="K308" s="79"/>
      <c r="L308" s="34"/>
      <c r="M308" s="33" t="str">
        <f t="shared" si="14"/>
        <v>-</v>
      </c>
      <c r="N308" s="691"/>
    </row>
    <row r="309" spans="1:14" ht="33.75">
      <c r="A309" s="787" t="s">
        <v>56</v>
      </c>
      <c r="B309" s="26" t="s">
        <v>29</v>
      </c>
      <c r="C309" s="190" t="s">
        <v>197</v>
      </c>
      <c r="D309" s="711" t="s">
        <v>39</v>
      </c>
      <c r="E309" s="711"/>
      <c r="F309" s="386" t="s">
        <v>30</v>
      </c>
      <c r="G309" s="441">
        <f>SUM(G310:G311)</f>
        <v>496119189</v>
      </c>
      <c r="H309" s="442">
        <f>SUM(H310:H311)</f>
        <v>71697142.75</v>
      </c>
      <c r="I309" s="408">
        <f t="shared" si="13"/>
        <v>14.451596378385597</v>
      </c>
      <c r="J309" s="442">
        <f>SUM(J310:J311)</f>
        <v>71826000</v>
      </c>
      <c r="K309" s="441">
        <f>SUM(K310:K311)</f>
        <v>71898095</v>
      </c>
      <c r="L309" s="442">
        <f>SUM(L310:L311)</f>
        <v>71697142.75</v>
      </c>
      <c r="M309" s="408">
        <f t="shared" si="14"/>
        <v>99.720504068988205</v>
      </c>
      <c r="N309" s="704" t="s">
        <v>198</v>
      </c>
    </row>
    <row r="310" spans="1:14">
      <c r="A310" s="788"/>
      <c r="B310" s="29" t="s">
        <v>24</v>
      </c>
      <c r="C310" s="192" t="s">
        <v>199</v>
      </c>
      <c r="D310" s="661"/>
      <c r="E310" s="661"/>
      <c r="F310" s="31" t="s">
        <v>18</v>
      </c>
      <c r="G310" s="79">
        <v>496119189</v>
      </c>
      <c r="H310" s="32">
        <v>71697142.75</v>
      </c>
      <c r="I310" s="33">
        <f t="shared" si="13"/>
        <v>14.451596378385597</v>
      </c>
      <c r="J310" s="67">
        <v>71826000</v>
      </c>
      <c r="K310" s="177">
        <v>71898095</v>
      </c>
      <c r="L310" s="32">
        <v>71697142.75</v>
      </c>
      <c r="M310" s="33">
        <f t="shared" si="14"/>
        <v>99.720504068988205</v>
      </c>
      <c r="N310" s="691"/>
    </row>
    <row r="311" spans="1:14">
      <c r="A311" s="788"/>
      <c r="B311" s="29"/>
      <c r="C311" s="193" t="s">
        <v>200</v>
      </c>
      <c r="D311" s="661"/>
      <c r="E311" s="661"/>
      <c r="F311" s="31" t="s">
        <v>23</v>
      </c>
      <c r="G311" s="79"/>
      <c r="H311" s="31"/>
      <c r="I311" s="33" t="str">
        <f t="shared" si="13"/>
        <v>-</v>
      </c>
      <c r="J311" s="31"/>
      <c r="K311" s="79"/>
      <c r="L311" s="34"/>
      <c r="M311" s="33" t="str">
        <f t="shared" si="14"/>
        <v>-</v>
      </c>
      <c r="N311" s="691"/>
    </row>
    <row r="312" spans="1:14">
      <c r="A312" s="35"/>
      <c r="B312" s="36"/>
      <c r="C312" s="194"/>
      <c r="D312" s="35"/>
      <c r="E312" s="35"/>
      <c r="F312" s="36"/>
      <c r="G312" s="51"/>
      <c r="H312" s="51"/>
      <c r="I312" s="123"/>
      <c r="J312" s="123"/>
      <c r="K312" s="128"/>
      <c r="L312" s="331"/>
      <c r="M312" s="127"/>
      <c r="N312" s="278"/>
    </row>
    <row r="313" spans="1:14" s="40" customFormat="1">
      <c r="A313" s="5" t="s">
        <v>257</v>
      </c>
      <c r="B313" s="702" t="s">
        <v>378</v>
      </c>
      <c r="C313" s="703"/>
      <c r="D313" s="6"/>
      <c r="E313" s="6"/>
      <c r="F313" s="7"/>
      <c r="G313" s="73">
        <f>SUM(G314:G315)</f>
        <v>0</v>
      </c>
      <c r="H313" s="8">
        <f>SUM(H314:H315)</f>
        <v>0</v>
      </c>
      <c r="I313" s="9" t="str">
        <f>IF(G313&gt;0,H313/G313*100,"-")</f>
        <v>-</v>
      </c>
      <c r="J313" s="8">
        <f>SUM(J314:J315)</f>
        <v>0</v>
      </c>
      <c r="K313" s="73">
        <f>SUM(K314:K315)</f>
        <v>40000</v>
      </c>
      <c r="L313" s="8">
        <f>SUM(L314:L315)</f>
        <v>0</v>
      </c>
      <c r="M313" s="9">
        <f>IF(K313&gt;0,L313/K313*100,"-")</f>
        <v>0</v>
      </c>
      <c r="N313" s="213"/>
    </row>
    <row r="314" spans="1:14" s="40" customFormat="1">
      <c r="A314" s="7"/>
      <c r="B314" s="10"/>
      <c r="C314" s="188"/>
      <c r="D314" s="6"/>
      <c r="E314" s="6"/>
      <c r="F314" s="11" t="s">
        <v>18</v>
      </c>
      <c r="G314" s="74">
        <f>G318</f>
        <v>0</v>
      </c>
      <c r="H314" s="74">
        <f>H318</f>
        <v>0</v>
      </c>
      <c r="I314" s="13" t="str">
        <f>IF(G314&gt;0,H314/G314*100,"-")</f>
        <v>-</v>
      </c>
      <c r="J314" s="12">
        <f>J318</f>
        <v>0</v>
      </c>
      <c r="K314" s="74">
        <f>K318</f>
        <v>40000</v>
      </c>
      <c r="L314" s="12">
        <f>L318</f>
        <v>0</v>
      </c>
      <c r="M314" s="13">
        <f>IF(K314&gt;0,L314/K314*100,"-")</f>
        <v>0</v>
      </c>
      <c r="N314" s="213"/>
    </row>
    <row r="315" spans="1:14" s="40" customFormat="1">
      <c r="A315" s="7"/>
      <c r="B315" s="10"/>
      <c r="C315" s="188"/>
      <c r="D315" s="6"/>
      <c r="E315" s="6"/>
      <c r="F315" s="11"/>
      <c r="G315" s="74"/>
      <c r="H315" s="74"/>
      <c r="I315" s="13"/>
      <c r="J315" s="12"/>
      <c r="K315" s="74"/>
      <c r="L315" s="74"/>
      <c r="M315" s="13"/>
      <c r="N315" s="213"/>
    </row>
    <row r="316" spans="1:14" s="40" customFormat="1">
      <c r="A316" s="20"/>
      <c r="B316" s="21"/>
      <c r="C316" s="189"/>
      <c r="D316" s="22"/>
      <c r="E316" s="22"/>
      <c r="F316" s="20"/>
      <c r="G316" s="114"/>
      <c r="H316" s="49"/>
      <c r="I316" s="115"/>
      <c r="J316" s="49"/>
      <c r="K316" s="114"/>
      <c r="L316" s="463"/>
      <c r="M316" s="115"/>
      <c r="N316" s="214"/>
    </row>
    <row r="317" spans="1:14" ht="33.75">
      <c r="A317" s="660" t="s">
        <v>4</v>
      </c>
      <c r="B317" s="29" t="s">
        <v>29</v>
      </c>
      <c r="C317" s="193" t="s">
        <v>379</v>
      </c>
      <c r="D317" s="661" t="s">
        <v>381</v>
      </c>
      <c r="E317" s="662" t="s">
        <v>382</v>
      </c>
      <c r="F317" s="30" t="s">
        <v>30</v>
      </c>
      <c r="G317" s="78">
        <f>SUM(G318:G319)</f>
        <v>0</v>
      </c>
      <c r="H317" s="14">
        <f>SUM(H318:H319)</f>
        <v>0</v>
      </c>
      <c r="I317" s="15" t="str">
        <f>IF(G317&gt;0,H317/G317*100,"-")</f>
        <v>-</v>
      </c>
      <c r="J317" s="14">
        <f>SUM(J318:J319)</f>
        <v>0</v>
      </c>
      <c r="K317" s="78">
        <f>SUM(K318:K319)</f>
        <v>40000</v>
      </c>
      <c r="L317" s="14">
        <f>SUM(L318:L319)</f>
        <v>0</v>
      </c>
      <c r="M317" s="15">
        <f>IF(K317&gt;0,L317/K317*100,"-")</f>
        <v>0</v>
      </c>
      <c r="N317" s="704" t="s">
        <v>204</v>
      </c>
    </row>
    <row r="318" spans="1:14" ht="33.75">
      <c r="A318" s="660"/>
      <c r="B318" s="29" t="s">
        <v>24</v>
      </c>
      <c r="C318" s="193" t="s">
        <v>380</v>
      </c>
      <c r="D318" s="661"/>
      <c r="E318" s="661"/>
      <c r="F318" s="31" t="s">
        <v>18</v>
      </c>
      <c r="G318" s="79">
        <v>0</v>
      </c>
      <c r="H318" s="32">
        <v>0</v>
      </c>
      <c r="I318" s="33" t="str">
        <f>IF(G318&gt;0,H318/G318*100,"-")</f>
        <v>-</v>
      </c>
      <c r="J318" s="67">
        <v>0</v>
      </c>
      <c r="K318" s="79">
        <v>40000</v>
      </c>
      <c r="L318" s="32">
        <v>0</v>
      </c>
      <c r="M318" s="33">
        <f>IF(K318&gt;0,L318/K318*100,"-")</f>
        <v>0</v>
      </c>
      <c r="N318" s="691"/>
    </row>
    <row r="319" spans="1:14">
      <c r="A319" s="660"/>
      <c r="B319" s="29"/>
      <c r="C319" s="193"/>
      <c r="D319" s="661"/>
      <c r="E319" s="661"/>
      <c r="F319" s="31"/>
      <c r="G319" s="79"/>
      <c r="H319" s="31"/>
      <c r="I319" s="33" t="str">
        <f>IF(G319&gt;0,H319/G319*100,"-")</f>
        <v>-</v>
      </c>
      <c r="J319" s="31"/>
      <c r="K319" s="79"/>
      <c r="L319" s="330"/>
      <c r="M319" s="33" t="str">
        <f>IF(K319&gt;0,L319/K319*100,"-")</f>
        <v>-</v>
      </c>
      <c r="N319" s="691"/>
    </row>
    <row r="320" spans="1:14">
      <c r="A320" s="700"/>
      <c r="B320" s="123"/>
      <c r="C320" s="208"/>
      <c r="D320" s="277"/>
      <c r="E320" s="277"/>
      <c r="F320" s="123"/>
      <c r="G320" s="126"/>
      <c r="H320" s="123"/>
      <c r="I320" s="127"/>
      <c r="J320" s="123"/>
      <c r="K320" s="128"/>
      <c r="L320" s="331"/>
      <c r="M320" s="127"/>
      <c r="N320" s="278"/>
    </row>
    <row r="321" spans="1:14" s="39" customFormat="1" ht="3.95" customHeight="1">
      <c r="A321" s="643"/>
      <c r="B321" s="507"/>
      <c r="C321" s="508"/>
      <c r="D321" s="692"/>
      <c r="E321" s="643"/>
      <c r="F321" s="507"/>
      <c r="G321" s="509"/>
      <c r="H321" s="509"/>
      <c r="I321" s="504"/>
      <c r="J321" s="509"/>
      <c r="K321" s="465"/>
      <c r="L321" s="510"/>
      <c r="M321" s="504"/>
      <c r="N321" s="511"/>
    </row>
    <row r="322" spans="1:14" s="40" customFormat="1" ht="11.45" customHeight="1">
      <c r="A322" s="429" t="s">
        <v>219</v>
      </c>
      <c r="B322" s="695" t="s">
        <v>220</v>
      </c>
      <c r="C322" s="696"/>
      <c r="D322" s="693"/>
      <c r="E322" s="643"/>
      <c r="F322" s="430"/>
      <c r="G322" s="464">
        <f>SUM(G323:G326)</f>
        <v>406405852</v>
      </c>
      <c r="H322" s="464">
        <f>SUM(H323:H326)</f>
        <v>117912959</v>
      </c>
      <c r="I322" s="501">
        <f>IF(G322&gt;0,H322/G322*100,"-")</f>
        <v>29.013597717584044</v>
      </c>
      <c r="J322" s="464">
        <f>SUM(J323:J326)</f>
        <v>47454419</v>
      </c>
      <c r="K322" s="464">
        <f>SUM(K323:K326)</f>
        <v>40047391</v>
      </c>
      <c r="L322" s="461">
        <f>SUM(L323:L326)</f>
        <v>33895373.109999999</v>
      </c>
      <c r="M322" s="501">
        <f>IF(K322&gt;0,L322/K322*100,"-")</f>
        <v>84.63815560419404</v>
      </c>
      <c r="N322" s="512"/>
    </row>
    <row r="323" spans="1:14" s="40" customFormat="1" ht="11.45" customHeight="1">
      <c r="A323" s="430"/>
      <c r="B323" s="697" t="s">
        <v>18</v>
      </c>
      <c r="C323" s="698"/>
      <c r="D323" s="693"/>
      <c r="E323" s="643"/>
      <c r="F323" s="645"/>
      <c r="G323" s="465">
        <f t="shared" ref="G323:H325" si="15">G330+G365+G425+G460+G681+G702+G908+G922+G936</f>
        <v>378327594</v>
      </c>
      <c r="H323" s="465">
        <f t="shared" si="15"/>
        <v>98491842</v>
      </c>
      <c r="I323" s="504">
        <f>IF(G323&gt;0,H323/G323*100,"-")</f>
        <v>26.033480920241836</v>
      </c>
      <c r="J323" s="465">
        <f t="shared" ref="J323:L325" si="16">J330+J365+J425+J460+J681+J702+J908+J922+J936</f>
        <v>36558729</v>
      </c>
      <c r="K323" s="465">
        <f t="shared" si="16"/>
        <v>30091298</v>
      </c>
      <c r="L323" s="462">
        <f t="shared" si="16"/>
        <v>24082207.559999999</v>
      </c>
      <c r="M323" s="504">
        <f>IF(K323&gt;0,L323/K323*100,"-")</f>
        <v>80.030471134877587</v>
      </c>
      <c r="N323" s="512"/>
    </row>
    <row r="324" spans="1:14" s="40" customFormat="1" ht="11.45" customHeight="1">
      <c r="A324" s="430"/>
      <c r="B324" s="697" t="s">
        <v>221</v>
      </c>
      <c r="C324" s="698"/>
      <c r="D324" s="693"/>
      <c r="E324" s="643"/>
      <c r="F324" s="645"/>
      <c r="G324" s="465">
        <f t="shared" si="15"/>
        <v>8489694</v>
      </c>
      <c r="H324" s="465">
        <f t="shared" si="15"/>
        <v>8488081</v>
      </c>
      <c r="I324" s="504">
        <f t="shared" ref="I324:I326" si="17">IF(G324&gt;0,H324/G324*100,"-")</f>
        <v>99.981000493068422</v>
      </c>
      <c r="J324" s="465">
        <f t="shared" si="16"/>
        <v>7255407</v>
      </c>
      <c r="K324" s="465">
        <f t="shared" si="16"/>
        <v>6784600</v>
      </c>
      <c r="L324" s="462">
        <f t="shared" si="16"/>
        <v>6782985.5999999996</v>
      </c>
      <c r="M324" s="504">
        <f t="shared" ref="M324:M326" si="18">IF(K324&gt;0,L324/K324*100,"-")</f>
        <v>99.976204934705066</v>
      </c>
      <c r="N324" s="512"/>
    </row>
    <row r="325" spans="1:14" s="40" customFormat="1" ht="11.45" customHeight="1">
      <c r="A325" s="430"/>
      <c r="B325" s="697" t="s">
        <v>23</v>
      </c>
      <c r="C325" s="698"/>
      <c r="D325" s="693"/>
      <c r="E325" s="643"/>
      <c r="F325" s="645"/>
      <c r="G325" s="465">
        <f t="shared" si="15"/>
        <v>19588564</v>
      </c>
      <c r="H325" s="465">
        <f t="shared" si="15"/>
        <v>10933036</v>
      </c>
      <c r="I325" s="504">
        <f t="shared" si="17"/>
        <v>55.81336130611718</v>
      </c>
      <c r="J325" s="465">
        <f t="shared" si="16"/>
        <v>3640283</v>
      </c>
      <c r="K325" s="465">
        <f t="shared" si="16"/>
        <v>3171493</v>
      </c>
      <c r="L325" s="462">
        <f t="shared" si="16"/>
        <v>3030179.95</v>
      </c>
      <c r="M325" s="504">
        <f t="shared" si="18"/>
        <v>95.544273627594322</v>
      </c>
      <c r="N325" s="512"/>
    </row>
    <row r="326" spans="1:14" s="40" customFormat="1" ht="11.45" hidden="1" customHeight="1">
      <c r="A326" s="430"/>
      <c r="B326" s="645" t="s">
        <v>383</v>
      </c>
      <c r="C326" s="646"/>
      <c r="D326" s="693"/>
      <c r="E326" s="643"/>
      <c r="F326" s="645"/>
      <c r="G326" s="465">
        <f t="shared" ref="G326:H326" si="19">G333+G368+G428+G463+G684+G705+G911+G925+G939</f>
        <v>0</v>
      </c>
      <c r="H326" s="465">
        <f t="shared" si="19"/>
        <v>0</v>
      </c>
      <c r="I326" s="504" t="str">
        <f t="shared" si="17"/>
        <v>-</v>
      </c>
      <c r="J326" s="465">
        <f t="shared" ref="J326:L326" si="20">J333+J368+J428+J463+J684+J705+J911+J925+J939</f>
        <v>0</v>
      </c>
      <c r="K326" s="465">
        <f t="shared" si="20"/>
        <v>0</v>
      </c>
      <c r="L326" s="462">
        <f t="shared" si="20"/>
        <v>0</v>
      </c>
      <c r="M326" s="504" t="str">
        <f t="shared" si="18"/>
        <v>-</v>
      </c>
      <c r="N326" s="512"/>
    </row>
    <row r="327" spans="1:14" s="40" customFormat="1" ht="3.95" customHeight="1">
      <c r="A327" s="431"/>
      <c r="B327" s="513"/>
      <c r="C327" s="514"/>
      <c r="D327" s="694"/>
      <c r="E327" s="644"/>
      <c r="F327" s="431"/>
      <c r="G327" s="515"/>
      <c r="H327" s="515"/>
      <c r="I327" s="516"/>
      <c r="J327" s="515"/>
      <c r="K327" s="515"/>
      <c r="L327" s="517"/>
      <c r="M327" s="516"/>
      <c r="N327" s="518"/>
    </row>
    <row r="328" spans="1:14" s="40" customFormat="1" ht="3.95" customHeight="1">
      <c r="A328" s="16"/>
      <c r="B328" s="413"/>
      <c r="C328" s="519"/>
      <c r="D328" s="17"/>
      <c r="E328" s="17"/>
      <c r="F328" s="16"/>
      <c r="G328" s="72"/>
      <c r="H328" s="72"/>
      <c r="I328" s="19"/>
      <c r="J328" s="72"/>
      <c r="K328" s="72"/>
      <c r="L328" s="18"/>
      <c r="M328" s="19"/>
      <c r="N328" s="520"/>
    </row>
    <row r="329" spans="1:14" s="40" customFormat="1" ht="11.25" customHeight="1">
      <c r="A329" s="5" t="s">
        <v>4</v>
      </c>
      <c r="B329" s="658" t="s">
        <v>222</v>
      </c>
      <c r="C329" s="659"/>
      <c r="D329" s="6"/>
      <c r="E329" s="6"/>
      <c r="F329" s="7"/>
      <c r="G329" s="73">
        <f>SUM(G330:G333)</f>
        <v>10419154</v>
      </c>
      <c r="H329" s="73">
        <f>SUM(H330:H333)</f>
        <v>1458623</v>
      </c>
      <c r="I329" s="9">
        <f>IF(G329&gt;0,H329/G329*100,"-")</f>
        <v>13.999437958206586</v>
      </c>
      <c r="J329" s="73">
        <f>SUM(J330:J333)</f>
        <v>40000</v>
      </c>
      <c r="K329" s="73">
        <f>SUM(K330:K333)</f>
        <v>35868</v>
      </c>
      <c r="L329" s="8">
        <f>SUM(L330:L333)</f>
        <v>35868</v>
      </c>
      <c r="M329" s="9">
        <f>IF(K329&gt;0,L329/K329*100,"-")</f>
        <v>100</v>
      </c>
      <c r="N329" s="521"/>
    </row>
    <row r="330" spans="1:14" s="40" customFormat="1" ht="11.25" customHeight="1">
      <c r="A330" s="7"/>
      <c r="B330" s="10"/>
      <c r="C330" s="522"/>
      <c r="D330" s="6"/>
      <c r="E330" s="6"/>
      <c r="F330" s="11" t="s">
        <v>18</v>
      </c>
      <c r="G330" s="74">
        <f t="shared" ref="G330:H333" si="21">G337+G344+G351+G358</f>
        <v>10419154</v>
      </c>
      <c r="H330" s="74">
        <f t="shared" si="21"/>
        <v>1458623</v>
      </c>
      <c r="I330" s="13">
        <f>IF(G330&gt;0,H330/G330*100,"-")</f>
        <v>13.999437958206586</v>
      </c>
      <c r="J330" s="74">
        <f t="shared" ref="J330:L333" si="22">J337+J344+J351+J358</f>
        <v>40000</v>
      </c>
      <c r="K330" s="74">
        <f t="shared" si="22"/>
        <v>35868</v>
      </c>
      <c r="L330" s="12">
        <f t="shared" si="22"/>
        <v>35868</v>
      </c>
      <c r="M330" s="13">
        <f>IF(K330&gt;0,L330/K330*100,"-")</f>
        <v>100</v>
      </c>
      <c r="N330" s="521"/>
    </row>
    <row r="331" spans="1:14" s="40" customFormat="1" ht="11.25" customHeight="1">
      <c r="A331" s="7"/>
      <c r="B331" s="10"/>
      <c r="C331" s="522"/>
      <c r="D331" s="6"/>
      <c r="E331" s="6"/>
      <c r="F331" s="11" t="s">
        <v>221</v>
      </c>
      <c r="G331" s="74">
        <f t="shared" si="21"/>
        <v>0</v>
      </c>
      <c r="H331" s="74">
        <f t="shared" si="21"/>
        <v>0</v>
      </c>
      <c r="I331" s="13" t="str">
        <f t="shared" ref="I331:I333" si="23">IF(G331&gt;0,H331/G331*100,"-")</f>
        <v>-</v>
      </c>
      <c r="J331" s="74">
        <f t="shared" si="22"/>
        <v>0</v>
      </c>
      <c r="K331" s="74">
        <f t="shared" si="22"/>
        <v>0</v>
      </c>
      <c r="L331" s="12">
        <f t="shared" si="22"/>
        <v>0</v>
      </c>
      <c r="M331" s="13" t="str">
        <f t="shared" ref="M331:M333" si="24">IF(K331&gt;0,L331/K331*100,"-")</f>
        <v>-</v>
      </c>
      <c r="N331" s="521"/>
    </row>
    <row r="332" spans="1:14" s="40" customFormat="1" ht="11.25" customHeight="1">
      <c r="A332" s="7"/>
      <c r="B332" s="10"/>
      <c r="C332" s="522"/>
      <c r="D332" s="6"/>
      <c r="E332" s="6"/>
      <c r="F332" s="11" t="s">
        <v>23</v>
      </c>
      <c r="G332" s="74">
        <f t="shared" si="21"/>
        <v>0</v>
      </c>
      <c r="H332" s="74">
        <f t="shared" si="21"/>
        <v>0</v>
      </c>
      <c r="I332" s="13" t="str">
        <f t="shared" si="23"/>
        <v>-</v>
      </c>
      <c r="J332" s="74">
        <f t="shared" si="22"/>
        <v>0</v>
      </c>
      <c r="K332" s="74">
        <f t="shared" si="22"/>
        <v>0</v>
      </c>
      <c r="L332" s="12">
        <f t="shared" si="22"/>
        <v>0</v>
      </c>
      <c r="M332" s="13" t="str">
        <f t="shared" si="24"/>
        <v>-</v>
      </c>
      <c r="N332" s="521"/>
    </row>
    <row r="333" spans="1:14" s="40" customFormat="1" ht="11.25" hidden="1" customHeight="1">
      <c r="A333" s="7"/>
      <c r="B333" s="10"/>
      <c r="C333" s="522"/>
      <c r="D333" s="6"/>
      <c r="E333" s="6"/>
      <c r="F333" s="11" t="s">
        <v>383</v>
      </c>
      <c r="G333" s="74">
        <f t="shared" si="21"/>
        <v>0</v>
      </c>
      <c r="H333" s="74">
        <f t="shared" si="21"/>
        <v>0</v>
      </c>
      <c r="I333" s="13" t="str">
        <f t="shared" si="23"/>
        <v>-</v>
      </c>
      <c r="J333" s="74">
        <f t="shared" si="22"/>
        <v>0</v>
      </c>
      <c r="K333" s="74">
        <f t="shared" si="22"/>
        <v>0</v>
      </c>
      <c r="L333" s="12">
        <f t="shared" si="22"/>
        <v>0</v>
      </c>
      <c r="M333" s="13" t="str">
        <f t="shared" si="24"/>
        <v>-</v>
      </c>
      <c r="N333" s="521"/>
    </row>
    <row r="334" spans="1:14" s="40" customFormat="1" ht="3.95" customHeight="1">
      <c r="A334" s="20"/>
      <c r="B334" s="21"/>
      <c r="C334" s="523"/>
      <c r="D334" s="22"/>
      <c r="E334" s="22"/>
      <c r="F334" s="20"/>
      <c r="G334" s="75"/>
      <c r="H334" s="75"/>
      <c r="I334" s="24"/>
      <c r="J334" s="75"/>
      <c r="K334" s="75"/>
      <c r="L334" s="23"/>
      <c r="M334" s="24"/>
      <c r="N334" s="524"/>
    </row>
    <row r="335" spans="1:14" s="40" customFormat="1" ht="3.95" customHeight="1" outlineLevel="1">
      <c r="A335" s="434"/>
      <c r="B335" s="26"/>
      <c r="C335" s="525"/>
      <c r="D335" s="639"/>
      <c r="E335" s="639"/>
      <c r="F335" s="26"/>
      <c r="G335" s="77"/>
      <c r="H335" s="77"/>
      <c r="I335" s="28"/>
      <c r="J335" s="77"/>
      <c r="K335" s="76"/>
      <c r="L335" s="407"/>
      <c r="M335" s="376"/>
      <c r="N335" s="526"/>
    </row>
    <row r="336" spans="1:14" s="40" customFormat="1" ht="21.75" customHeight="1" outlineLevel="1">
      <c r="A336" s="660" t="s">
        <v>4</v>
      </c>
      <c r="B336" s="29" t="s">
        <v>29</v>
      </c>
      <c r="C336" s="666" t="s">
        <v>556</v>
      </c>
      <c r="D336" s="661" t="s">
        <v>272</v>
      </c>
      <c r="E336" s="661" t="s">
        <v>54</v>
      </c>
      <c r="F336" s="30" t="s">
        <v>30</v>
      </c>
      <c r="G336" s="78">
        <f>SUM(G337:G340)</f>
        <v>901500</v>
      </c>
      <c r="H336" s="78">
        <f>SUM(H337:H340)</f>
        <v>332137</v>
      </c>
      <c r="I336" s="15">
        <f>IF(G336&gt;0,H336/G336*100,"-")</f>
        <v>36.842706600110922</v>
      </c>
      <c r="J336" s="78">
        <f>SUM(J337:J340)</f>
        <v>0</v>
      </c>
      <c r="K336" s="78">
        <f>SUM(K337:K340)</f>
        <v>0</v>
      </c>
      <c r="L336" s="14">
        <f>SUM(L337:L340)</f>
        <v>0</v>
      </c>
      <c r="M336" s="15" t="str">
        <f>IF(K336&gt;0,L336/K336*100,"-")</f>
        <v>-</v>
      </c>
      <c r="N336" s="671" t="s">
        <v>384</v>
      </c>
    </row>
    <row r="337" spans="1:15" s="40" customFormat="1" ht="22.5" customHeight="1" outlineLevel="1">
      <c r="A337" s="660"/>
      <c r="B337" s="29"/>
      <c r="C337" s="666"/>
      <c r="D337" s="661"/>
      <c r="E337" s="661"/>
      <c r="F337" s="31" t="s">
        <v>18</v>
      </c>
      <c r="G337" s="79">
        <v>901500</v>
      </c>
      <c r="H337" s="79">
        <f>ROUNDUP(332137+L337,0)</f>
        <v>332137</v>
      </c>
      <c r="I337" s="33">
        <f>IF(G337&gt;0,H337/G337*100,"-")</f>
        <v>36.842706600110922</v>
      </c>
      <c r="J337" s="79">
        <v>0</v>
      </c>
      <c r="K337" s="79">
        <v>0</v>
      </c>
      <c r="L337" s="34">
        <v>0</v>
      </c>
      <c r="M337" s="381" t="str">
        <f t="shared" ref="M337:M339" si="25">IF(K337&gt;0,L337/K337*100,"-")</f>
        <v>-</v>
      </c>
      <c r="N337" s="671"/>
    </row>
    <row r="338" spans="1:15" s="40" customFormat="1" ht="16.5" customHeight="1" outlineLevel="1">
      <c r="A338" s="660"/>
      <c r="B338" s="29" t="s">
        <v>24</v>
      </c>
      <c r="C338" s="657" t="s">
        <v>223</v>
      </c>
      <c r="D338" s="661"/>
      <c r="E338" s="661"/>
      <c r="F338" s="31" t="s">
        <v>221</v>
      </c>
      <c r="G338" s="79">
        <v>0</v>
      </c>
      <c r="H338" s="79">
        <f>ROUNDUP(0+L338,0)</f>
        <v>0</v>
      </c>
      <c r="I338" s="33" t="str">
        <f>IF(G338&gt;0,H338/G338*100,"-")</f>
        <v>-</v>
      </c>
      <c r="J338" s="79">
        <v>0</v>
      </c>
      <c r="K338" s="79">
        <v>0</v>
      </c>
      <c r="L338" s="363">
        <v>0</v>
      </c>
      <c r="M338" s="381" t="str">
        <f t="shared" si="25"/>
        <v>-</v>
      </c>
      <c r="N338" s="671"/>
    </row>
    <row r="339" spans="1:15" s="40" customFormat="1" ht="11.1" customHeight="1" outlineLevel="1">
      <c r="A339" s="660"/>
      <c r="B339" s="29"/>
      <c r="C339" s="657"/>
      <c r="D339" s="661"/>
      <c r="E339" s="661"/>
      <c r="F339" s="31" t="s">
        <v>23</v>
      </c>
      <c r="G339" s="79">
        <v>0</v>
      </c>
      <c r="H339" s="79">
        <f>ROUNDUP(0+L339,0)</f>
        <v>0</v>
      </c>
      <c r="I339" s="33" t="str">
        <f t="shared" ref="I339" si="26">IF(G339&gt;0,H339/G339*100,"-")</f>
        <v>-</v>
      </c>
      <c r="J339" s="79">
        <v>0</v>
      </c>
      <c r="K339" s="79">
        <v>0</v>
      </c>
      <c r="L339" s="363">
        <v>0</v>
      </c>
      <c r="M339" s="381" t="str">
        <f t="shared" si="25"/>
        <v>-</v>
      </c>
      <c r="N339" s="671"/>
    </row>
    <row r="340" spans="1:15" s="40" customFormat="1" ht="11.1" customHeight="1" outlineLevel="1">
      <c r="A340" s="632"/>
      <c r="B340" s="29"/>
      <c r="C340" s="528"/>
      <c r="D340" s="661"/>
      <c r="E340" s="661"/>
      <c r="F340" s="53"/>
      <c r="G340" s="79"/>
      <c r="H340" s="79"/>
      <c r="I340" s="33"/>
      <c r="J340" s="79"/>
      <c r="K340" s="79"/>
      <c r="L340" s="363"/>
      <c r="M340" s="381"/>
      <c r="N340" s="671"/>
    </row>
    <row r="341" spans="1:15" s="40" customFormat="1" ht="3.95" customHeight="1" outlineLevel="1">
      <c r="A341" s="62"/>
      <c r="B341" s="36"/>
      <c r="C341" s="529"/>
      <c r="D341" s="638"/>
      <c r="E341" s="638"/>
      <c r="F341" s="36"/>
      <c r="G341" s="137"/>
      <c r="H341" s="137"/>
      <c r="I341" s="36"/>
      <c r="J341" s="137"/>
      <c r="K341" s="81"/>
      <c r="L341" s="37"/>
      <c r="M341" s="381"/>
      <c r="N341" s="530"/>
    </row>
    <row r="342" spans="1:15" s="40" customFormat="1" ht="3.95" customHeight="1" outlineLevel="1">
      <c r="A342" s="434"/>
      <c r="B342" s="26"/>
      <c r="C342" s="525"/>
      <c r="D342" s="639"/>
      <c r="E342" s="639"/>
      <c r="F342" s="26"/>
      <c r="G342" s="77"/>
      <c r="H342" s="77"/>
      <c r="I342" s="28"/>
      <c r="J342" s="77"/>
      <c r="K342" s="76"/>
      <c r="L342" s="407"/>
      <c r="M342" s="376"/>
      <c r="N342" s="526"/>
    </row>
    <row r="343" spans="1:15" s="40" customFormat="1" ht="11.1" customHeight="1" outlineLevel="1">
      <c r="A343" s="660" t="s">
        <v>51</v>
      </c>
      <c r="B343" s="29" t="s">
        <v>29</v>
      </c>
      <c r="C343" s="666" t="s">
        <v>555</v>
      </c>
      <c r="D343" s="661" t="s">
        <v>245</v>
      </c>
      <c r="E343" s="661" t="s">
        <v>54</v>
      </c>
      <c r="F343" s="30" t="s">
        <v>30</v>
      </c>
      <c r="G343" s="78">
        <f>SUM(G344:G347)</f>
        <v>428384</v>
      </c>
      <c r="H343" s="78">
        <f>SUM(H344:H347)</f>
        <v>395384</v>
      </c>
      <c r="I343" s="15">
        <f>IF(G343&gt;0,H343/G343*100,"-")</f>
        <v>92.296631059983568</v>
      </c>
      <c r="J343" s="78">
        <f>SUM(J344:J347)</f>
        <v>40000</v>
      </c>
      <c r="K343" s="78">
        <f>SUM(K344:K347)</f>
        <v>0</v>
      </c>
      <c r="L343" s="14">
        <f>SUM(L344:L347)</f>
        <v>0</v>
      </c>
      <c r="M343" s="15" t="str">
        <f>IF(K343&gt;0,L343/K343*100,"-")</f>
        <v>-</v>
      </c>
      <c r="N343" s="671" t="s">
        <v>385</v>
      </c>
    </row>
    <row r="344" spans="1:15" s="40" customFormat="1" ht="11.1" customHeight="1" outlineLevel="1">
      <c r="A344" s="660"/>
      <c r="B344" s="29"/>
      <c r="C344" s="666"/>
      <c r="D344" s="661"/>
      <c r="E344" s="661"/>
      <c r="F344" s="31" t="s">
        <v>18</v>
      </c>
      <c r="G344" s="79">
        <v>428384</v>
      </c>
      <c r="H344" s="79">
        <f>ROUNDUP(395383.5+L344,0)</f>
        <v>395384</v>
      </c>
      <c r="I344" s="33">
        <f>IF(G344&gt;0,H344/G344*100,"-")</f>
        <v>92.296631059983568</v>
      </c>
      <c r="J344" s="79">
        <v>40000</v>
      </c>
      <c r="K344" s="79">
        <v>0</v>
      </c>
      <c r="L344" s="34">
        <v>0</v>
      </c>
      <c r="M344" s="381" t="str">
        <f t="shared" ref="M344:M346" si="27">IF(K344&gt;0,L344/K344*100,"-")</f>
        <v>-</v>
      </c>
      <c r="N344" s="671"/>
    </row>
    <row r="345" spans="1:15" s="40" customFormat="1" ht="19.5" customHeight="1" outlineLevel="1">
      <c r="A345" s="660"/>
      <c r="B345" s="29" t="s">
        <v>24</v>
      </c>
      <c r="C345" s="690" t="s">
        <v>508</v>
      </c>
      <c r="D345" s="661"/>
      <c r="E345" s="661"/>
      <c r="F345" s="31" t="s">
        <v>221</v>
      </c>
      <c r="G345" s="79">
        <v>0</v>
      </c>
      <c r="H345" s="79">
        <f>ROUNDUP(0+L345,0)</f>
        <v>0</v>
      </c>
      <c r="I345" s="33" t="str">
        <f>IF(G345&gt;0,H345/G345*100,"-")</f>
        <v>-</v>
      </c>
      <c r="J345" s="79">
        <v>0</v>
      </c>
      <c r="K345" s="79">
        <v>0</v>
      </c>
      <c r="L345" s="363">
        <v>0</v>
      </c>
      <c r="M345" s="381" t="str">
        <f t="shared" si="27"/>
        <v>-</v>
      </c>
      <c r="N345" s="671"/>
    </row>
    <row r="346" spans="1:15" s="40" customFormat="1" ht="11.1" customHeight="1" outlineLevel="1">
      <c r="A346" s="660"/>
      <c r="B346" s="29"/>
      <c r="C346" s="690"/>
      <c r="D346" s="661"/>
      <c r="E346" s="661"/>
      <c r="F346" s="31" t="s">
        <v>23</v>
      </c>
      <c r="G346" s="79">
        <v>0</v>
      </c>
      <c r="H346" s="79">
        <f>ROUNDUP(0+L346,0)</f>
        <v>0</v>
      </c>
      <c r="I346" s="33" t="str">
        <f t="shared" ref="I346" si="28">IF(G346&gt;0,H346/G346*100,"-")</f>
        <v>-</v>
      </c>
      <c r="J346" s="79">
        <v>0</v>
      </c>
      <c r="K346" s="79">
        <v>0</v>
      </c>
      <c r="L346" s="363">
        <v>0</v>
      </c>
      <c r="M346" s="381" t="str">
        <f t="shared" si="27"/>
        <v>-</v>
      </c>
      <c r="N346" s="671"/>
    </row>
    <row r="347" spans="1:15" s="40" customFormat="1" ht="6.75" customHeight="1" outlineLevel="1">
      <c r="A347" s="660"/>
      <c r="B347" s="29"/>
      <c r="C347" s="690"/>
      <c r="D347" s="661"/>
      <c r="E347" s="661"/>
      <c r="F347" s="31"/>
      <c r="G347" s="79"/>
      <c r="H347" s="79"/>
      <c r="I347" s="33"/>
      <c r="J347" s="79"/>
      <c r="K347" s="79"/>
      <c r="L347" s="363"/>
      <c r="M347" s="381"/>
      <c r="N347" s="671"/>
    </row>
    <row r="348" spans="1:15" s="40" customFormat="1" ht="15.75" customHeight="1" outlineLevel="1">
      <c r="A348" s="62"/>
      <c r="B348" s="36"/>
      <c r="C348" s="789"/>
      <c r="D348" s="638"/>
      <c r="E348" s="638"/>
      <c r="F348" s="36"/>
      <c r="G348" s="137"/>
      <c r="H348" s="137"/>
      <c r="I348" s="36"/>
      <c r="J348" s="137"/>
      <c r="K348" s="81"/>
      <c r="L348" s="37"/>
      <c r="M348" s="381"/>
      <c r="N348" s="530"/>
    </row>
    <row r="349" spans="1:15" s="40" customFormat="1" ht="3.95" customHeight="1" outlineLevel="1">
      <c r="A349" s="434"/>
      <c r="B349" s="26"/>
      <c r="C349" s="525"/>
      <c r="D349" s="639"/>
      <c r="E349" s="639"/>
      <c r="F349" s="26"/>
      <c r="G349" s="77"/>
      <c r="H349" s="77"/>
      <c r="I349" s="28"/>
      <c r="J349" s="77"/>
      <c r="K349" s="76"/>
      <c r="L349" s="407"/>
      <c r="M349" s="376"/>
      <c r="N349" s="532"/>
      <c r="O349" s="373"/>
    </row>
    <row r="350" spans="1:15" s="40" customFormat="1" ht="21" customHeight="1" outlineLevel="1">
      <c r="A350" s="660" t="s">
        <v>56</v>
      </c>
      <c r="B350" s="29" t="s">
        <v>29</v>
      </c>
      <c r="C350" s="527" t="s">
        <v>507</v>
      </c>
      <c r="D350" s="661" t="s">
        <v>317</v>
      </c>
      <c r="E350" s="661" t="s">
        <v>54</v>
      </c>
      <c r="F350" s="30" t="s">
        <v>30</v>
      </c>
      <c r="G350" s="78">
        <f>SUM(G351:G354)</f>
        <v>6531104</v>
      </c>
      <c r="H350" s="78">
        <f>SUM(H351:H354)</f>
        <v>731102</v>
      </c>
      <c r="I350" s="15">
        <f>IF(G350&gt;0,H350/G350*100,"-")</f>
        <v>11.194156455018938</v>
      </c>
      <c r="J350" s="78">
        <f>SUM(J351:J354)</f>
        <v>0</v>
      </c>
      <c r="K350" s="78">
        <f>SUM(K351:K354)</f>
        <v>35868</v>
      </c>
      <c r="L350" s="14">
        <f>SUM(L351:L354)</f>
        <v>35868</v>
      </c>
      <c r="M350" s="15">
        <f>IF(K350&gt;0,L350/K350*100,"-")</f>
        <v>100</v>
      </c>
      <c r="N350" s="671" t="s">
        <v>386</v>
      </c>
    </row>
    <row r="351" spans="1:15" s="40" customFormat="1" ht="11.1" customHeight="1" outlineLevel="1">
      <c r="A351" s="660"/>
      <c r="B351" s="29"/>
      <c r="C351" s="531"/>
      <c r="D351" s="661"/>
      <c r="E351" s="661"/>
      <c r="F351" s="31" t="s">
        <v>18</v>
      </c>
      <c r="G351" s="79">
        <v>6531104</v>
      </c>
      <c r="H351" s="80">
        <f>ROUNDUP(695234+L351,0)</f>
        <v>731102</v>
      </c>
      <c r="I351" s="33">
        <f>IF(G351&gt;0,H351/G351*100,"-")</f>
        <v>11.194156455018938</v>
      </c>
      <c r="J351" s="79">
        <v>0</v>
      </c>
      <c r="K351" s="79">
        <v>35868</v>
      </c>
      <c r="L351" s="34">
        <v>35868</v>
      </c>
      <c r="M351" s="381">
        <f t="shared" ref="M351:M354" si="29">IF(K351&gt;0,L351/K351*100,"-")</f>
        <v>100</v>
      </c>
      <c r="N351" s="671"/>
    </row>
    <row r="352" spans="1:15" s="40" customFormat="1" ht="27.75" customHeight="1" outlineLevel="1">
      <c r="A352" s="660"/>
      <c r="B352" s="29" t="s">
        <v>24</v>
      </c>
      <c r="C352" s="531" t="s">
        <v>506</v>
      </c>
      <c r="D352" s="661"/>
      <c r="E352" s="661"/>
      <c r="F352" s="31" t="s">
        <v>221</v>
      </c>
      <c r="G352" s="79">
        <v>0</v>
      </c>
      <c r="H352" s="79">
        <f>ROUNDUP(0+L352,0)</f>
        <v>0</v>
      </c>
      <c r="I352" s="33" t="str">
        <f>IF(G352&gt;0,H352/G352*100,"-")</f>
        <v>-</v>
      </c>
      <c r="J352" s="79">
        <v>0</v>
      </c>
      <c r="K352" s="79">
        <v>0</v>
      </c>
      <c r="L352" s="363">
        <v>0</v>
      </c>
      <c r="M352" s="381" t="str">
        <f t="shared" si="29"/>
        <v>-</v>
      </c>
      <c r="N352" s="671"/>
    </row>
    <row r="353" spans="1:14" s="40" customFormat="1" ht="11.1" customHeight="1" outlineLevel="1">
      <c r="A353" s="660"/>
      <c r="B353" s="29"/>
      <c r="C353" s="527"/>
      <c r="D353" s="661"/>
      <c r="E353" s="661"/>
      <c r="F353" s="31" t="s">
        <v>23</v>
      </c>
      <c r="G353" s="79">
        <v>0</v>
      </c>
      <c r="H353" s="79">
        <f>ROUNDUP(0+L353,0)</f>
        <v>0</v>
      </c>
      <c r="I353" s="33" t="str">
        <f t="shared" ref="I353:I354" si="30">IF(G353&gt;0,H353/G353*100,"-")</f>
        <v>-</v>
      </c>
      <c r="J353" s="79">
        <v>0</v>
      </c>
      <c r="K353" s="79">
        <v>0</v>
      </c>
      <c r="L353" s="363">
        <v>0</v>
      </c>
      <c r="M353" s="381" t="str">
        <f t="shared" si="29"/>
        <v>-</v>
      </c>
      <c r="N353" s="671"/>
    </row>
    <row r="354" spans="1:14" s="40" customFormat="1" ht="11.1" hidden="1" customHeight="1" outlineLevel="1">
      <c r="A354" s="632"/>
      <c r="B354" s="29"/>
      <c r="C354" s="527"/>
      <c r="D354" s="661"/>
      <c r="E354" s="661"/>
      <c r="F354" s="53" t="s">
        <v>383</v>
      </c>
      <c r="G354" s="79">
        <v>0</v>
      </c>
      <c r="H354" s="79">
        <f>ROUNDUP(0+L354,0)</f>
        <v>0</v>
      </c>
      <c r="I354" s="33" t="str">
        <f t="shared" si="30"/>
        <v>-</v>
      </c>
      <c r="J354" s="79">
        <v>0</v>
      </c>
      <c r="K354" s="79">
        <v>0</v>
      </c>
      <c r="L354" s="363">
        <v>0</v>
      </c>
      <c r="M354" s="381" t="str">
        <f t="shared" si="29"/>
        <v>-</v>
      </c>
      <c r="N354" s="671"/>
    </row>
    <row r="355" spans="1:14" s="40" customFormat="1" ht="3.95" customHeight="1" outlineLevel="1">
      <c r="A355" s="62"/>
      <c r="B355" s="36"/>
      <c r="C355" s="529"/>
      <c r="D355" s="638"/>
      <c r="E355" s="638"/>
      <c r="F355" s="36"/>
      <c r="G355" s="137"/>
      <c r="H355" s="137"/>
      <c r="I355" s="36"/>
      <c r="J355" s="137"/>
      <c r="K355" s="81"/>
      <c r="L355" s="37"/>
      <c r="M355" s="381"/>
      <c r="N355" s="533"/>
    </row>
    <row r="356" spans="1:14" s="40" customFormat="1" ht="3.95" customHeight="1" outlineLevel="1">
      <c r="A356" s="434"/>
      <c r="B356" s="26"/>
      <c r="C356" s="525"/>
      <c r="D356" s="639"/>
      <c r="E356" s="639"/>
      <c r="F356" s="26"/>
      <c r="G356" s="77"/>
      <c r="H356" s="77"/>
      <c r="I356" s="28"/>
      <c r="J356" s="77"/>
      <c r="K356" s="76"/>
      <c r="L356" s="407"/>
      <c r="M356" s="376"/>
      <c r="N356" s="526"/>
    </row>
    <row r="357" spans="1:14" s="40" customFormat="1" ht="11.1" customHeight="1" outlineLevel="1">
      <c r="A357" s="660" t="s">
        <v>73</v>
      </c>
      <c r="B357" s="29" t="s">
        <v>29</v>
      </c>
      <c r="C357" s="666" t="s">
        <v>554</v>
      </c>
      <c r="D357" s="661" t="s">
        <v>225</v>
      </c>
      <c r="E357" s="661" t="s">
        <v>54</v>
      </c>
      <c r="F357" s="30" t="s">
        <v>30</v>
      </c>
      <c r="G357" s="78">
        <f>SUM(G358:G361)</f>
        <v>2558166</v>
      </c>
      <c r="H357" s="78">
        <f>SUM(H358:H361)</f>
        <v>0</v>
      </c>
      <c r="I357" s="15">
        <f>IF(G357&gt;0,H357/G357*100,"-")</f>
        <v>0</v>
      </c>
      <c r="J357" s="78">
        <f>SUM(J358:J361)</f>
        <v>0</v>
      </c>
      <c r="K357" s="78">
        <f>SUM(K358:K361)</f>
        <v>0</v>
      </c>
      <c r="L357" s="14">
        <f>SUM(L358:L361)</f>
        <v>0</v>
      </c>
      <c r="M357" s="15" t="str">
        <f>IF(K357&gt;0,L357/K357*100,"-")</f>
        <v>-</v>
      </c>
      <c r="N357" s="671" t="s">
        <v>226</v>
      </c>
    </row>
    <row r="358" spans="1:14" s="40" customFormat="1" ht="25.5" customHeight="1" outlineLevel="1">
      <c r="A358" s="660"/>
      <c r="B358" s="29"/>
      <c r="C358" s="666"/>
      <c r="D358" s="661"/>
      <c r="E358" s="661"/>
      <c r="F358" s="31" t="s">
        <v>18</v>
      </c>
      <c r="G358" s="79">
        <v>2558166</v>
      </c>
      <c r="H358" s="79">
        <f>ROUNDUP(0+L358,0)</f>
        <v>0</v>
      </c>
      <c r="I358" s="33">
        <f>IF(G358&gt;0,H358/G358*100,"-")</f>
        <v>0</v>
      </c>
      <c r="J358" s="79">
        <v>0</v>
      </c>
      <c r="K358" s="79">
        <v>0</v>
      </c>
      <c r="L358" s="34">
        <v>0</v>
      </c>
      <c r="M358" s="381" t="str">
        <f t="shared" ref="M358:M360" si="31">IF(K358&gt;0,L358/K358*100,"-")</f>
        <v>-</v>
      </c>
      <c r="N358" s="671"/>
    </row>
    <row r="359" spans="1:14" s="40" customFormat="1" ht="11.1" customHeight="1" outlineLevel="1">
      <c r="A359" s="660"/>
      <c r="B359" s="29" t="s">
        <v>24</v>
      </c>
      <c r="C359" s="690" t="s">
        <v>553</v>
      </c>
      <c r="D359" s="661"/>
      <c r="E359" s="661"/>
      <c r="F359" s="31" t="s">
        <v>221</v>
      </c>
      <c r="G359" s="79">
        <v>0</v>
      </c>
      <c r="H359" s="79">
        <f>ROUNDUP(0+L359,0)</f>
        <v>0</v>
      </c>
      <c r="I359" s="33" t="str">
        <f>IF(G359&gt;0,H359/G359*100,"-")</f>
        <v>-</v>
      </c>
      <c r="J359" s="79">
        <v>0</v>
      </c>
      <c r="K359" s="79">
        <v>0</v>
      </c>
      <c r="L359" s="363">
        <v>0</v>
      </c>
      <c r="M359" s="381" t="str">
        <f t="shared" si="31"/>
        <v>-</v>
      </c>
      <c r="N359" s="671"/>
    </row>
    <row r="360" spans="1:14" s="40" customFormat="1" ht="11.1" customHeight="1" outlineLevel="1">
      <c r="A360" s="660"/>
      <c r="B360" s="29"/>
      <c r="C360" s="690"/>
      <c r="D360" s="661"/>
      <c r="E360" s="661"/>
      <c r="F360" s="31" t="s">
        <v>23</v>
      </c>
      <c r="G360" s="79">
        <v>0</v>
      </c>
      <c r="H360" s="79">
        <f>ROUNDUP(0+L360,0)</f>
        <v>0</v>
      </c>
      <c r="I360" s="33" t="str">
        <f t="shared" ref="I360" si="32">IF(G360&gt;0,H360/G360*100,"-")</f>
        <v>-</v>
      </c>
      <c r="J360" s="79">
        <v>0</v>
      </c>
      <c r="K360" s="79">
        <v>0</v>
      </c>
      <c r="L360" s="363">
        <v>0</v>
      </c>
      <c r="M360" s="381" t="str">
        <f t="shared" si="31"/>
        <v>-</v>
      </c>
      <c r="N360" s="671"/>
    </row>
    <row r="361" spans="1:14" s="40" customFormat="1" ht="11.1" customHeight="1" outlineLevel="1">
      <c r="A361" s="632"/>
      <c r="B361" s="29"/>
      <c r="C361" s="690"/>
      <c r="D361" s="661"/>
      <c r="E361" s="661"/>
      <c r="F361" s="53"/>
      <c r="G361" s="79"/>
      <c r="H361" s="79"/>
      <c r="I361" s="33"/>
      <c r="J361" s="79"/>
      <c r="K361" s="79"/>
      <c r="L361" s="363"/>
      <c r="M361" s="381"/>
      <c r="N361" s="671"/>
    </row>
    <row r="362" spans="1:14" s="40" customFormat="1" ht="3.95" customHeight="1" outlineLevel="1">
      <c r="A362" s="62"/>
      <c r="B362" s="36"/>
      <c r="C362" s="529"/>
      <c r="D362" s="638"/>
      <c r="E362" s="638"/>
      <c r="F362" s="36"/>
      <c r="G362" s="137"/>
      <c r="H362" s="137"/>
      <c r="I362" s="36"/>
      <c r="J362" s="137"/>
      <c r="K362" s="81"/>
      <c r="L362" s="37"/>
      <c r="M362" s="383"/>
      <c r="N362" s="534"/>
    </row>
    <row r="363" spans="1:14" s="40" customFormat="1" ht="3.95" customHeight="1">
      <c r="A363" s="16"/>
      <c r="B363" s="413"/>
      <c r="C363" s="519"/>
      <c r="D363" s="17"/>
      <c r="E363" s="17"/>
      <c r="F363" s="16"/>
      <c r="G363" s="72"/>
      <c r="H363" s="72"/>
      <c r="I363" s="19"/>
      <c r="J363" s="72"/>
      <c r="K363" s="72"/>
      <c r="L363" s="18"/>
      <c r="M363" s="19"/>
      <c r="N363" s="520"/>
    </row>
    <row r="364" spans="1:14" s="40" customFormat="1" ht="11.25" customHeight="1">
      <c r="A364" s="5" t="s">
        <v>51</v>
      </c>
      <c r="B364" s="658" t="s">
        <v>91</v>
      </c>
      <c r="C364" s="659"/>
      <c r="D364" s="6"/>
      <c r="E364" s="6"/>
      <c r="F364" s="7"/>
      <c r="G364" s="73">
        <f>SUM(G365:G368)</f>
        <v>15641953</v>
      </c>
      <c r="H364" s="73">
        <f>SUM(H365:H368)</f>
        <v>13209407</v>
      </c>
      <c r="I364" s="9">
        <f>IF(G364&gt;0,H364/G364*100,"-")</f>
        <v>84.448578767625762</v>
      </c>
      <c r="J364" s="73">
        <f>SUM(J365:J368)</f>
        <v>1970100</v>
      </c>
      <c r="K364" s="73">
        <f>SUM(K365:K368)</f>
        <v>2150020</v>
      </c>
      <c r="L364" s="8">
        <f>SUM(L365:L368)</f>
        <v>1983578.33</v>
      </c>
      <c r="M364" s="9">
        <f>IF(K364&gt;0,L364/K364*100,"-")</f>
        <v>92.258598989776843</v>
      </c>
      <c r="N364" s="521"/>
    </row>
    <row r="365" spans="1:14" s="40" customFormat="1" ht="11.25" customHeight="1">
      <c r="A365" s="7"/>
      <c r="B365" s="10"/>
      <c r="C365" s="522"/>
      <c r="D365" s="6"/>
      <c r="E365" s="6"/>
      <c r="F365" s="11" t="s">
        <v>18</v>
      </c>
      <c r="G365" s="535">
        <f t="shared" ref="G365:H368" si="33">G372+G379+G401+G418</f>
        <v>15462033</v>
      </c>
      <c r="H365" s="535">
        <f t="shared" si="33"/>
        <v>13071248</v>
      </c>
      <c r="I365" s="13">
        <f>IF(G365&gt;0,H365/G365*100,"-")</f>
        <v>84.537706005413398</v>
      </c>
      <c r="J365" s="535">
        <f t="shared" ref="J365:L368" si="34">J372+J379+J401+J418</f>
        <v>1970100</v>
      </c>
      <c r="K365" s="535">
        <f t="shared" si="34"/>
        <v>1970100</v>
      </c>
      <c r="L365" s="536">
        <f t="shared" si="34"/>
        <v>1845419.3800000001</v>
      </c>
      <c r="M365" s="13">
        <f>IF(K365&gt;0,L365/K365*100,"-")</f>
        <v>93.671355768742714</v>
      </c>
      <c r="N365" s="521"/>
    </row>
    <row r="366" spans="1:14" s="40" customFormat="1" ht="11.25" customHeight="1">
      <c r="A366" s="7"/>
      <c r="B366" s="10"/>
      <c r="C366" s="522"/>
      <c r="D366" s="6"/>
      <c r="E366" s="6"/>
      <c r="F366" s="11" t="s">
        <v>221</v>
      </c>
      <c r="G366" s="535">
        <f t="shared" si="33"/>
        <v>0</v>
      </c>
      <c r="H366" s="535">
        <f t="shared" si="33"/>
        <v>0</v>
      </c>
      <c r="I366" s="13" t="str">
        <f t="shared" ref="I366:I368" si="35">IF(G366&gt;0,H366/G366*100,"-")</f>
        <v>-</v>
      </c>
      <c r="J366" s="535">
        <f t="shared" si="34"/>
        <v>0</v>
      </c>
      <c r="K366" s="535">
        <f t="shared" si="34"/>
        <v>0</v>
      </c>
      <c r="L366" s="536">
        <f t="shared" si="34"/>
        <v>0</v>
      </c>
      <c r="M366" s="13" t="str">
        <f t="shared" ref="M366:M368" si="36">IF(K366&gt;0,L366/K366*100,"-")</f>
        <v>-</v>
      </c>
      <c r="N366" s="521"/>
    </row>
    <row r="367" spans="1:14" s="40" customFormat="1" ht="11.25" customHeight="1">
      <c r="A367" s="7"/>
      <c r="B367" s="10"/>
      <c r="C367" s="522"/>
      <c r="D367" s="6"/>
      <c r="E367" s="6"/>
      <c r="F367" s="11" t="s">
        <v>23</v>
      </c>
      <c r="G367" s="535">
        <f t="shared" si="33"/>
        <v>179920</v>
      </c>
      <c r="H367" s="535">
        <f t="shared" si="33"/>
        <v>138159</v>
      </c>
      <c r="I367" s="13">
        <f t="shared" si="35"/>
        <v>76.789128501556249</v>
      </c>
      <c r="J367" s="535">
        <f t="shared" si="34"/>
        <v>0</v>
      </c>
      <c r="K367" s="535">
        <f t="shared" si="34"/>
        <v>179920</v>
      </c>
      <c r="L367" s="536">
        <f t="shared" si="34"/>
        <v>138158.95000000001</v>
      </c>
      <c r="M367" s="13">
        <f t="shared" si="36"/>
        <v>76.789100711427309</v>
      </c>
      <c r="N367" s="521"/>
    </row>
    <row r="368" spans="1:14" s="40" customFormat="1" ht="11.25" hidden="1" customHeight="1">
      <c r="A368" s="7"/>
      <c r="B368" s="10"/>
      <c r="C368" s="522"/>
      <c r="D368" s="6"/>
      <c r="E368" s="6"/>
      <c r="F368" s="11" t="s">
        <v>383</v>
      </c>
      <c r="G368" s="535">
        <f t="shared" si="33"/>
        <v>0</v>
      </c>
      <c r="H368" s="535">
        <f t="shared" si="33"/>
        <v>0</v>
      </c>
      <c r="I368" s="13" t="str">
        <f t="shared" si="35"/>
        <v>-</v>
      </c>
      <c r="J368" s="535">
        <f t="shared" si="34"/>
        <v>0</v>
      </c>
      <c r="K368" s="535">
        <f t="shared" si="34"/>
        <v>0</v>
      </c>
      <c r="L368" s="536">
        <f t="shared" si="34"/>
        <v>0</v>
      </c>
      <c r="M368" s="13" t="str">
        <f t="shared" si="36"/>
        <v>-</v>
      </c>
      <c r="N368" s="521"/>
    </row>
    <row r="369" spans="1:14" s="40" customFormat="1" ht="3.95" customHeight="1">
      <c r="A369" s="20"/>
      <c r="B369" s="21"/>
      <c r="C369" s="523"/>
      <c r="D369" s="22"/>
      <c r="E369" s="22"/>
      <c r="F369" s="20"/>
      <c r="G369" s="75"/>
      <c r="H369" s="75"/>
      <c r="I369" s="24"/>
      <c r="J369" s="75"/>
      <c r="K369" s="75"/>
      <c r="L369" s="23"/>
      <c r="M369" s="24"/>
      <c r="N369" s="524"/>
    </row>
    <row r="370" spans="1:14" s="40" customFormat="1" ht="3.95" customHeight="1" outlineLevel="1">
      <c r="A370" s="434"/>
      <c r="B370" s="26"/>
      <c r="C370" s="525"/>
      <c r="D370" s="639"/>
      <c r="E370" s="639"/>
      <c r="F370" s="26"/>
      <c r="G370" s="77"/>
      <c r="H370" s="77"/>
      <c r="I370" s="28"/>
      <c r="J370" s="77"/>
      <c r="K370" s="76"/>
      <c r="L370" s="407"/>
      <c r="M370" s="28"/>
      <c r="N370" s="526"/>
    </row>
    <row r="371" spans="1:14" s="40" customFormat="1" ht="11.1" customHeight="1" outlineLevel="1">
      <c r="A371" s="660" t="s">
        <v>130</v>
      </c>
      <c r="B371" s="29" t="s">
        <v>29</v>
      </c>
      <c r="C371" s="666" t="s">
        <v>552</v>
      </c>
      <c r="D371" s="661" t="s">
        <v>227</v>
      </c>
      <c r="E371" s="661" t="s">
        <v>228</v>
      </c>
      <c r="F371" s="30" t="s">
        <v>30</v>
      </c>
      <c r="G371" s="78">
        <f>SUM(G372:G375)</f>
        <v>2406455</v>
      </c>
      <c r="H371" s="78">
        <f>SUM(H372:H375)</f>
        <v>2368575</v>
      </c>
      <c r="I371" s="15">
        <f>IF(G371&gt;0,H371/G371*100,"-")</f>
        <v>98.425900338880226</v>
      </c>
      <c r="J371" s="78">
        <f>SUM(J372:J375)</f>
        <v>47853</v>
      </c>
      <c r="K371" s="78">
        <f>SUM(K372:K375)</f>
        <v>415853</v>
      </c>
      <c r="L371" s="14">
        <f>SUM(L372:L375)</f>
        <v>404390.78</v>
      </c>
      <c r="M371" s="15">
        <f>IF(K371&gt;0,L371/K371*100,"-")</f>
        <v>97.243684667418535</v>
      </c>
      <c r="N371" s="671" t="s">
        <v>387</v>
      </c>
    </row>
    <row r="372" spans="1:14" s="40" customFormat="1" ht="22.5" customHeight="1" outlineLevel="1">
      <c r="A372" s="660"/>
      <c r="B372" s="29"/>
      <c r="C372" s="666"/>
      <c r="D372" s="661"/>
      <c r="E372" s="661"/>
      <c r="F372" s="31" t="s">
        <v>18</v>
      </c>
      <c r="G372" s="79">
        <v>2406455</v>
      </c>
      <c r="H372" s="80">
        <f>ROUNDUP(1964184+L372,0)</f>
        <v>2368575</v>
      </c>
      <c r="I372" s="33">
        <f>IF(G372&gt;0,H372/G372*100,"-")</f>
        <v>98.425900338880226</v>
      </c>
      <c r="J372" s="79">
        <v>47853</v>
      </c>
      <c r="K372" s="79">
        <v>415853</v>
      </c>
      <c r="L372" s="34">
        <v>404390.78</v>
      </c>
      <c r="M372" s="33">
        <f>IF(K372&gt;0,L372/K372*100,"-")</f>
        <v>97.243684667418535</v>
      </c>
      <c r="N372" s="671"/>
    </row>
    <row r="373" spans="1:14" s="40" customFormat="1" ht="27.75" customHeight="1" outlineLevel="1">
      <c r="A373" s="660"/>
      <c r="B373" s="29"/>
      <c r="C373" s="666"/>
      <c r="D373" s="661"/>
      <c r="E373" s="661"/>
      <c r="F373" s="31" t="s">
        <v>221</v>
      </c>
      <c r="G373" s="79">
        <v>0</v>
      </c>
      <c r="H373" s="80">
        <f>ROUNDUP(0+L373,0)</f>
        <v>0</v>
      </c>
      <c r="I373" s="33" t="str">
        <f t="shared" ref="I373:I374" si="37">IF(G373&gt;0,H373/G373*100,"-")</f>
        <v>-</v>
      </c>
      <c r="J373" s="79">
        <v>0</v>
      </c>
      <c r="K373" s="79">
        <v>0</v>
      </c>
      <c r="L373" s="34">
        <v>0</v>
      </c>
      <c r="M373" s="33" t="str">
        <f t="shared" ref="M373:M374" si="38">IF(K373&gt;0,L373/K373*100,"-")</f>
        <v>-</v>
      </c>
      <c r="N373" s="671"/>
    </row>
    <row r="374" spans="1:14" s="40" customFormat="1" ht="15" customHeight="1" outlineLevel="1">
      <c r="A374" s="660"/>
      <c r="B374" s="29"/>
      <c r="C374" s="666"/>
      <c r="D374" s="661"/>
      <c r="E374" s="661"/>
      <c r="F374" s="31" t="s">
        <v>23</v>
      </c>
      <c r="G374" s="79">
        <v>0</v>
      </c>
      <c r="H374" s="80">
        <f>ROUNDUP(0+L374,0)</f>
        <v>0</v>
      </c>
      <c r="I374" s="33" t="str">
        <f t="shared" si="37"/>
        <v>-</v>
      </c>
      <c r="J374" s="79">
        <v>0</v>
      </c>
      <c r="K374" s="79">
        <v>0</v>
      </c>
      <c r="L374" s="34">
        <v>0</v>
      </c>
      <c r="M374" s="33" t="str">
        <f t="shared" si="38"/>
        <v>-</v>
      </c>
      <c r="N374" s="671"/>
    </row>
    <row r="375" spans="1:14" s="40" customFormat="1" ht="16.5" customHeight="1" outlineLevel="1">
      <c r="A375" s="660"/>
      <c r="B375" s="29" t="s">
        <v>24</v>
      </c>
      <c r="C375" s="528" t="s">
        <v>229</v>
      </c>
      <c r="D375" s="661"/>
      <c r="E375" s="661"/>
      <c r="F375" s="31"/>
      <c r="G375" s="79"/>
      <c r="H375" s="80"/>
      <c r="I375" s="33"/>
      <c r="J375" s="79"/>
      <c r="K375" s="79"/>
      <c r="L375" s="34"/>
      <c r="M375" s="33"/>
      <c r="N375" s="671"/>
    </row>
    <row r="376" spans="1:14" s="40" customFormat="1" ht="3.95" customHeight="1" outlineLevel="1">
      <c r="A376" s="638"/>
      <c r="B376" s="36"/>
      <c r="C376" s="537"/>
      <c r="D376" s="642"/>
      <c r="E376" s="642"/>
      <c r="F376" s="52"/>
      <c r="G376" s="137"/>
      <c r="H376" s="538"/>
      <c r="I376" s="93"/>
      <c r="J376" s="137"/>
      <c r="K376" s="392"/>
      <c r="L376" s="362"/>
      <c r="M376" s="38"/>
      <c r="N376" s="539"/>
    </row>
    <row r="377" spans="1:14" s="40" customFormat="1" ht="3.95" customHeight="1" outlineLevel="1">
      <c r="A377" s="434"/>
      <c r="B377" s="26"/>
      <c r="C377" s="525"/>
      <c r="D377" s="639"/>
      <c r="E377" s="639"/>
      <c r="F377" s="26"/>
      <c r="G377" s="77"/>
      <c r="H377" s="540"/>
      <c r="I377" s="28"/>
      <c r="J377" s="77"/>
      <c r="K377" s="76"/>
      <c r="L377" s="407"/>
      <c r="M377" s="28"/>
      <c r="N377" s="541"/>
    </row>
    <row r="378" spans="1:14" s="40" customFormat="1" ht="11.1" customHeight="1" outlineLevel="1">
      <c r="A378" s="660" t="s">
        <v>133</v>
      </c>
      <c r="B378" s="29" t="s">
        <v>29</v>
      </c>
      <c r="C378" s="527" t="s">
        <v>230</v>
      </c>
      <c r="D378" s="661" t="s">
        <v>231</v>
      </c>
      <c r="E378" s="661"/>
      <c r="F378" s="30" t="s">
        <v>30</v>
      </c>
      <c r="G378" s="78">
        <f>SUM(G379:G382)</f>
        <v>9898486</v>
      </c>
      <c r="H378" s="78">
        <f>SUM(H379:H382)</f>
        <v>7518078</v>
      </c>
      <c r="I378" s="15">
        <f>IF(G378&gt;0,H378/G378*100,"-")</f>
        <v>75.951797072804865</v>
      </c>
      <c r="J378" s="78">
        <f>SUM(J379:J382)</f>
        <v>1393647</v>
      </c>
      <c r="K378" s="78">
        <f>SUM(K379:K382)</f>
        <v>1573567</v>
      </c>
      <c r="L378" s="14">
        <f>SUM(L379:L382)</f>
        <v>1423774.95</v>
      </c>
      <c r="M378" s="15">
        <f>IF(K378&gt;0,L378/K378*100,"-")</f>
        <v>90.480732628480382</v>
      </c>
      <c r="N378" s="671" t="s">
        <v>388</v>
      </c>
    </row>
    <row r="379" spans="1:14" s="40" customFormat="1" ht="11.1" customHeight="1" outlineLevel="1">
      <c r="A379" s="660"/>
      <c r="B379" s="29" t="s">
        <v>24</v>
      </c>
      <c r="C379" s="528" t="s">
        <v>232</v>
      </c>
      <c r="D379" s="661"/>
      <c r="E379" s="661"/>
      <c r="F379" s="31" t="s">
        <v>18</v>
      </c>
      <c r="G379" s="79">
        <f t="shared" ref="G379:H382" si="39">G384+G389+G394</f>
        <v>9718566</v>
      </c>
      <c r="H379" s="79">
        <f t="shared" si="39"/>
        <v>7379919</v>
      </c>
      <c r="I379" s="33">
        <f>IF(G379&gt;0,H379/G379*100,"-")</f>
        <v>75.936295539897557</v>
      </c>
      <c r="J379" s="79">
        <f t="shared" ref="J379:L382" si="40">J384+J389+J394</f>
        <v>1393647</v>
      </c>
      <c r="K379" s="79">
        <f t="shared" si="40"/>
        <v>1393647</v>
      </c>
      <c r="L379" s="32">
        <f t="shared" si="40"/>
        <v>1285616</v>
      </c>
      <c r="M379" s="33">
        <f>IF(K379&gt;0,L379/K379*100,"-")</f>
        <v>92.248324001702002</v>
      </c>
      <c r="N379" s="671"/>
    </row>
    <row r="380" spans="1:14" s="40" customFormat="1" ht="11.1" customHeight="1" outlineLevel="1">
      <c r="A380" s="660"/>
      <c r="B380" s="29"/>
      <c r="C380" s="528"/>
      <c r="D380" s="661"/>
      <c r="E380" s="661"/>
      <c r="F380" s="31" t="s">
        <v>221</v>
      </c>
      <c r="G380" s="79">
        <f t="shared" si="39"/>
        <v>0</v>
      </c>
      <c r="H380" s="79">
        <f t="shared" si="39"/>
        <v>0</v>
      </c>
      <c r="I380" s="33" t="str">
        <f t="shared" ref="I380:I382" si="41">IF(G380&gt;0,H380/G380*100,"-")</f>
        <v>-</v>
      </c>
      <c r="J380" s="79">
        <f t="shared" si="40"/>
        <v>0</v>
      </c>
      <c r="K380" s="79">
        <f t="shared" si="40"/>
        <v>0</v>
      </c>
      <c r="L380" s="32">
        <f t="shared" si="40"/>
        <v>0</v>
      </c>
      <c r="M380" s="33" t="str">
        <f t="shared" ref="M380:M382" si="42">IF(K380&gt;0,L380/K380*100,"-")</f>
        <v>-</v>
      </c>
      <c r="N380" s="671"/>
    </row>
    <row r="381" spans="1:14" s="40" customFormat="1" ht="11.1" customHeight="1" outlineLevel="1">
      <c r="A381" s="660"/>
      <c r="B381" s="29"/>
      <c r="C381" s="528"/>
      <c r="D381" s="661"/>
      <c r="E381" s="661"/>
      <c r="F381" s="31" t="s">
        <v>23</v>
      </c>
      <c r="G381" s="79">
        <f t="shared" si="39"/>
        <v>179920</v>
      </c>
      <c r="H381" s="79">
        <f t="shared" si="39"/>
        <v>138159</v>
      </c>
      <c r="I381" s="33">
        <f t="shared" si="41"/>
        <v>76.789128501556249</v>
      </c>
      <c r="J381" s="79">
        <f t="shared" si="40"/>
        <v>0</v>
      </c>
      <c r="K381" s="79">
        <f t="shared" si="40"/>
        <v>179920</v>
      </c>
      <c r="L381" s="32">
        <f t="shared" si="40"/>
        <v>138158.95000000001</v>
      </c>
      <c r="M381" s="33">
        <f t="shared" si="42"/>
        <v>76.789100711427309</v>
      </c>
      <c r="N381" s="671"/>
    </row>
    <row r="382" spans="1:14" s="40" customFormat="1" ht="11.1" hidden="1" customHeight="1" outlineLevel="1">
      <c r="A382" s="632"/>
      <c r="B382" s="29"/>
      <c r="C382" s="528"/>
      <c r="D382" s="661"/>
      <c r="E382" s="661"/>
      <c r="F382" s="53" t="s">
        <v>383</v>
      </c>
      <c r="G382" s="79">
        <f t="shared" si="39"/>
        <v>0</v>
      </c>
      <c r="H382" s="79">
        <f t="shared" si="39"/>
        <v>0</v>
      </c>
      <c r="I382" s="33" t="str">
        <f t="shared" si="41"/>
        <v>-</v>
      </c>
      <c r="J382" s="79">
        <f t="shared" si="40"/>
        <v>0</v>
      </c>
      <c r="K382" s="79">
        <f t="shared" si="40"/>
        <v>0</v>
      </c>
      <c r="L382" s="32">
        <f t="shared" si="40"/>
        <v>0</v>
      </c>
      <c r="M382" s="33" t="str">
        <f t="shared" si="42"/>
        <v>-</v>
      </c>
      <c r="N382" s="671"/>
    </row>
    <row r="383" spans="1:14" s="40" customFormat="1" ht="11.1" customHeight="1" outlineLevel="1">
      <c r="A383" s="632"/>
      <c r="B383" s="29"/>
      <c r="C383" s="528"/>
      <c r="D383" s="634"/>
      <c r="E383" s="634"/>
      <c r="F383" s="53"/>
      <c r="G383" s="82"/>
      <c r="H383" s="380"/>
      <c r="I383" s="92"/>
      <c r="J383" s="82"/>
      <c r="K383" s="79"/>
      <c r="L383" s="363"/>
      <c r="M383" s="33"/>
      <c r="N383" s="671"/>
    </row>
    <row r="384" spans="1:14" s="40" customFormat="1" ht="10.5" customHeight="1" outlineLevel="1">
      <c r="A384" s="632"/>
      <c r="B384" s="29"/>
      <c r="C384" s="527"/>
      <c r="D384" s="634"/>
      <c r="E384" s="689" t="s">
        <v>389</v>
      </c>
      <c r="F384" s="542" t="s">
        <v>18</v>
      </c>
      <c r="G384" s="543">
        <v>0</v>
      </c>
      <c r="H384" s="544">
        <f>ROUNDUP(0+L384,0)</f>
        <v>0</v>
      </c>
      <c r="I384" s="545" t="str">
        <f>IF(G384&gt;0,H384/G384*100,"-")</f>
        <v>-</v>
      </c>
      <c r="J384" s="543">
        <v>0</v>
      </c>
      <c r="K384" s="543">
        <v>0</v>
      </c>
      <c r="L384" s="546">
        <v>0</v>
      </c>
      <c r="M384" s="545" t="str">
        <f>IF(K384&gt;0,L384/K384*100,"-")</f>
        <v>-</v>
      </c>
      <c r="N384" s="671"/>
    </row>
    <row r="385" spans="1:14" s="40" customFormat="1" ht="10.5" customHeight="1" outlineLevel="1">
      <c r="A385" s="632"/>
      <c r="B385" s="29"/>
      <c r="C385" s="527"/>
      <c r="D385" s="634"/>
      <c r="E385" s="689"/>
      <c r="F385" s="542" t="s">
        <v>221</v>
      </c>
      <c r="G385" s="543">
        <v>0</v>
      </c>
      <c r="H385" s="544">
        <f>ROUNDUP(0+L385,0)</f>
        <v>0</v>
      </c>
      <c r="I385" s="545" t="str">
        <f t="shared" ref="I385:I387" si="43">IF(G385&gt;0,H385/G385*100,"-")</f>
        <v>-</v>
      </c>
      <c r="J385" s="543">
        <v>0</v>
      </c>
      <c r="K385" s="543">
        <v>0</v>
      </c>
      <c r="L385" s="547">
        <v>0</v>
      </c>
      <c r="M385" s="545" t="str">
        <f t="shared" ref="M385:M387" si="44">IF(K385&gt;0,L385/K385*100,"-")</f>
        <v>-</v>
      </c>
      <c r="N385" s="671"/>
    </row>
    <row r="386" spans="1:14" s="40" customFormat="1" ht="10.5" customHeight="1" outlineLevel="1">
      <c r="A386" s="632"/>
      <c r="B386" s="29"/>
      <c r="C386" s="527"/>
      <c r="D386" s="634"/>
      <c r="E386" s="689"/>
      <c r="F386" s="542" t="s">
        <v>23</v>
      </c>
      <c r="G386" s="543">
        <v>179920</v>
      </c>
      <c r="H386" s="544">
        <f>ROUNDUP(0+L386,0)</f>
        <v>138159</v>
      </c>
      <c r="I386" s="545">
        <f t="shared" si="43"/>
        <v>76.789128501556249</v>
      </c>
      <c r="J386" s="543">
        <v>0</v>
      </c>
      <c r="K386" s="543">
        <v>179920</v>
      </c>
      <c r="L386" s="547">
        <v>138158.95000000001</v>
      </c>
      <c r="M386" s="545">
        <f t="shared" si="44"/>
        <v>76.789100711427309</v>
      </c>
      <c r="N386" s="671"/>
    </row>
    <row r="387" spans="1:14" s="40" customFormat="1" ht="10.5" hidden="1" customHeight="1" outlineLevel="1">
      <c r="A387" s="632"/>
      <c r="B387" s="29"/>
      <c r="C387" s="527"/>
      <c r="D387" s="634"/>
      <c r="E387" s="689"/>
      <c r="F387" s="548" t="s">
        <v>383</v>
      </c>
      <c r="G387" s="543">
        <v>0</v>
      </c>
      <c r="H387" s="543">
        <f>ROUNDUP(0+L387,0)</f>
        <v>0</v>
      </c>
      <c r="I387" s="545" t="str">
        <f t="shared" si="43"/>
        <v>-</v>
      </c>
      <c r="J387" s="543">
        <v>0</v>
      </c>
      <c r="K387" s="543">
        <v>0</v>
      </c>
      <c r="L387" s="547">
        <v>0</v>
      </c>
      <c r="M387" s="545" t="str">
        <f t="shared" si="44"/>
        <v>-</v>
      </c>
      <c r="N387" s="671"/>
    </row>
    <row r="388" spans="1:14" s="40" customFormat="1" ht="6.95" customHeight="1" outlineLevel="1">
      <c r="A388" s="632"/>
      <c r="B388" s="29"/>
      <c r="C388" s="527"/>
      <c r="D388" s="634"/>
      <c r="E388" s="634"/>
      <c r="F388" s="53"/>
      <c r="G388" s="82"/>
      <c r="H388" s="380"/>
      <c r="I388" s="92"/>
      <c r="J388" s="82"/>
      <c r="K388" s="80"/>
      <c r="L388" s="363"/>
      <c r="M388" s="33"/>
      <c r="N388" s="671"/>
    </row>
    <row r="389" spans="1:14" s="40" customFormat="1" ht="10.5" customHeight="1" outlineLevel="1">
      <c r="A389" s="632"/>
      <c r="B389" s="29"/>
      <c r="C389" s="527"/>
      <c r="D389" s="634"/>
      <c r="E389" s="689" t="s">
        <v>233</v>
      </c>
      <c r="F389" s="542" t="s">
        <v>18</v>
      </c>
      <c r="G389" s="543">
        <v>9258100</v>
      </c>
      <c r="H389" s="544">
        <f>ROUNDUP(5813837+L389,0)</f>
        <v>6919453</v>
      </c>
      <c r="I389" s="545">
        <f>IF(G389&gt;0,H389/G389*100,"-")</f>
        <v>74.739449779112348</v>
      </c>
      <c r="J389" s="543">
        <v>1213647</v>
      </c>
      <c r="K389" s="543">
        <v>1213647</v>
      </c>
      <c r="L389" s="546">
        <v>1105616</v>
      </c>
      <c r="M389" s="545">
        <f>IF(K389&gt;0,L389/K389*100,"-")</f>
        <v>91.098647300244636</v>
      </c>
      <c r="N389" s="671"/>
    </row>
    <row r="390" spans="1:14" s="40" customFormat="1" ht="10.5" customHeight="1" outlineLevel="1">
      <c r="A390" s="632"/>
      <c r="B390" s="29"/>
      <c r="C390" s="527"/>
      <c r="D390" s="634"/>
      <c r="E390" s="689"/>
      <c r="F390" s="542" t="s">
        <v>221</v>
      </c>
      <c r="G390" s="543">
        <v>0</v>
      </c>
      <c r="H390" s="544">
        <f>ROUNDUP(0+L390,0)</f>
        <v>0</v>
      </c>
      <c r="I390" s="545" t="str">
        <f t="shared" ref="I390:I392" si="45">IF(G390&gt;0,H390/G390*100,"-")</f>
        <v>-</v>
      </c>
      <c r="J390" s="543">
        <v>0</v>
      </c>
      <c r="K390" s="543">
        <v>0</v>
      </c>
      <c r="L390" s="547">
        <v>0</v>
      </c>
      <c r="M390" s="545" t="str">
        <f t="shared" ref="M390:M392" si="46">IF(K390&gt;0,L390/K390*100,"-")</f>
        <v>-</v>
      </c>
      <c r="N390" s="671"/>
    </row>
    <row r="391" spans="1:14" s="40" customFormat="1" ht="10.5" customHeight="1" outlineLevel="1">
      <c r="A391" s="632"/>
      <c r="B391" s="29"/>
      <c r="C391" s="527"/>
      <c r="D391" s="634"/>
      <c r="E391" s="689"/>
      <c r="F391" s="542" t="s">
        <v>23</v>
      </c>
      <c r="G391" s="543">
        <v>0</v>
      </c>
      <c r="H391" s="544">
        <f>ROUNDUP(0+L391,0)</f>
        <v>0</v>
      </c>
      <c r="I391" s="545" t="str">
        <f t="shared" si="45"/>
        <v>-</v>
      </c>
      <c r="J391" s="543">
        <v>0</v>
      </c>
      <c r="K391" s="543">
        <v>0</v>
      </c>
      <c r="L391" s="547">
        <v>0</v>
      </c>
      <c r="M391" s="545" t="str">
        <f t="shared" si="46"/>
        <v>-</v>
      </c>
      <c r="N391" s="671"/>
    </row>
    <row r="392" spans="1:14" s="40" customFormat="1" ht="10.5" hidden="1" customHeight="1" outlineLevel="1">
      <c r="A392" s="632"/>
      <c r="B392" s="29"/>
      <c r="C392" s="527"/>
      <c r="D392" s="634"/>
      <c r="E392" s="689"/>
      <c r="F392" s="548" t="s">
        <v>383</v>
      </c>
      <c r="G392" s="543">
        <v>0</v>
      </c>
      <c r="H392" s="543">
        <f>ROUNDUP(0+L392,0)</f>
        <v>0</v>
      </c>
      <c r="I392" s="545" t="str">
        <f t="shared" si="45"/>
        <v>-</v>
      </c>
      <c r="J392" s="543">
        <v>0</v>
      </c>
      <c r="K392" s="543">
        <v>0</v>
      </c>
      <c r="L392" s="547">
        <v>0</v>
      </c>
      <c r="M392" s="545" t="str">
        <f t="shared" si="46"/>
        <v>-</v>
      </c>
      <c r="N392" s="671"/>
    </row>
    <row r="393" spans="1:14" s="40" customFormat="1" ht="6.95" customHeight="1" outlineLevel="1">
      <c r="A393" s="632"/>
      <c r="B393" s="29"/>
      <c r="C393" s="527"/>
      <c r="D393" s="634"/>
      <c r="E393" s="634"/>
      <c r="F393" s="548"/>
      <c r="G393" s="549"/>
      <c r="H393" s="550"/>
      <c r="I393" s="551"/>
      <c r="J393" s="549"/>
      <c r="K393" s="544"/>
      <c r="L393" s="547"/>
      <c r="M393" s="545"/>
      <c r="N393" s="671"/>
    </row>
    <row r="394" spans="1:14" s="40" customFormat="1" ht="10.5" customHeight="1" outlineLevel="1">
      <c r="A394" s="632"/>
      <c r="B394" s="29"/>
      <c r="C394" s="527"/>
      <c r="D394" s="634"/>
      <c r="E394" s="689" t="s">
        <v>234</v>
      </c>
      <c r="F394" s="542" t="s">
        <v>18</v>
      </c>
      <c r="G394" s="543">
        <v>460466</v>
      </c>
      <c r="H394" s="544">
        <f>ROUNDUP(280466+L394,0)</f>
        <v>460466</v>
      </c>
      <c r="I394" s="545">
        <f>IF(G394&gt;0,H394/G394*100,"-")</f>
        <v>100</v>
      </c>
      <c r="J394" s="543">
        <v>180000</v>
      </c>
      <c r="K394" s="543">
        <v>180000</v>
      </c>
      <c r="L394" s="546">
        <v>180000</v>
      </c>
      <c r="M394" s="545">
        <f>IF(K394&gt;0,L394/K394*100,"-")</f>
        <v>100</v>
      </c>
      <c r="N394" s="671"/>
    </row>
    <row r="395" spans="1:14" s="40" customFormat="1" ht="10.5" customHeight="1" outlineLevel="1">
      <c r="A395" s="632"/>
      <c r="B395" s="29"/>
      <c r="C395" s="527"/>
      <c r="D395" s="634"/>
      <c r="E395" s="689"/>
      <c r="F395" s="542" t="s">
        <v>221</v>
      </c>
      <c r="G395" s="543">
        <v>0</v>
      </c>
      <c r="H395" s="544">
        <f>ROUNDUP(0+L395,0)</f>
        <v>0</v>
      </c>
      <c r="I395" s="545" t="str">
        <f t="shared" ref="I395:I397" si="47">IF(G395&gt;0,H395/G395*100,"-")</f>
        <v>-</v>
      </c>
      <c r="J395" s="543">
        <v>0</v>
      </c>
      <c r="K395" s="543">
        <v>0</v>
      </c>
      <c r="L395" s="547">
        <v>0</v>
      </c>
      <c r="M395" s="545" t="str">
        <f t="shared" ref="M395:M397" si="48">IF(K395&gt;0,L395/K395*100,"-")</f>
        <v>-</v>
      </c>
      <c r="N395" s="671"/>
    </row>
    <row r="396" spans="1:14" s="40" customFormat="1" ht="10.5" customHeight="1" outlineLevel="1">
      <c r="A396" s="632"/>
      <c r="B396" s="29"/>
      <c r="C396" s="527"/>
      <c r="D396" s="634"/>
      <c r="E396" s="689"/>
      <c r="F396" s="542" t="s">
        <v>23</v>
      </c>
      <c r="G396" s="543">
        <v>0</v>
      </c>
      <c r="H396" s="543">
        <f>ROUNDUP(0+L396,0)</f>
        <v>0</v>
      </c>
      <c r="I396" s="545" t="str">
        <f t="shared" si="47"/>
        <v>-</v>
      </c>
      <c r="J396" s="543">
        <v>0</v>
      </c>
      <c r="K396" s="543">
        <v>0</v>
      </c>
      <c r="L396" s="547">
        <v>0</v>
      </c>
      <c r="M396" s="545" t="str">
        <f t="shared" si="48"/>
        <v>-</v>
      </c>
      <c r="N396" s="671"/>
    </row>
    <row r="397" spans="1:14" s="40" customFormat="1" ht="10.5" hidden="1" customHeight="1" outlineLevel="1">
      <c r="A397" s="632"/>
      <c r="B397" s="29"/>
      <c r="C397" s="527"/>
      <c r="D397" s="634"/>
      <c r="E397" s="689"/>
      <c r="F397" s="548" t="s">
        <v>383</v>
      </c>
      <c r="G397" s="543">
        <v>0</v>
      </c>
      <c r="H397" s="543">
        <f>ROUNDUP(0+L397,0)</f>
        <v>0</v>
      </c>
      <c r="I397" s="545" t="str">
        <f t="shared" si="47"/>
        <v>-</v>
      </c>
      <c r="J397" s="543">
        <v>0</v>
      </c>
      <c r="K397" s="543">
        <v>0</v>
      </c>
      <c r="L397" s="547">
        <v>0</v>
      </c>
      <c r="M397" s="545" t="str">
        <f t="shared" si="48"/>
        <v>-</v>
      </c>
      <c r="N397" s="671"/>
    </row>
    <row r="398" spans="1:14" s="40" customFormat="1" ht="3.95" customHeight="1" outlineLevel="1">
      <c r="A398" s="62"/>
      <c r="B398" s="36"/>
      <c r="C398" s="529"/>
      <c r="D398" s="552"/>
      <c r="E398" s="552"/>
      <c r="F398" s="36"/>
      <c r="G398" s="137"/>
      <c r="H398" s="137"/>
      <c r="I398" s="36"/>
      <c r="J398" s="137"/>
      <c r="K398" s="81"/>
      <c r="L398" s="37"/>
      <c r="M398" s="38"/>
      <c r="N398" s="539"/>
    </row>
    <row r="399" spans="1:14" s="40" customFormat="1" ht="3.95" customHeight="1" outlineLevel="1">
      <c r="A399" s="434"/>
      <c r="B399" s="26"/>
      <c r="C399" s="525"/>
      <c r="D399" s="553"/>
      <c r="E399" s="553"/>
      <c r="F399" s="26"/>
      <c r="G399" s="77"/>
      <c r="H399" s="77"/>
      <c r="I399" s="28"/>
      <c r="J399" s="77"/>
      <c r="K399" s="76"/>
      <c r="L399" s="407"/>
      <c r="M399" s="28"/>
      <c r="N399" s="541"/>
    </row>
    <row r="400" spans="1:14" s="40" customFormat="1" outlineLevel="1">
      <c r="A400" s="660" t="s">
        <v>136</v>
      </c>
      <c r="B400" s="29" t="s">
        <v>29</v>
      </c>
      <c r="C400" s="527" t="s">
        <v>235</v>
      </c>
      <c r="D400" s="661" t="s">
        <v>236</v>
      </c>
      <c r="E400" s="661"/>
      <c r="F400" s="30" t="s">
        <v>30</v>
      </c>
      <c r="G400" s="78">
        <f>SUM(G401:G404)</f>
        <v>3312719</v>
      </c>
      <c r="H400" s="78">
        <f>SUM(H401:H404)</f>
        <v>3298461</v>
      </c>
      <c r="I400" s="15">
        <f>IF(G400&gt;0,H400/G400*100,"-")</f>
        <v>99.569598266559893</v>
      </c>
      <c r="J400" s="78">
        <f>SUM(J401:J404)</f>
        <v>504307</v>
      </c>
      <c r="K400" s="78">
        <f>SUM(K401:K404)</f>
        <v>136307</v>
      </c>
      <c r="L400" s="14">
        <f>SUM(L401:L404)</f>
        <v>131120.1</v>
      </c>
      <c r="M400" s="15">
        <f>IF(K400&gt;0,L400/K400*100,"-")</f>
        <v>96.194692862435545</v>
      </c>
      <c r="N400" s="671" t="s">
        <v>390</v>
      </c>
    </row>
    <row r="401" spans="1:14" s="40" customFormat="1" outlineLevel="1">
      <c r="A401" s="660"/>
      <c r="B401" s="29" t="s">
        <v>24</v>
      </c>
      <c r="C401" s="528" t="s">
        <v>237</v>
      </c>
      <c r="D401" s="661"/>
      <c r="E401" s="661"/>
      <c r="F401" s="31" t="s">
        <v>18</v>
      </c>
      <c r="G401" s="79">
        <f t="shared" ref="G401:H404" si="49">G406+G411</f>
        <v>3312719</v>
      </c>
      <c r="H401" s="79">
        <f t="shared" si="49"/>
        <v>3298461</v>
      </c>
      <c r="I401" s="33">
        <f>IF(G401&gt;0,H401/G401*100,"-")</f>
        <v>99.569598266559893</v>
      </c>
      <c r="J401" s="79">
        <f t="shared" ref="J401:L404" si="50">J406+J411</f>
        <v>504307</v>
      </c>
      <c r="K401" s="79">
        <f t="shared" si="50"/>
        <v>136307</v>
      </c>
      <c r="L401" s="34">
        <f t="shared" si="50"/>
        <v>131120.1</v>
      </c>
      <c r="M401" s="33">
        <f>IF(K401&gt;0,L401/K401*100,"-")</f>
        <v>96.194692862435545</v>
      </c>
      <c r="N401" s="671"/>
    </row>
    <row r="402" spans="1:14" s="40" customFormat="1" ht="11.1" customHeight="1" outlineLevel="1">
      <c r="A402" s="660"/>
      <c r="B402" s="29"/>
      <c r="C402" s="528"/>
      <c r="D402" s="661"/>
      <c r="E402" s="661"/>
      <c r="F402" s="31" t="s">
        <v>221</v>
      </c>
      <c r="G402" s="79">
        <f t="shared" si="49"/>
        <v>0</v>
      </c>
      <c r="H402" s="79">
        <f t="shared" si="49"/>
        <v>0</v>
      </c>
      <c r="I402" s="33" t="str">
        <f t="shared" ref="I402:I404" si="51">IF(G402&gt;0,H402/G402*100,"-")</f>
        <v>-</v>
      </c>
      <c r="J402" s="79">
        <f t="shared" si="50"/>
        <v>0</v>
      </c>
      <c r="K402" s="79">
        <f t="shared" si="50"/>
        <v>0</v>
      </c>
      <c r="L402" s="34">
        <f t="shared" si="50"/>
        <v>0</v>
      </c>
      <c r="M402" s="33" t="str">
        <f t="shared" ref="M402:M404" si="52">IF(K402&gt;0,L402/K402*100,"-")</f>
        <v>-</v>
      </c>
      <c r="N402" s="671"/>
    </row>
    <row r="403" spans="1:14" s="40" customFormat="1" ht="11.1" customHeight="1" outlineLevel="1">
      <c r="A403" s="660"/>
      <c r="B403" s="29"/>
      <c r="C403" s="528"/>
      <c r="D403" s="661"/>
      <c r="E403" s="661"/>
      <c r="F403" s="31" t="s">
        <v>23</v>
      </c>
      <c r="G403" s="79">
        <f t="shared" si="49"/>
        <v>0</v>
      </c>
      <c r="H403" s="79">
        <f t="shared" si="49"/>
        <v>0</v>
      </c>
      <c r="I403" s="33" t="str">
        <f t="shared" si="51"/>
        <v>-</v>
      </c>
      <c r="J403" s="79">
        <f t="shared" si="50"/>
        <v>0</v>
      </c>
      <c r="K403" s="79">
        <f t="shared" si="50"/>
        <v>0</v>
      </c>
      <c r="L403" s="34">
        <f t="shared" si="50"/>
        <v>0</v>
      </c>
      <c r="M403" s="33" t="str">
        <f t="shared" si="52"/>
        <v>-</v>
      </c>
      <c r="N403" s="671"/>
    </row>
    <row r="404" spans="1:14" s="40" customFormat="1" ht="11.1" hidden="1" customHeight="1" outlineLevel="1">
      <c r="A404" s="632"/>
      <c r="B404" s="29"/>
      <c r="C404" s="528"/>
      <c r="D404" s="661"/>
      <c r="E404" s="661"/>
      <c r="F404" s="53" t="s">
        <v>383</v>
      </c>
      <c r="G404" s="79">
        <f t="shared" si="49"/>
        <v>0</v>
      </c>
      <c r="H404" s="79">
        <f t="shared" si="49"/>
        <v>0</v>
      </c>
      <c r="I404" s="33" t="str">
        <f t="shared" si="51"/>
        <v>-</v>
      </c>
      <c r="J404" s="79">
        <f t="shared" si="50"/>
        <v>0</v>
      </c>
      <c r="K404" s="79">
        <f t="shared" si="50"/>
        <v>0</v>
      </c>
      <c r="L404" s="34">
        <f t="shared" si="50"/>
        <v>0</v>
      </c>
      <c r="M404" s="33" t="str">
        <f t="shared" si="52"/>
        <v>-</v>
      </c>
      <c r="N404" s="671"/>
    </row>
    <row r="405" spans="1:14" s="40" customFormat="1" ht="6.95" customHeight="1" outlineLevel="1">
      <c r="A405" s="632"/>
      <c r="B405" s="29"/>
      <c r="C405" s="527"/>
      <c r="D405" s="634"/>
      <c r="E405" s="634"/>
      <c r="F405" s="53"/>
      <c r="G405" s="82"/>
      <c r="H405" s="82"/>
      <c r="I405" s="92"/>
      <c r="J405" s="82"/>
      <c r="K405" s="80"/>
      <c r="L405" s="363"/>
      <c r="M405" s="33"/>
      <c r="N405" s="671"/>
    </row>
    <row r="406" spans="1:14" s="40" customFormat="1" ht="10.5" customHeight="1" outlineLevel="1">
      <c r="A406" s="632"/>
      <c r="B406" s="29"/>
      <c r="C406" s="527"/>
      <c r="D406" s="634"/>
      <c r="E406" s="689" t="s">
        <v>233</v>
      </c>
      <c r="F406" s="542" t="s">
        <v>18</v>
      </c>
      <c r="G406" s="543">
        <v>3302879</v>
      </c>
      <c r="H406" s="544">
        <f>ROUNDUP(3157500.01+L406,0)</f>
        <v>3288621</v>
      </c>
      <c r="I406" s="545">
        <f>IF(G406&gt;0,H406/G406*100,"-")</f>
        <v>99.56831600552124</v>
      </c>
      <c r="J406" s="543">
        <v>504307</v>
      </c>
      <c r="K406" s="543">
        <v>136307</v>
      </c>
      <c r="L406" s="546">
        <v>131120.1</v>
      </c>
      <c r="M406" s="545">
        <f>IF(K406&gt;0,L406/K406*100,"-")</f>
        <v>96.194692862435545</v>
      </c>
      <c r="N406" s="671"/>
    </row>
    <row r="407" spans="1:14" s="40" customFormat="1" ht="10.5" customHeight="1" outlineLevel="1">
      <c r="A407" s="632"/>
      <c r="B407" s="29"/>
      <c r="C407" s="527"/>
      <c r="D407" s="634"/>
      <c r="E407" s="689"/>
      <c r="F407" s="542" t="s">
        <v>221</v>
      </c>
      <c r="G407" s="543">
        <v>0</v>
      </c>
      <c r="H407" s="543">
        <f>ROUNDUP(0+L407,0)</f>
        <v>0</v>
      </c>
      <c r="I407" s="545" t="str">
        <f t="shared" ref="I407:I409" si="53">IF(G407&gt;0,H407/G407*100,"-")</f>
        <v>-</v>
      </c>
      <c r="J407" s="543">
        <v>0</v>
      </c>
      <c r="K407" s="543">
        <v>0</v>
      </c>
      <c r="L407" s="547">
        <v>0</v>
      </c>
      <c r="M407" s="545" t="str">
        <f t="shared" ref="M407:M409" si="54">IF(K407&gt;0,L407/K407*100,"-")</f>
        <v>-</v>
      </c>
      <c r="N407" s="671"/>
    </row>
    <row r="408" spans="1:14" s="40" customFormat="1" ht="10.5" customHeight="1" outlineLevel="1">
      <c r="A408" s="632"/>
      <c r="B408" s="29"/>
      <c r="C408" s="527"/>
      <c r="D408" s="634"/>
      <c r="E408" s="689"/>
      <c r="F408" s="542" t="s">
        <v>23</v>
      </c>
      <c r="G408" s="543">
        <v>0</v>
      </c>
      <c r="H408" s="543">
        <f>ROUNDUP(0+L408,0)</f>
        <v>0</v>
      </c>
      <c r="I408" s="545" t="str">
        <f t="shared" si="53"/>
        <v>-</v>
      </c>
      <c r="J408" s="543">
        <v>0</v>
      </c>
      <c r="K408" s="543">
        <v>0</v>
      </c>
      <c r="L408" s="547">
        <v>0</v>
      </c>
      <c r="M408" s="545" t="str">
        <f t="shared" si="54"/>
        <v>-</v>
      </c>
      <c r="N408" s="671"/>
    </row>
    <row r="409" spans="1:14" s="40" customFormat="1" ht="10.5" hidden="1" customHeight="1" outlineLevel="1">
      <c r="A409" s="632"/>
      <c r="B409" s="29"/>
      <c r="C409" s="527"/>
      <c r="D409" s="634"/>
      <c r="E409" s="689"/>
      <c r="F409" s="548" t="s">
        <v>383</v>
      </c>
      <c r="G409" s="543">
        <v>0</v>
      </c>
      <c r="H409" s="543">
        <f>ROUNDUP(0+L409,0)</f>
        <v>0</v>
      </c>
      <c r="I409" s="545" t="str">
        <f t="shared" si="53"/>
        <v>-</v>
      </c>
      <c r="J409" s="543">
        <v>0</v>
      </c>
      <c r="K409" s="543">
        <v>0</v>
      </c>
      <c r="L409" s="547">
        <v>0</v>
      </c>
      <c r="M409" s="545" t="str">
        <f t="shared" si="54"/>
        <v>-</v>
      </c>
      <c r="N409" s="671"/>
    </row>
    <row r="410" spans="1:14" s="40" customFormat="1" ht="6.95" customHeight="1" outlineLevel="1">
      <c r="A410" s="632"/>
      <c r="B410" s="29"/>
      <c r="C410" s="527"/>
      <c r="D410" s="634"/>
      <c r="E410" s="634"/>
      <c r="F410" s="548"/>
      <c r="G410" s="549"/>
      <c r="H410" s="549"/>
      <c r="I410" s="551"/>
      <c r="J410" s="549"/>
      <c r="K410" s="544"/>
      <c r="L410" s="547"/>
      <c r="M410" s="545"/>
      <c r="N410" s="671"/>
    </row>
    <row r="411" spans="1:14" s="40" customFormat="1" ht="10.5" customHeight="1" outlineLevel="1">
      <c r="A411" s="632"/>
      <c r="B411" s="29"/>
      <c r="C411" s="527"/>
      <c r="D411" s="634"/>
      <c r="E411" s="689" t="s">
        <v>234</v>
      </c>
      <c r="F411" s="542" t="s">
        <v>18</v>
      </c>
      <c r="G411" s="543">
        <v>9840</v>
      </c>
      <c r="H411" s="543">
        <f>9840+L411</f>
        <v>9840</v>
      </c>
      <c r="I411" s="545">
        <f>IF(G411&gt;0,H411/G411*100,"-")</f>
        <v>100</v>
      </c>
      <c r="J411" s="543">
        <v>0</v>
      </c>
      <c r="K411" s="543">
        <v>0</v>
      </c>
      <c r="L411" s="546">
        <v>0</v>
      </c>
      <c r="M411" s="545" t="str">
        <f>IF(K411&gt;0,L411/K411*100,"-")</f>
        <v>-</v>
      </c>
      <c r="N411" s="671"/>
    </row>
    <row r="412" spans="1:14" s="40" customFormat="1" ht="10.5" customHeight="1" outlineLevel="1">
      <c r="A412" s="632"/>
      <c r="B412" s="29"/>
      <c r="C412" s="527"/>
      <c r="D412" s="634"/>
      <c r="E412" s="689"/>
      <c r="F412" s="542" t="s">
        <v>221</v>
      </c>
      <c r="G412" s="543">
        <v>0</v>
      </c>
      <c r="H412" s="543">
        <f>ROUNDUP(0+L412,0)</f>
        <v>0</v>
      </c>
      <c r="I412" s="545" t="str">
        <f t="shared" ref="I412:I414" si="55">IF(G412&gt;0,H412/G412*100,"-")</f>
        <v>-</v>
      </c>
      <c r="J412" s="543">
        <v>0</v>
      </c>
      <c r="K412" s="543">
        <v>0</v>
      </c>
      <c r="L412" s="547">
        <v>0</v>
      </c>
      <c r="M412" s="545" t="str">
        <f t="shared" ref="M412:M414" si="56">IF(K412&gt;0,L412/K412*100,"-")</f>
        <v>-</v>
      </c>
      <c r="N412" s="671"/>
    </row>
    <row r="413" spans="1:14" s="40" customFormat="1" ht="10.5" customHeight="1" outlineLevel="1">
      <c r="A413" s="632"/>
      <c r="B413" s="29"/>
      <c r="C413" s="527"/>
      <c r="D413" s="634"/>
      <c r="E413" s="689"/>
      <c r="F413" s="542" t="s">
        <v>23</v>
      </c>
      <c r="G413" s="543">
        <v>0</v>
      </c>
      <c r="H413" s="543">
        <f>ROUNDUP(0+L413,0)</f>
        <v>0</v>
      </c>
      <c r="I413" s="545" t="str">
        <f t="shared" si="55"/>
        <v>-</v>
      </c>
      <c r="J413" s="543">
        <v>0</v>
      </c>
      <c r="K413" s="543">
        <v>0</v>
      </c>
      <c r="L413" s="547">
        <v>0</v>
      </c>
      <c r="M413" s="545" t="str">
        <f t="shared" si="56"/>
        <v>-</v>
      </c>
      <c r="N413" s="671"/>
    </row>
    <row r="414" spans="1:14" s="40" customFormat="1" ht="10.5" hidden="1" customHeight="1" outlineLevel="1">
      <c r="A414" s="632"/>
      <c r="B414" s="29"/>
      <c r="C414" s="527"/>
      <c r="D414" s="634"/>
      <c r="E414" s="689"/>
      <c r="F414" s="548" t="s">
        <v>383</v>
      </c>
      <c r="G414" s="543">
        <v>0</v>
      </c>
      <c r="H414" s="543">
        <f>ROUNDUP(0+L414,0)</f>
        <v>0</v>
      </c>
      <c r="I414" s="545" t="str">
        <f t="shared" si="55"/>
        <v>-</v>
      </c>
      <c r="J414" s="543">
        <v>0</v>
      </c>
      <c r="K414" s="543">
        <v>0</v>
      </c>
      <c r="L414" s="547">
        <v>0</v>
      </c>
      <c r="M414" s="545" t="str">
        <f t="shared" si="56"/>
        <v>-</v>
      </c>
      <c r="N414" s="671"/>
    </row>
    <row r="415" spans="1:14" s="40" customFormat="1" ht="3.95" customHeight="1" outlineLevel="1">
      <c r="A415" s="62"/>
      <c r="B415" s="36"/>
      <c r="C415" s="529"/>
      <c r="D415" s="648"/>
      <c r="E415" s="648"/>
      <c r="F415" s="36"/>
      <c r="G415" s="137"/>
      <c r="H415" s="137"/>
      <c r="I415" s="36"/>
      <c r="J415" s="137"/>
      <c r="K415" s="81"/>
      <c r="L415" s="37"/>
      <c r="M415" s="38"/>
      <c r="N415" s="648"/>
    </row>
    <row r="416" spans="1:14" s="40" customFormat="1" ht="3.95" customHeight="1" outlineLevel="1">
      <c r="A416" s="434"/>
      <c r="B416" s="26"/>
      <c r="C416" s="525"/>
      <c r="D416" s="639"/>
      <c r="E416" s="639"/>
      <c r="F416" s="26"/>
      <c r="G416" s="77"/>
      <c r="H416" s="77"/>
      <c r="I416" s="28"/>
      <c r="J416" s="77"/>
      <c r="K416" s="76"/>
      <c r="L416" s="407"/>
      <c r="M416" s="28"/>
      <c r="N416" s="541"/>
    </row>
    <row r="417" spans="1:14" s="40" customFormat="1" ht="22.5" outlineLevel="1">
      <c r="A417" s="660" t="s">
        <v>206</v>
      </c>
      <c r="B417" s="29" t="s">
        <v>29</v>
      </c>
      <c r="C417" s="527" t="s">
        <v>391</v>
      </c>
      <c r="D417" s="667" t="s">
        <v>238</v>
      </c>
      <c r="E417" s="661" t="s">
        <v>228</v>
      </c>
      <c r="F417" s="30" t="s">
        <v>30</v>
      </c>
      <c r="G417" s="78">
        <f>SUM(G418:G421)</f>
        <v>24293</v>
      </c>
      <c r="H417" s="78">
        <f>SUM(H418:H421)</f>
        <v>24293</v>
      </c>
      <c r="I417" s="15">
        <f>IF(G417&gt;0,H417/G417*100,"-")</f>
        <v>100</v>
      </c>
      <c r="J417" s="78">
        <f>SUM(J418:J421)</f>
        <v>24293</v>
      </c>
      <c r="K417" s="78">
        <f>SUM(K418:K421)</f>
        <v>24293</v>
      </c>
      <c r="L417" s="14">
        <f>SUM(L418:L421)</f>
        <v>24292.5</v>
      </c>
      <c r="M417" s="15">
        <f>IF(K417&gt;0,L417/K417*100,"-")</f>
        <v>99.997941793932412</v>
      </c>
      <c r="N417" s="671" t="s">
        <v>239</v>
      </c>
    </row>
    <row r="418" spans="1:14" s="40" customFormat="1" ht="11.1" customHeight="1" outlineLevel="1">
      <c r="A418" s="660"/>
      <c r="B418" s="29"/>
      <c r="C418" s="528" t="s">
        <v>240</v>
      </c>
      <c r="D418" s="667"/>
      <c r="E418" s="661"/>
      <c r="F418" s="31" t="s">
        <v>18</v>
      </c>
      <c r="G418" s="79">
        <v>24293</v>
      </c>
      <c r="H418" s="80">
        <f>ROUNDUP(0+L418,0)</f>
        <v>24293</v>
      </c>
      <c r="I418" s="33">
        <f>IF(G418&gt;0,H418/G418*100,"-")</f>
        <v>100</v>
      </c>
      <c r="J418" s="79">
        <v>24293</v>
      </c>
      <c r="K418" s="79">
        <v>24293</v>
      </c>
      <c r="L418" s="34">
        <v>24292.5</v>
      </c>
      <c r="M418" s="33">
        <f>IF(K418&gt;0,L418/K418*100,"-")</f>
        <v>99.997941793932412</v>
      </c>
      <c r="N418" s="671"/>
    </row>
    <row r="419" spans="1:14" s="40" customFormat="1" ht="22.5" outlineLevel="1">
      <c r="A419" s="660"/>
      <c r="B419" s="29" t="s">
        <v>24</v>
      </c>
      <c r="C419" s="528" t="s">
        <v>241</v>
      </c>
      <c r="D419" s="667"/>
      <c r="E419" s="661"/>
      <c r="F419" s="31" t="s">
        <v>221</v>
      </c>
      <c r="G419" s="79">
        <v>0</v>
      </c>
      <c r="H419" s="79">
        <f>ROUNDUP(0+L419,0)</f>
        <v>0</v>
      </c>
      <c r="I419" s="33" t="str">
        <f t="shared" ref="I419:I421" si="57">IF(G419&gt;0,H419/G419*100,"-")</f>
        <v>-</v>
      </c>
      <c r="J419" s="79">
        <v>0</v>
      </c>
      <c r="K419" s="79">
        <v>0</v>
      </c>
      <c r="L419" s="363">
        <v>0</v>
      </c>
      <c r="M419" s="33" t="str">
        <f t="shared" ref="M419:M421" si="58">IF(K419&gt;0,L419/K419*100,"-")</f>
        <v>-</v>
      </c>
      <c r="N419" s="671"/>
    </row>
    <row r="420" spans="1:14" s="40" customFormat="1" ht="11.1" customHeight="1" outlineLevel="1">
      <c r="A420" s="660"/>
      <c r="B420" s="29"/>
      <c r="C420" s="528" t="s">
        <v>240</v>
      </c>
      <c r="D420" s="667"/>
      <c r="E420" s="661"/>
      <c r="F420" s="31" t="s">
        <v>23</v>
      </c>
      <c r="G420" s="79">
        <v>0</v>
      </c>
      <c r="H420" s="79">
        <f>ROUNDUP(0+L420,0)</f>
        <v>0</v>
      </c>
      <c r="I420" s="33" t="str">
        <f t="shared" si="57"/>
        <v>-</v>
      </c>
      <c r="J420" s="79">
        <v>0</v>
      </c>
      <c r="K420" s="79">
        <v>0</v>
      </c>
      <c r="L420" s="363">
        <v>0</v>
      </c>
      <c r="M420" s="33" t="str">
        <f t="shared" si="58"/>
        <v>-</v>
      </c>
      <c r="N420" s="671"/>
    </row>
    <row r="421" spans="1:14" s="40" customFormat="1" ht="11.1" hidden="1" customHeight="1" outlineLevel="1">
      <c r="A421" s="632"/>
      <c r="B421" s="29"/>
      <c r="C421" s="528"/>
      <c r="D421" s="667"/>
      <c r="E421" s="661"/>
      <c r="F421" s="53" t="s">
        <v>383</v>
      </c>
      <c r="G421" s="79">
        <v>0</v>
      </c>
      <c r="H421" s="79">
        <f>ROUNDUP(0+L421,0)</f>
        <v>0</v>
      </c>
      <c r="I421" s="33" t="str">
        <f t="shared" si="57"/>
        <v>-</v>
      </c>
      <c r="J421" s="79">
        <v>0</v>
      </c>
      <c r="K421" s="79">
        <v>0</v>
      </c>
      <c r="L421" s="363">
        <v>0</v>
      </c>
      <c r="M421" s="33" t="str">
        <f t="shared" si="58"/>
        <v>-</v>
      </c>
      <c r="N421" s="671"/>
    </row>
    <row r="422" spans="1:14" s="40" customFormat="1" ht="3.95" customHeight="1" outlineLevel="1">
      <c r="A422" s="62"/>
      <c r="B422" s="36"/>
      <c r="C422" s="529"/>
      <c r="D422" s="638"/>
      <c r="E422" s="638"/>
      <c r="F422" s="36"/>
      <c r="G422" s="137"/>
      <c r="H422" s="137"/>
      <c r="I422" s="36"/>
      <c r="J422" s="137"/>
      <c r="K422" s="81"/>
      <c r="L422" s="37"/>
      <c r="M422" s="38"/>
      <c r="N422" s="530"/>
    </row>
    <row r="423" spans="1:14" s="40" customFormat="1" ht="3.95" customHeight="1">
      <c r="A423" s="16"/>
      <c r="B423" s="413"/>
      <c r="C423" s="519"/>
      <c r="D423" s="17"/>
      <c r="E423" s="17"/>
      <c r="F423" s="16"/>
      <c r="G423" s="72"/>
      <c r="H423" s="72"/>
      <c r="I423" s="19"/>
      <c r="J423" s="72"/>
      <c r="K423" s="72"/>
      <c r="L423" s="18"/>
      <c r="M423" s="19"/>
      <c r="N423" s="520"/>
    </row>
    <row r="424" spans="1:14" s="40" customFormat="1" ht="11.25" customHeight="1">
      <c r="A424" s="5" t="s">
        <v>56</v>
      </c>
      <c r="B424" s="658" t="s">
        <v>242</v>
      </c>
      <c r="C424" s="659"/>
      <c r="D424" s="6"/>
      <c r="E424" s="6"/>
      <c r="F424" s="7"/>
      <c r="G424" s="73">
        <f>SUM(G425:G428)</f>
        <v>20245529</v>
      </c>
      <c r="H424" s="73">
        <f>SUM(H425:H428)</f>
        <v>1344819</v>
      </c>
      <c r="I424" s="9">
        <f>IF(G424&gt;0,H424/G424*100,"-")</f>
        <v>6.6425480904944489</v>
      </c>
      <c r="J424" s="73">
        <f>SUM(J425:J428)</f>
        <v>3425800</v>
      </c>
      <c r="K424" s="73">
        <f>SUM(K425:K428)</f>
        <v>1790821</v>
      </c>
      <c r="L424" s="8">
        <f>SUM(L425:L428)</f>
        <v>21070</v>
      </c>
      <c r="M424" s="9">
        <f>IF(K424&gt;0,L424/K424*100,"-")</f>
        <v>1.1765553341177035</v>
      </c>
      <c r="N424" s="521"/>
    </row>
    <row r="425" spans="1:14" s="40" customFormat="1" ht="11.25" customHeight="1">
      <c r="A425" s="7"/>
      <c r="B425" s="651"/>
      <c r="C425" s="554"/>
      <c r="D425" s="6"/>
      <c r="E425" s="6"/>
      <c r="F425" s="11" t="s">
        <v>18</v>
      </c>
      <c r="G425" s="74">
        <f t="shared" ref="G425:H428" si="59">G432+G439+G446+G453</f>
        <v>12245529</v>
      </c>
      <c r="H425" s="74">
        <f t="shared" si="59"/>
        <v>1344819</v>
      </c>
      <c r="I425" s="13">
        <f>IF(G425&gt;0,H425/G425*100,"-")</f>
        <v>10.98212253631509</v>
      </c>
      <c r="J425" s="74">
        <f t="shared" ref="J425:L428" si="60">J432+J439+J446+J453</f>
        <v>3425800</v>
      </c>
      <c r="K425" s="74">
        <f t="shared" si="60"/>
        <v>1790821</v>
      </c>
      <c r="L425" s="12">
        <f t="shared" si="60"/>
        <v>21070</v>
      </c>
      <c r="M425" s="13">
        <f>IF(K425&gt;0,L425/K425*100,"-")</f>
        <v>1.1765553341177035</v>
      </c>
      <c r="N425" s="521"/>
    </row>
    <row r="426" spans="1:14" s="40" customFormat="1" ht="11.25" customHeight="1">
      <c r="A426" s="7"/>
      <c r="B426" s="651"/>
      <c r="C426" s="554"/>
      <c r="D426" s="6"/>
      <c r="E426" s="6"/>
      <c r="F426" s="11" t="s">
        <v>221</v>
      </c>
      <c r="G426" s="74">
        <f t="shared" si="59"/>
        <v>0</v>
      </c>
      <c r="H426" s="74">
        <f t="shared" si="59"/>
        <v>0</v>
      </c>
      <c r="I426" s="13" t="str">
        <f t="shared" ref="I426:I428" si="61">IF(G426&gt;0,H426/G426*100,"-")</f>
        <v>-</v>
      </c>
      <c r="J426" s="74">
        <f t="shared" si="60"/>
        <v>0</v>
      </c>
      <c r="K426" s="74">
        <f t="shared" si="60"/>
        <v>0</v>
      </c>
      <c r="L426" s="12">
        <f t="shared" si="60"/>
        <v>0</v>
      </c>
      <c r="M426" s="13" t="str">
        <f t="shared" ref="M426:M428" si="62">IF(K426&gt;0,L426/K426*100,"-")</f>
        <v>-</v>
      </c>
      <c r="N426" s="521"/>
    </row>
    <row r="427" spans="1:14" s="40" customFormat="1" ht="11.25" customHeight="1">
      <c r="A427" s="7"/>
      <c r="B427" s="651"/>
      <c r="C427" s="554"/>
      <c r="D427" s="6"/>
      <c r="E427" s="6"/>
      <c r="F427" s="11" t="s">
        <v>23</v>
      </c>
      <c r="G427" s="74">
        <f t="shared" si="59"/>
        <v>8000000</v>
      </c>
      <c r="H427" s="74">
        <f t="shared" si="59"/>
        <v>0</v>
      </c>
      <c r="I427" s="13">
        <f t="shared" si="61"/>
        <v>0</v>
      </c>
      <c r="J427" s="74">
        <f t="shared" si="60"/>
        <v>0</v>
      </c>
      <c r="K427" s="74">
        <f t="shared" si="60"/>
        <v>0</v>
      </c>
      <c r="L427" s="12">
        <f t="shared" si="60"/>
        <v>0</v>
      </c>
      <c r="M427" s="13" t="str">
        <f t="shared" si="62"/>
        <v>-</v>
      </c>
      <c r="N427" s="521"/>
    </row>
    <row r="428" spans="1:14" s="40" customFormat="1" ht="11.25" hidden="1" customHeight="1">
      <c r="A428" s="7"/>
      <c r="B428" s="651"/>
      <c r="C428" s="554"/>
      <c r="D428" s="6"/>
      <c r="E428" s="6"/>
      <c r="F428" s="11" t="s">
        <v>383</v>
      </c>
      <c r="G428" s="74">
        <f t="shared" si="59"/>
        <v>0</v>
      </c>
      <c r="H428" s="74">
        <f t="shared" si="59"/>
        <v>0</v>
      </c>
      <c r="I428" s="13" t="str">
        <f t="shared" si="61"/>
        <v>-</v>
      </c>
      <c r="J428" s="74">
        <f t="shared" si="60"/>
        <v>0</v>
      </c>
      <c r="K428" s="74">
        <f t="shared" si="60"/>
        <v>0</v>
      </c>
      <c r="L428" s="12">
        <f t="shared" si="60"/>
        <v>0</v>
      </c>
      <c r="M428" s="13" t="str">
        <f t="shared" si="62"/>
        <v>-</v>
      </c>
      <c r="N428" s="521"/>
    </row>
    <row r="429" spans="1:14" s="40" customFormat="1" ht="3.95" customHeight="1">
      <c r="A429" s="20"/>
      <c r="B429" s="21"/>
      <c r="C429" s="523"/>
      <c r="D429" s="22"/>
      <c r="E429" s="22"/>
      <c r="F429" s="20"/>
      <c r="G429" s="75"/>
      <c r="H429" s="75"/>
      <c r="I429" s="24"/>
      <c r="J429" s="74"/>
      <c r="K429" s="75"/>
      <c r="L429" s="23"/>
      <c r="M429" s="24"/>
      <c r="N429" s="524"/>
    </row>
    <row r="430" spans="1:14" s="40" customFormat="1" ht="3.75" customHeight="1" outlineLevel="1">
      <c r="A430" s="434"/>
      <c r="B430" s="26"/>
      <c r="C430" s="525"/>
      <c r="D430" s="639"/>
      <c r="E430" s="639"/>
      <c r="F430" s="26"/>
      <c r="G430" s="77"/>
      <c r="H430" s="77"/>
      <c r="I430" s="28"/>
      <c r="J430" s="77"/>
      <c r="K430" s="76"/>
      <c r="L430" s="407"/>
      <c r="M430" s="28"/>
      <c r="N430" s="555"/>
    </row>
    <row r="431" spans="1:14" s="40" customFormat="1" ht="24.75" customHeight="1" outlineLevel="1">
      <c r="A431" s="660" t="s">
        <v>207</v>
      </c>
      <c r="B431" s="29" t="s">
        <v>29</v>
      </c>
      <c r="C431" s="527" t="s">
        <v>243</v>
      </c>
      <c r="D431" s="661" t="s">
        <v>224</v>
      </c>
      <c r="E431" s="661" t="s">
        <v>244</v>
      </c>
      <c r="F431" s="30" t="s">
        <v>30</v>
      </c>
      <c r="G431" s="78">
        <f>SUM(G432:G435)</f>
        <v>16750659</v>
      </c>
      <c r="H431" s="78">
        <f>SUM(H432:H435)</f>
        <v>750659</v>
      </c>
      <c r="I431" s="15">
        <f>IF(G431&gt;0,H431/G431*100,"-")</f>
        <v>4.4813699568476677</v>
      </c>
      <c r="J431" s="78">
        <f>SUM(J432:J435)</f>
        <v>0</v>
      </c>
      <c r="K431" s="78">
        <f>SUM(K432:K435)</f>
        <v>0</v>
      </c>
      <c r="L431" s="14">
        <f>SUM(L432:L435)</f>
        <v>0</v>
      </c>
      <c r="M431" s="15" t="str">
        <f>IF(K431&gt;0,L431/K431*100,"-")</f>
        <v>-</v>
      </c>
      <c r="N431" s="678" t="s">
        <v>392</v>
      </c>
    </row>
    <row r="432" spans="1:14" s="40" customFormat="1" ht="24.75" customHeight="1" outlineLevel="1">
      <c r="A432" s="660"/>
      <c r="B432" s="29" t="s">
        <v>24</v>
      </c>
      <c r="C432" s="528" t="s">
        <v>509</v>
      </c>
      <c r="D432" s="661"/>
      <c r="E432" s="661"/>
      <c r="F432" s="31" t="s">
        <v>18</v>
      </c>
      <c r="G432" s="79">
        <v>8750659</v>
      </c>
      <c r="H432" s="80">
        <f>ROUNDUP(750659+L432,0)</f>
        <v>750659</v>
      </c>
      <c r="I432" s="33">
        <f>IF(G432&gt;0,H432/G432*100,"-")</f>
        <v>8.5783139304136977</v>
      </c>
      <c r="J432" s="79">
        <v>0</v>
      </c>
      <c r="K432" s="79">
        <v>0</v>
      </c>
      <c r="L432" s="34">
        <v>0</v>
      </c>
      <c r="M432" s="33" t="str">
        <f>IF(K432&gt;0,L432/K432*100,"-")</f>
        <v>-</v>
      </c>
      <c r="N432" s="678"/>
    </row>
    <row r="433" spans="1:14" s="40" customFormat="1" ht="11.1" customHeight="1" outlineLevel="1">
      <c r="A433" s="660"/>
      <c r="B433" s="29"/>
      <c r="C433" s="527"/>
      <c r="D433" s="661"/>
      <c r="E433" s="661"/>
      <c r="F433" s="31" t="s">
        <v>221</v>
      </c>
      <c r="G433" s="79">
        <v>0</v>
      </c>
      <c r="H433" s="79">
        <f>ROUNDUP(0+L433,0)</f>
        <v>0</v>
      </c>
      <c r="I433" s="33" t="str">
        <f t="shared" ref="I433:I435" si="63">IF(G433&gt;0,H433/G433*100,"-")</f>
        <v>-</v>
      </c>
      <c r="J433" s="79">
        <v>0</v>
      </c>
      <c r="K433" s="79">
        <v>0</v>
      </c>
      <c r="L433" s="363">
        <v>0</v>
      </c>
      <c r="M433" s="33" t="str">
        <f t="shared" ref="M433:M435" si="64">IF(K433&gt;0,L433/K433*100,"-")</f>
        <v>-</v>
      </c>
      <c r="N433" s="678"/>
    </row>
    <row r="434" spans="1:14" s="40" customFormat="1" ht="11.1" customHeight="1" outlineLevel="1">
      <c r="A434" s="660"/>
      <c r="B434" s="29"/>
      <c r="C434" s="528"/>
      <c r="D434" s="661"/>
      <c r="E434" s="661"/>
      <c r="F434" s="31" t="s">
        <v>23</v>
      </c>
      <c r="G434" s="79">
        <v>8000000</v>
      </c>
      <c r="H434" s="79">
        <f>ROUNDUP(0+L434,0)</f>
        <v>0</v>
      </c>
      <c r="I434" s="33">
        <f t="shared" si="63"/>
        <v>0</v>
      </c>
      <c r="J434" s="79">
        <v>0</v>
      </c>
      <c r="K434" s="79">
        <v>0</v>
      </c>
      <c r="L434" s="363">
        <v>0</v>
      </c>
      <c r="M434" s="33" t="str">
        <f t="shared" si="64"/>
        <v>-</v>
      </c>
      <c r="N434" s="678"/>
    </row>
    <row r="435" spans="1:14" s="40" customFormat="1" ht="11.1" hidden="1" customHeight="1" outlineLevel="1">
      <c r="A435" s="632"/>
      <c r="B435" s="29"/>
      <c r="C435" s="528"/>
      <c r="D435" s="661"/>
      <c r="E435" s="661"/>
      <c r="F435" s="53" t="s">
        <v>383</v>
      </c>
      <c r="G435" s="79">
        <v>0</v>
      </c>
      <c r="H435" s="79">
        <f>ROUNDUP(0+L435,0)</f>
        <v>0</v>
      </c>
      <c r="I435" s="33" t="str">
        <f t="shared" si="63"/>
        <v>-</v>
      </c>
      <c r="J435" s="79">
        <v>0</v>
      </c>
      <c r="K435" s="79">
        <v>0</v>
      </c>
      <c r="L435" s="363">
        <v>0</v>
      </c>
      <c r="M435" s="33" t="str">
        <f t="shared" si="64"/>
        <v>-</v>
      </c>
      <c r="N435" s="678"/>
    </row>
    <row r="436" spans="1:14" s="40" customFormat="1" ht="3.95" customHeight="1" outlineLevel="1">
      <c r="A436" s="62"/>
      <c r="B436" s="36"/>
      <c r="C436" s="529"/>
      <c r="D436" s="638"/>
      <c r="E436" s="638"/>
      <c r="F436" s="36"/>
      <c r="G436" s="137"/>
      <c r="H436" s="137"/>
      <c r="I436" s="36"/>
      <c r="J436" s="137"/>
      <c r="K436" s="81"/>
      <c r="L436" s="37"/>
      <c r="M436" s="38"/>
      <c r="N436" s="556"/>
    </row>
    <row r="437" spans="1:14" s="40" customFormat="1" ht="3" customHeight="1" outlineLevel="1">
      <c r="A437" s="434"/>
      <c r="B437" s="26"/>
      <c r="C437" s="525"/>
      <c r="D437" s="639"/>
      <c r="E437" s="639"/>
      <c r="F437" s="26"/>
      <c r="G437" s="77"/>
      <c r="H437" s="77"/>
      <c r="I437" s="28"/>
      <c r="J437" s="77"/>
      <c r="K437" s="76"/>
      <c r="L437" s="407"/>
      <c r="M437" s="28"/>
      <c r="N437" s="557"/>
    </row>
    <row r="438" spans="1:14" s="40" customFormat="1" ht="21" customHeight="1" outlineLevel="1">
      <c r="A438" s="660" t="s">
        <v>208</v>
      </c>
      <c r="B438" s="29" t="s">
        <v>29</v>
      </c>
      <c r="C438" s="527" t="s">
        <v>510</v>
      </c>
      <c r="D438" s="661" t="s">
        <v>245</v>
      </c>
      <c r="E438" s="661" t="s">
        <v>246</v>
      </c>
      <c r="F438" s="30" t="s">
        <v>30</v>
      </c>
      <c r="G438" s="78">
        <f>SUM(G439:G442)</f>
        <v>1570601</v>
      </c>
      <c r="H438" s="78">
        <f>SUM(H439:H442)</f>
        <v>523890</v>
      </c>
      <c r="I438" s="15">
        <f>IF(G438&gt;0,H438/G438*100,"-")</f>
        <v>33.356021039079948</v>
      </c>
      <c r="J438" s="78">
        <f>SUM(J439:J442)</f>
        <v>0</v>
      </c>
      <c r="K438" s="78">
        <f>SUM(K439:K442)</f>
        <v>0</v>
      </c>
      <c r="L438" s="14">
        <f>SUM(L439:L442)</f>
        <v>0</v>
      </c>
      <c r="M438" s="15" t="str">
        <f>IF(K438&gt;0,L438/K438*100,"-")</f>
        <v>-</v>
      </c>
      <c r="N438" s="678" t="s">
        <v>393</v>
      </c>
    </row>
    <row r="439" spans="1:14" s="40" customFormat="1" ht="11.1" customHeight="1" outlineLevel="1">
      <c r="A439" s="660"/>
      <c r="B439" s="29"/>
      <c r="C439" s="528"/>
      <c r="D439" s="661"/>
      <c r="E439" s="661"/>
      <c r="F439" s="31" t="s">
        <v>18</v>
      </c>
      <c r="G439" s="79">
        <v>1570601</v>
      </c>
      <c r="H439" s="79">
        <f>ROUNDUP(523890+L439,0)</f>
        <v>523890</v>
      </c>
      <c r="I439" s="33">
        <f>IF(G439&gt;0,H439/G439*100,"-")</f>
        <v>33.356021039079948</v>
      </c>
      <c r="J439" s="79">
        <v>0</v>
      </c>
      <c r="K439" s="79">
        <v>0</v>
      </c>
      <c r="L439" s="34">
        <v>0</v>
      </c>
      <c r="M439" s="33" t="str">
        <f>IF(K439&gt;0,L439/K439*100,"-")</f>
        <v>-</v>
      </c>
      <c r="N439" s="678"/>
    </row>
    <row r="440" spans="1:14" s="40" customFormat="1" ht="22.5" outlineLevel="1">
      <c r="A440" s="660"/>
      <c r="B440" s="29" t="s">
        <v>24</v>
      </c>
      <c r="C440" s="528" t="s">
        <v>394</v>
      </c>
      <c r="D440" s="661"/>
      <c r="E440" s="661"/>
      <c r="F440" s="31" t="s">
        <v>221</v>
      </c>
      <c r="G440" s="79">
        <v>0</v>
      </c>
      <c r="H440" s="79">
        <f>ROUNDUP(0+L440,0)</f>
        <v>0</v>
      </c>
      <c r="I440" s="33" t="str">
        <f t="shared" ref="I440:I442" si="65">IF(G440&gt;0,H440/G440*100,"-")</f>
        <v>-</v>
      </c>
      <c r="J440" s="79">
        <v>0</v>
      </c>
      <c r="K440" s="79">
        <v>0</v>
      </c>
      <c r="L440" s="363">
        <v>0</v>
      </c>
      <c r="M440" s="33" t="str">
        <f t="shared" ref="M440:M442" si="66">IF(K440&gt;0,L440/K440*100,"-")</f>
        <v>-</v>
      </c>
      <c r="N440" s="678"/>
    </row>
    <row r="441" spans="1:14" s="40" customFormat="1" ht="11.1" customHeight="1" outlineLevel="1">
      <c r="A441" s="660"/>
      <c r="B441" s="29"/>
      <c r="C441" s="527"/>
      <c r="D441" s="661"/>
      <c r="E441" s="661"/>
      <c r="F441" s="31" t="s">
        <v>23</v>
      </c>
      <c r="G441" s="79">
        <v>0</v>
      </c>
      <c r="H441" s="79">
        <f>ROUNDUP(0+L441,0)</f>
        <v>0</v>
      </c>
      <c r="I441" s="33" t="str">
        <f t="shared" si="65"/>
        <v>-</v>
      </c>
      <c r="J441" s="79">
        <v>0</v>
      </c>
      <c r="K441" s="79">
        <v>0</v>
      </c>
      <c r="L441" s="363">
        <v>0</v>
      </c>
      <c r="M441" s="33" t="str">
        <f t="shared" si="66"/>
        <v>-</v>
      </c>
      <c r="N441" s="678"/>
    </row>
    <row r="442" spans="1:14" s="40" customFormat="1" ht="11.1" hidden="1" customHeight="1" outlineLevel="1">
      <c r="A442" s="632"/>
      <c r="B442" s="29"/>
      <c r="C442" s="527"/>
      <c r="D442" s="661"/>
      <c r="E442" s="661"/>
      <c r="F442" s="53" t="s">
        <v>383</v>
      </c>
      <c r="G442" s="79">
        <v>0</v>
      </c>
      <c r="H442" s="79">
        <f>ROUNDUP(0+L442,0)</f>
        <v>0</v>
      </c>
      <c r="I442" s="33" t="str">
        <f t="shared" si="65"/>
        <v>-</v>
      </c>
      <c r="J442" s="79">
        <v>0</v>
      </c>
      <c r="K442" s="79">
        <v>0</v>
      </c>
      <c r="L442" s="363">
        <v>0</v>
      </c>
      <c r="M442" s="33" t="str">
        <f t="shared" si="66"/>
        <v>-</v>
      </c>
      <c r="N442" s="678"/>
    </row>
    <row r="443" spans="1:14" s="40" customFormat="1" ht="3" customHeight="1" outlineLevel="1">
      <c r="A443" s="62"/>
      <c r="B443" s="36"/>
      <c r="C443" s="529"/>
      <c r="D443" s="638"/>
      <c r="E443" s="638"/>
      <c r="F443" s="36"/>
      <c r="G443" s="137"/>
      <c r="H443" s="137"/>
      <c r="I443" s="36"/>
      <c r="J443" s="137"/>
      <c r="K443" s="81"/>
      <c r="L443" s="37"/>
      <c r="M443" s="38"/>
      <c r="N443" s="556"/>
    </row>
    <row r="444" spans="1:14" s="40" customFormat="1" ht="3" customHeight="1" outlineLevel="1">
      <c r="A444" s="434"/>
      <c r="B444" s="26"/>
      <c r="C444" s="525"/>
      <c r="D444" s="639"/>
      <c r="E444" s="639"/>
      <c r="F444" s="26"/>
      <c r="G444" s="77"/>
      <c r="H444" s="77"/>
      <c r="I444" s="28"/>
      <c r="J444" s="77"/>
      <c r="K444" s="76"/>
      <c r="L444" s="407"/>
      <c r="M444" s="28"/>
      <c r="N444" s="557"/>
    </row>
    <row r="445" spans="1:14" s="40" customFormat="1" ht="22.5" customHeight="1" outlineLevel="1">
      <c r="A445" s="660" t="s">
        <v>209</v>
      </c>
      <c r="B445" s="29" t="s">
        <v>29</v>
      </c>
      <c r="C445" s="527" t="s">
        <v>395</v>
      </c>
      <c r="D445" s="661" t="s">
        <v>396</v>
      </c>
      <c r="E445" s="661" t="s">
        <v>248</v>
      </c>
      <c r="F445" s="30" t="s">
        <v>30</v>
      </c>
      <c r="G445" s="78">
        <f>SUM(G446:G449)</f>
        <v>591972</v>
      </c>
      <c r="H445" s="78">
        <f>SUM(H446:H449)</f>
        <v>15412</v>
      </c>
      <c r="I445" s="15">
        <f>IF(G445&gt;0,H445/G445*100,"-")</f>
        <v>2.60350151696364</v>
      </c>
      <c r="J445" s="78">
        <f>SUM(J446:J449)</f>
        <v>825000</v>
      </c>
      <c r="K445" s="78">
        <f>SUM(K446:K449)</f>
        <v>560724</v>
      </c>
      <c r="L445" s="14">
        <f>SUM(L446:L449)</f>
        <v>15412</v>
      </c>
      <c r="M445" s="15">
        <f>IF(K445&gt;0,L445/K445*100,"-")</f>
        <v>2.7485893238027979</v>
      </c>
      <c r="N445" s="678" t="s">
        <v>397</v>
      </c>
    </row>
    <row r="446" spans="1:14" s="40" customFormat="1" ht="21.75" customHeight="1" outlineLevel="1">
      <c r="A446" s="660"/>
      <c r="B446" s="29"/>
      <c r="C446" s="528" t="s">
        <v>249</v>
      </c>
      <c r="D446" s="661"/>
      <c r="E446" s="661"/>
      <c r="F446" s="31" t="s">
        <v>18</v>
      </c>
      <c r="G446" s="79">
        <v>591972</v>
      </c>
      <c r="H446" s="79">
        <f>ROUNDUP(0+L446,0)</f>
        <v>15412</v>
      </c>
      <c r="I446" s="33">
        <f>IF(G446&gt;0,H446/G446*100,"-")</f>
        <v>2.60350151696364</v>
      </c>
      <c r="J446" s="79">
        <v>825000</v>
      </c>
      <c r="K446" s="79">
        <v>560724</v>
      </c>
      <c r="L446" s="34">
        <v>15412</v>
      </c>
      <c r="M446" s="33">
        <f>IF(K446&gt;0,L446/K446*100,"-")</f>
        <v>2.7485893238027979</v>
      </c>
      <c r="N446" s="678"/>
    </row>
    <row r="447" spans="1:14" s="40" customFormat="1" ht="15" customHeight="1" outlineLevel="1">
      <c r="A447" s="660"/>
      <c r="B447" s="29"/>
      <c r="C447" s="528" t="s">
        <v>250</v>
      </c>
      <c r="D447" s="661"/>
      <c r="E447" s="661"/>
      <c r="F447" s="31" t="s">
        <v>221</v>
      </c>
      <c r="G447" s="79">
        <v>0</v>
      </c>
      <c r="H447" s="79">
        <f>ROUNDUP(0+L447,0)</f>
        <v>0</v>
      </c>
      <c r="I447" s="33" t="str">
        <f t="shared" ref="I447:I449" si="67">IF(G447&gt;0,H447/G447*100,"-")</f>
        <v>-</v>
      </c>
      <c r="J447" s="79">
        <v>0</v>
      </c>
      <c r="K447" s="79">
        <v>0</v>
      </c>
      <c r="L447" s="363">
        <v>0</v>
      </c>
      <c r="M447" s="33" t="str">
        <f t="shared" ref="M447:M449" si="68">IF(K447&gt;0,L447/K447*100,"-")</f>
        <v>-</v>
      </c>
      <c r="N447" s="678"/>
    </row>
    <row r="448" spans="1:14" s="40" customFormat="1" ht="23.25" customHeight="1" outlineLevel="1">
      <c r="A448" s="660"/>
      <c r="B448" s="29" t="s">
        <v>24</v>
      </c>
      <c r="C448" s="527" t="s">
        <v>251</v>
      </c>
      <c r="D448" s="661"/>
      <c r="E448" s="661"/>
      <c r="F448" s="31" t="s">
        <v>23</v>
      </c>
      <c r="G448" s="79">
        <v>0</v>
      </c>
      <c r="H448" s="79">
        <f>ROUNDUP(0+L448,0)</f>
        <v>0</v>
      </c>
      <c r="I448" s="33" t="str">
        <f t="shared" si="67"/>
        <v>-</v>
      </c>
      <c r="J448" s="79">
        <v>0</v>
      </c>
      <c r="K448" s="79">
        <v>0</v>
      </c>
      <c r="L448" s="363">
        <v>0</v>
      </c>
      <c r="M448" s="33" t="str">
        <f t="shared" si="68"/>
        <v>-</v>
      </c>
      <c r="N448" s="678"/>
    </row>
    <row r="449" spans="1:14" s="40" customFormat="1" ht="11.1" hidden="1" customHeight="1" outlineLevel="1">
      <c r="A449" s="632"/>
      <c r="B449" s="29"/>
      <c r="C449" s="527"/>
      <c r="D449" s="661"/>
      <c r="E449" s="661"/>
      <c r="F449" s="53" t="s">
        <v>383</v>
      </c>
      <c r="G449" s="79">
        <v>0</v>
      </c>
      <c r="H449" s="79">
        <f>ROUNDUP(0+L449,0)</f>
        <v>0</v>
      </c>
      <c r="I449" s="33" t="str">
        <f t="shared" si="67"/>
        <v>-</v>
      </c>
      <c r="J449" s="79">
        <v>0</v>
      </c>
      <c r="K449" s="79">
        <v>0</v>
      </c>
      <c r="L449" s="363">
        <v>0</v>
      </c>
      <c r="M449" s="33" t="str">
        <f t="shared" si="68"/>
        <v>-</v>
      </c>
      <c r="N449" s="678"/>
    </row>
    <row r="450" spans="1:14" s="40" customFormat="1" ht="3" customHeight="1" outlineLevel="1">
      <c r="A450" s="62"/>
      <c r="B450" s="36"/>
      <c r="C450" s="529"/>
      <c r="D450" s="638"/>
      <c r="E450" s="638"/>
      <c r="F450" s="36"/>
      <c r="G450" s="137"/>
      <c r="H450" s="137"/>
      <c r="I450" s="36"/>
      <c r="J450" s="137"/>
      <c r="K450" s="81"/>
      <c r="L450" s="37"/>
      <c r="M450" s="38"/>
      <c r="N450" s="556"/>
    </row>
    <row r="451" spans="1:14" s="40" customFormat="1" ht="3" customHeight="1" outlineLevel="1">
      <c r="A451" s="434"/>
      <c r="B451" s="26"/>
      <c r="C451" s="525"/>
      <c r="D451" s="639"/>
      <c r="E451" s="639"/>
      <c r="F451" s="26"/>
      <c r="G451" s="77"/>
      <c r="H451" s="77"/>
      <c r="I451" s="28"/>
      <c r="J451" s="77"/>
      <c r="K451" s="76"/>
      <c r="L451" s="407"/>
      <c r="M451" s="28"/>
      <c r="N451" s="557"/>
    </row>
    <row r="452" spans="1:14" s="40" customFormat="1" ht="11.1" customHeight="1" outlineLevel="1">
      <c r="A452" s="660" t="s">
        <v>210</v>
      </c>
      <c r="B452" s="29" t="s">
        <v>29</v>
      </c>
      <c r="C452" s="527" t="s">
        <v>252</v>
      </c>
      <c r="D452" s="661" t="s">
        <v>396</v>
      </c>
      <c r="E452" s="661" t="s">
        <v>248</v>
      </c>
      <c r="F452" s="30" t="s">
        <v>30</v>
      </c>
      <c r="G452" s="78">
        <f>SUM(G453:G456)</f>
        <v>1332297</v>
      </c>
      <c r="H452" s="78">
        <f>SUM(H453:H456)</f>
        <v>54858</v>
      </c>
      <c r="I452" s="15">
        <f>IF(G452&gt;0,H452/G452*100,"-")</f>
        <v>4.117550366021991</v>
      </c>
      <c r="J452" s="78">
        <f>SUM(J453:J456)</f>
        <v>2600800</v>
      </c>
      <c r="K452" s="78">
        <f>SUM(K453:K456)</f>
        <v>1230097</v>
      </c>
      <c r="L452" s="14">
        <f>SUM(L453:L456)</f>
        <v>5658</v>
      </c>
      <c r="M452" s="15">
        <f>IF(K452&gt;0,L452/K452*100,"-")</f>
        <v>0.45996372643783379</v>
      </c>
      <c r="N452" s="678" t="s">
        <v>398</v>
      </c>
    </row>
    <row r="453" spans="1:14" s="40" customFormat="1" ht="24" customHeight="1" outlineLevel="1">
      <c r="A453" s="660"/>
      <c r="B453" s="29"/>
      <c r="C453" s="657" t="s">
        <v>551</v>
      </c>
      <c r="D453" s="661"/>
      <c r="E453" s="661"/>
      <c r="F453" s="31" t="s">
        <v>18</v>
      </c>
      <c r="G453" s="80">
        <v>1332297</v>
      </c>
      <c r="H453" s="79">
        <f>ROUNDUP(49200+L453,0)</f>
        <v>54858</v>
      </c>
      <c r="I453" s="33">
        <f>IF(G453&gt;0,H453/G453*100,"-")</f>
        <v>4.117550366021991</v>
      </c>
      <c r="J453" s="79">
        <v>2600800</v>
      </c>
      <c r="K453" s="79">
        <v>1230097</v>
      </c>
      <c r="L453" s="34">
        <v>5658</v>
      </c>
      <c r="M453" s="33">
        <f>IF(K453&gt;0,L453/K453*100,"-")</f>
        <v>0.45996372643783379</v>
      </c>
      <c r="N453" s="678"/>
    </row>
    <row r="454" spans="1:14" s="40" customFormat="1" ht="21" customHeight="1" outlineLevel="1">
      <c r="A454" s="660"/>
      <c r="B454" s="29"/>
      <c r="C454" s="657"/>
      <c r="D454" s="661"/>
      <c r="E454" s="661"/>
      <c r="F454" s="31" t="s">
        <v>221</v>
      </c>
      <c r="G454" s="79">
        <v>0</v>
      </c>
      <c r="H454" s="79">
        <f>ROUNDUP(0+L454,0)</f>
        <v>0</v>
      </c>
      <c r="I454" s="33" t="str">
        <f t="shared" ref="I454:I456" si="69">IF(G454&gt;0,H454/G454*100,"-")</f>
        <v>-</v>
      </c>
      <c r="J454" s="79">
        <v>0</v>
      </c>
      <c r="K454" s="79">
        <v>0</v>
      </c>
      <c r="L454" s="363">
        <v>0</v>
      </c>
      <c r="M454" s="33" t="str">
        <f t="shared" ref="M454:M456" si="70">IF(K454&gt;0,L454/K454*100,"-")</f>
        <v>-</v>
      </c>
      <c r="N454" s="678"/>
    </row>
    <row r="455" spans="1:14" s="40" customFormat="1" ht="11.1" customHeight="1" outlineLevel="1">
      <c r="A455" s="660"/>
      <c r="B455" s="29"/>
      <c r="C455" s="657"/>
      <c r="D455" s="661"/>
      <c r="E455" s="661"/>
      <c r="F455" s="31" t="s">
        <v>23</v>
      </c>
      <c r="G455" s="79">
        <v>0</v>
      </c>
      <c r="H455" s="79">
        <f>ROUNDUP(0+L455,0)</f>
        <v>0</v>
      </c>
      <c r="I455" s="33" t="str">
        <f t="shared" si="69"/>
        <v>-</v>
      </c>
      <c r="J455" s="79">
        <v>0</v>
      </c>
      <c r="K455" s="79">
        <v>0</v>
      </c>
      <c r="L455" s="363">
        <v>0</v>
      </c>
      <c r="M455" s="33" t="str">
        <f t="shared" si="70"/>
        <v>-</v>
      </c>
      <c r="N455" s="678"/>
    </row>
    <row r="456" spans="1:14" s="40" customFormat="1" ht="11.1" hidden="1" customHeight="1" outlineLevel="1">
      <c r="A456" s="660"/>
      <c r="B456" s="29" t="s">
        <v>24</v>
      </c>
      <c r="C456" s="527" t="s">
        <v>251</v>
      </c>
      <c r="D456" s="661"/>
      <c r="E456" s="661"/>
      <c r="F456" s="31" t="s">
        <v>383</v>
      </c>
      <c r="G456" s="79">
        <v>0</v>
      </c>
      <c r="H456" s="79">
        <f>ROUNDUP(0+L456,0)</f>
        <v>0</v>
      </c>
      <c r="I456" s="33" t="str">
        <f t="shared" si="69"/>
        <v>-</v>
      </c>
      <c r="J456" s="79">
        <v>0</v>
      </c>
      <c r="K456" s="79">
        <v>0</v>
      </c>
      <c r="L456" s="363">
        <v>0</v>
      </c>
      <c r="M456" s="33" t="str">
        <f t="shared" si="70"/>
        <v>-</v>
      </c>
      <c r="N456" s="678"/>
    </row>
    <row r="457" spans="1:14" s="40" customFormat="1" ht="3" customHeight="1" outlineLevel="1">
      <c r="A457" s="62"/>
      <c r="B457" s="36"/>
      <c r="C457" s="529"/>
      <c r="D457" s="638"/>
      <c r="E457" s="638"/>
      <c r="F457" s="36"/>
      <c r="G457" s="137"/>
      <c r="H457" s="137"/>
      <c r="I457" s="36"/>
      <c r="J457" s="137"/>
      <c r="K457" s="81"/>
      <c r="L457" s="37"/>
      <c r="M457" s="38"/>
      <c r="N457" s="558"/>
    </row>
    <row r="458" spans="1:14" s="40" customFormat="1" ht="3" customHeight="1">
      <c r="A458" s="16"/>
      <c r="B458" s="413"/>
      <c r="C458" s="519"/>
      <c r="D458" s="17"/>
      <c r="E458" s="17"/>
      <c r="F458" s="16"/>
      <c r="G458" s="72"/>
      <c r="H458" s="72"/>
      <c r="I458" s="19"/>
      <c r="J458" s="72"/>
      <c r="K458" s="72"/>
      <c r="L458" s="18"/>
      <c r="M458" s="19"/>
      <c r="N458" s="520"/>
    </row>
    <row r="459" spans="1:14" s="40" customFormat="1" ht="11.25" customHeight="1">
      <c r="A459" s="5" t="s">
        <v>73</v>
      </c>
      <c r="B459" s="658" t="s">
        <v>121</v>
      </c>
      <c r="C459" s="659"/>
      <c r="D459" s="6"/>
      <c r="E459" s="6"/>
      <c r="F459" s="7"/>
      <c r="G459" s="73">
        <f>SUM(G460:G463)</f>
        <v>234944685</v>
      </c>
      <c r="H459" s="73">
        <f>SUM(H460:H463)</f>
        <v>55840614</v>
      </c>
      <c r="I459" s="9">
        <f>IF(G459&gt;0,H459/G459*100,"-")</f>
        <v>23.767557882826758</v>
      </c>
      <c r="J459" s="73">
        <f>SUM(J460:J463)</f>
        <v>28267467</v>
      </c>
      <c r="K459" s="73">
        <f>SUM(K460:K463)</f>
        <v>20327093</v>
      </c>
      <c r="L459" s="8">
        <f>SUM(L460:L463)</f>
        <v>19241051.73</v>
      </c>
      <c r="M459" s="9">
        <f>IF(K459&gt;0,L459/K459*100,"-")</f>
        <v>94.657173704080563</v>
      </c>
      <c r="N459" s="521"/>
    </row>
    <row r="460" spans="1:14" s="40" customFormat="1" ht="11.25" customHeight="1">
      <c r="A460" s="7"/>
      <c r="B460" s="10"/>
      <c r="C460" s="522"/>
      <c r="D460" s="6"/>
      <c r="E460" s="6"/>
      <c r="F460" s="11" t="s">
        <v>18</v>
      </c>
      <c r="G460" s="74">
        <f>G467+G474+G481+G488+G495+G502+G509+G516+G523+G530+G537+G544+G551+G558+G565+G572+G579+G586+G593+G600+G607+G614+G621+G628+G635+G642+G649+G656+G663</f>
        <v>218169967</v>
      </c>
      <c r="H460" s="74">
        <f>H467+H474+H481+H488+H495+H502+H509+H516+H523+H530+H537+H544+H551+H558+H565+H572+H579+H586+H593+H600+H607+H614+H621+H628+H635+H642+H649+H656+H663</f>
        <v>39281724</v>
      </c>
      <c r="I460" s="13">
        <f>IF(G460&gt;0,H460/G460*100,"-")</f>
        <v>18.00510149960283</v>
      </c>
      <c r="J460" s="74">
        <f>J467+J474+J481+J488+J495+J502+J509+J516+J523+J530+J537+J544+J551+J558+J565+J572+J579+J586+J593+J600+J607+J614+J621+J628+J635+J642+J649+J656+J663</f>
        <v>17471329</v>
      </c>
      <c r="K460" s="74">
        <f>K467+K474+K481+K488+K495+K502+K509+K516+K523+K530+K537+K544+K551+K558+K565+K572+K579+K586+K593+K600+K607+K614+K621+K628+K635+K642+K649+K656+K663</f>
        <v>13374540</v>
      </c>
      <c r="L460" s="12">
        <f>L467+L474+L481+L488+L495+L502+L509+L516+L523+L530+L537+L544+L551+L558+L565+L572+L579+L586+L593+L600+L607+L614+L621+L628+L635+L642+L649+L656+L663</f>
        <v>12290113.130000001</v>
      </c>
      <c r="M460" s="13">
        <f>IF(K460&gt;0,L460/K460*100,"-")</f>
        <v>91.891856691893707</v>
      </c>
      <c r="N460" s="521"/>
    </row>
    <row r="461" spans="1:14" s="40" customFormat="1" ht="11.25" customHeight="1">
      <c r="A461" s="7"/>
      <c r="B461" s="10"/>
      <c r="C461" s="522"/>
      <c r="D461" s="6"/>
      <c r="E461" s="6"/>
      <c r="F461" s="11" t="s">
        <v>221</v>
      </c>
      <c r="G461" s="74">
        <f t="shared" ref="G461:H463" si="71">G468+G475+G482+G489+G496+G503+G510+G517+G524+G531+G538+G545+G552+G559+G566+G573+G580+G587+G594+G601+G608+G615+G622+G629+G636+G643+G650+G657+G664</f>
        <v>5940626</v>
      </c>
      <c r="H461" s="74">
        <f t="shared" si="71"/>
        <v>5939013</v>
      </c>
      <c r="I461" s="13">
        <f t="shared" ref="I461:I463" si="72">IF(G461&gt;0,H461/G461*100,"-")</f>
        <v>99.972847979320704</v>
      </c>
      <c r="J461" s="74">
        <f t="shared" ref="J461:L463" si="73">J468+J475+J482+J489+J496+J503+J510+J517+J524+J531+J538+J545+J552+J559+J566+J573+J580+J587+J594+J601+J608+J615+J622+J629+J636+J643+J650+J657+J664</f>
        <v>7255407</v>
      </c>
      <c r="K461" s="74">
        <f t="shared" si="73"/>
        <v>4235532</v>
      </c>
      <c r="L461" s="12">
        <f t="shared" si="73"/>
        <v>4233917.5999999996</v>
      </c>
      <c r="M461" s="13">
        <f t="shared" ref="M461:M463" si="74">IF(K461&gt;0,L461/K461*100,"-")</f>
        <v>99.961884363050487</v>
      </c>
      <c r="N461" s="521"/>
    </row>
    <row r="462" spans="1:14" s="40" customFormat="1" ht="11.25" customHeight="1">
      <c r="A462" s="7"/>
      <c r="B462" s="10"/>
      <c r="C462" s="522"/>
      <c r="D462" s="6"/>
      <c r="E462" s="6"/>
      <c r="F462" s="11" t="s">
        <v>23</v>
      </c>
      <c r="G462" s="74">
        <f t="shared" si="71"/>
        <v>10834092</v>
      </c>
      <c r="H462" s="74">
        <f t="shared" si="71"/>
        <v>10619877</v>
      </c>
      <c r="I462" s="13">
        <f t="shared" si="72"/>
        <v>98.022769236222103</v>
      </c>
      <c r="J462" s="74">
        <f t="shared" si="73"/>
        <v>3540731</v>
      </c>
      <c r="K462" s="74">
        <f t="shared" si="73"/>
        <v>2717021</v>
      </c>
      <c r="L462" s="12">
        <f t="shared" si="73"/>
        <v>2717021</v>
      </c>
      <c r="M462" s="13">
        <f t="shared" si="74"/>
        <v>100</v>
      </c>
      <c r="N462" s="521"/>
    </row>
    <row r="463" spans="1:14" s="40" customFormat="1" ht="11.25" hidden="1" customHeight="1">
      <c r="A463" s="7"/>
      <c r="B463" s="10"/>
      <c r="C463" s="522"/>
      <c r="D463" s="6"/>
      <c r="E463" s="6"/>
      <c r="F463" s="11" t="s">
        <v>383</v>
      </c>
      <c r="G463" s="74">
        <f t="shared" si="71"/>
        <v>0</v>
      </c>
      <c r="H463" s="74">
        <f t="shared" si="71"/>
        <v>0</v>
      </c>
      <c r="I463" s="13" t="str">
        <f t="shared" si="72"/>
        <v>-</v>
      </c>
      <c r="J463" s="74">
        <f t="shared" si="73"/>
        <v>0</v>
      </c>
      <c r="K463" s="74">
        <f t="shared" si="73"/>
        <v>0</v>
      </c>
      <c r="L463" s="12">
        <f t="shared" si="73"/>
        <v>0</v>
      </c>
      <c r="M463" s="13" t="str">
        <f t="shared" si="74"/>
        <v>-</v>
      </c>
      <c r="N463" s="521"/>
    </row>
    <row r="464" spans="1:14" s="40" customFormat="1" ht="3" customHeight="1">
      <c r="A464" s="20"/>
      <c r="B464" s="21"/>
      <c r="C464" s="523"/>
      <c r="D464" s="22"/>
      <c r="E464" s="22"/>
      <c r="F464" s="20"/>
      <c r="G464" s="74"/>
      <c r="H464" s="75"/>
      <c r="I464" s="24"/>
      <c r="J464" s="75"/>
      <c r="K464" s="75"/>
      <c r="L464" s="23"/>
      <c r="M464" s="24"/>
      <c r="N464" s="524"/>
    </row>
    <row r="465" spans="1:14" s="40" customFormat="1" ht="3" customHeight="1" outlineLevel="1">
      <c r="A465" s="435"/>
      <c r="B465" s="559"/>
      <c r="C465" s="560"/>
      <c r="D465" s="561"/>
      <c r="E465" s="561"/>
      <c r="F465" s="559"/>
      <c r="G465" s="76"/>
      <c r="H465" s="76"/>
      <c r="I465" s="28"/>
      <c r="J465" s="76"/>
      <c r="K465" s="76"/>
      <c r="L465" s="562"/>
      <c r="M465" s="563"/>
      <c r="N465" s="564"/>
    </row>
    <row r="466" spans="1:14" s="40" customFormat="1" ht="11.1" customHeight="1" outlineLevel="1">
      <c r="A466" s="687" t="s">
        <v>253</v>
      </c>
      <c r="B466" s="565" t="s">
        <v>29</v>
      </c>
      <c r="C466" s="566" t="s">
        <v>254</v>
      </c>
      <c r="D466" s="681" t="s">
        <v>245</v>
      </c>
      <c r="E466" s="679" t="s">
        <v>255</v>
      </c>
      <c r="F466" s="567" t="s">
        <v>30</v>
      </c>
      <c r="G466" s="83">
        <f>SUM(G467:G470)</f>
        <v>403919</v>
      </c>
      <c r="H466" s="83">
        <f>SUM(H467:H470)</f>
        <v>90154</v>
      </c>
      <c r="I466" s="379">
        <f>IF(G466&gt;0,H466/G466*100,"-")</f>
        <v>22.31982154837975</v>
      </c>
      <c r="J466" s="83">
        <f>SUM(J467:J470)</f>
        <v>390088</v>
      </c>
      <c r="K466" s="83">
        <f>SUM(K467:K470)</f>
        <v>69861</v>
      </c>
      <c r="L466" s="568">
        <f>SUM(L467:L470)</f>
        <v>57095.88</v>
      </c>
      <c r="M466" s="569">
        <f>IF(K466&gt;0,L466/K466*100,"-")</f>
        <v>81.727830978657607</v>
      </c>
      <c r="N466" s="678" t="s">
        <v>399</v>
      </c>
    </row>
    <row r="467" spans="1:14" s="40" customFormat="1" ht="18.75" customHeight="1" outlineLevel="1">
      <c r="A467" s="687"/>
      <c r="B467" s="565"/>
      <c r="C467" s="688" t="s">
        <v>550</v>
      </c>
      <c r="D467" s="681"/>
      <c r="E467" s="679"/>
      <c r="F467" s="571" t="s">
        <v>18</v>
      </c>
      <c r="G467" s="80">
        <v>385532</v>
      </c>
      <c r="H467" s="80">
        <f>ROUNDUP(14671+L467,0)</f>
        <v>71767</v>
      </c>
      <c r="I467" s="381">
        <f>IF(G467&gt;0,H467/G467*100,"-")</f>
        <v>18.61505659711775</v>
      </c>
      <c r="J467" s="80">
        <v>340088</v>
      </c>
      <c r="K467" s="80">
        <v>69861</v>
      </c>
      <c r="L467" s="34">
        <v>57095.88</v>
      </c>
      <c r="M467" s="381">
        <f>IF(K467&gt;0,L467/K467*100,"-")</f>
        <v>81.727830978657607</v>
      </c>
      <c r="N467" s="678"/>
    </row>
    <row r="468" spans="1:14" s="40" customFormat="1" ht="11.1" customHeight="1" outlineLevel="1">
      <c r="A468" s="687"/>
      <c r="B468" s="4"/>
      <c r="C468" s="688"/>
      <c r="D468" s="681"/>
      <c r="E468" s="679"/>
      <c r="F468" s="571" t="s">
        <v>221</v>
      </c>
      <c r="G468" s="80">
        <v>0</v>
      </c>
      <c r="H468" s="80">
        <f>ROUNDUP(0+L468,0)</f>
        <v>0</v>
      </c>
      <c r="I468" s="381" t="str">
        <f t="shared" ref="I468:I469" si="75">IF(G468&gt;0,H468/G468*100,"-")</f>
        <v>-</v>
      </c>
      <c r="J468" s="80">
        <v>0</v>
      </c>
      <c r="K468" s="80">
        <v>0</v>
      </c>
      <c r="L468" s="363">
        <v>0</v>
      </c>
      <c r="M468" s="381" t="str">
        <f t="shared" ref="M468:M469" si="76">IF(K468&gt;0,L468/K468*100,"-")</f>
        <v>-</v>
      </c>
      <c r="N468" s="678"/>
    </row>
    <row r="469" spans="1:14" s="40" customFormat="1" outlineLevel="1">
      <c r="A469" s="687"/>
      <c r="B469" s="565" t="s">
        <v>24</v>
      </c>
      <c r="C469" s="570" t="s">
        <v>256</v>
      </c>
      <c r="D469" s="681"/>
      <c r="E469" s="679"/>
      <c r="F469" s="571" t="s">
        <v>23</v>
      </c>
      <c r="G469" s="80">
        <v>18387</v>
      </c>
      <c r="H469" s="80">
        <v>18387</v>
      </c>
      <c r="I469" s="381">
        <f t="shared" si="75"/>
        <v>100</v>
      </c>
      <c r="J469" s="80">
        <v>50000</v>
      </c>
      <c r="K469" s="80">
        <v>0</v>
      </c>
      <c r="L469" s="363">
        <v>0</v>
      </c>
      <c r="M469" s="381" t="str">
        <f t="shared" si="76"/>
        <v>-</v>
      </c>
      <c r="N469" s="678"/>
    </row>
    <row r="470" spans="1:14" s="40" customFormat="1" ht="11.1" customHeight="1" outlineLevel="1">
      <c r="A470" s="636"/>
      <c r="B470" s="565"/>
      <c r="C470" s="570"/>
      <c r="D470" s="681"/>
      <c r="E470" s="679"/>
      <c r="F470" s="571"/>
      <c r="G470" s="80"/>
      <c r="H470" s="80"/>
      <c r="I470" s="381"/>
      <c r="J470" s="80"/>
      <c r="K470" s="80"/>
      <c r="L470" s="363"/>
      <c r="M470" s="381"/>
      <c r="N470" s="678"/>
    </row>
    <row r="471" spans="1:14" s="40" customFormat="1" ht="3" customHeight="1" outlineLevel="1">
      <c r="A471" s="436"/>
      <c r="B471" s="572"/>
      <c r="C471" s="573"/>
      <c r="D471" s="574"/>
      <c r="E471" s="574"/>
      <c r="F471" s="575"/>
      <c r="G471" s="392"/>
      <c r="H471" s="392"/>
      <c r="I471" s="641"/>
      <c r="J471" s="392"/>
      <c r="K471" s="392"/>
      <c r="L471" s="576"/>
      <c r="M471" s="577"/>
      <c r="N471" s="578"/>
    </row>
    <row r="472" spans="1:14" s="40" customFormat="1" ht="3.95" customHeight="1" outlineLevel="1">
      <c r="A472" s="435"/>
      <c r="B472" s="559"/>
      <c r="C472" s="579"/>
      <c r="D472" s="580"/>
      <c r="E472" s="580"/>
      <c r="F472" s="581"/>
      <c r="G472" s="84"/>
      <c r="H472" s="84"/>
      <c r="I472" s="376"/>
      <c r="J472" s="84"/>
      <c r="K472" s="84"/>
      <c r="L472" s="582"/>
      <c r="M472" s="583"/>
      <c r="N472" s="584"/>
    </row>
    <row r="473" spans="1:14" s="40" customFormat="1" ht="19.5" customHeight="1" outlineLevel="1">
      <c r="A473" s="687" t="s">
        <v>257</v>
      </c>
      <c r="B473" s="565" t="s">
        <v>29</v>
      </c>
      <c r="C473" s="684" t="s">
        <v>549</v>
      </c>
      <c r="D473" s="681" t="s">
        <v>245</v>
      </c>
      <c r="E473" s="679" t="s">
        <v>255</v>
      </c>
      <c r="F473" s="567" t="s">
        <v>30</v>
      </c>
      <c r="G473" s="83">
        <f>SUM(G474:G477)</f>
        <v>1703393</v>
      </c>
      <c r="H473" s="83">
        <f>SUM(H474:H477)</f>
        <v>676089</v>
      </c>
      <c r="I473" s="379">
        <f>IF(G473&gt;0,H473/G473*100,"-")</f>
        <v>39.690723162535015</v>
      </c>
      <c r="J473" s="83">
        <f>SUM(J474:J477)</f>
        <v>1100806</v>
      </c>
      <c r="K473" s="83">
        <f>SUM(K474:K477)</f>
        <v>61470</v>
      </c>
      <c r="L473" s="568">
        <f>SUM(L474:L477)</f>
        <v>58501.46</v>
      </c>
      <c r="M473" s="569">
        <f>IF(K473&gt;0,L473/K473*100,"-")</f>
        <v>95.170749959329754</v>
      </c>
      <c r="N473" s="678" t="s">
        <v>400</v>
      </c>
    </row>
    <row r="474" spans="1:14" s="40" customFormat="1" ht="23.25" customHeight="1" outlineLevel="1">
      <c r="A474" s="687"/>
      <c r="B474" s="565"/>
      <c r="C474" s="684"/>
      <c r="D474" s="681"/>
      <c r="E474" s="679"/>
      <c r="F474" s="571" t="s">
        <v>18</v>
      </c>
      <c r="G474" s="80">
        <v>1703393</v>
      </c>
      <c r="H474" s="80">
        <f>ROUNDUP(617587+L474,0)</f>
        <v>676089</v>
      </c>
      <c r="I474" s="381">
        <f>IF(G474&gt;0,H474/G474*100,"-")</f>
        <v>39.690723162535015</v>
      </c>
      <c r="J474" s="80">
        <v>1100806</v>
      </c>
      <c r="K474" s="80">
        <v>61470</v>
      </c>
      <c r="L474" s="34">
        <v>58501.46</v>
      </c>
      <c r="M474" s="381">
        <f>IF(K474&gt;0,L474/K474*100,"-")</f>
        <v>95.170749959329754</v>
      </c>
      <c r="N474" s="678"/>
    </row>
    <row r="475" spans="1:14" s="40" customFormat="1" ht="11.1" customHeight="1" outlineLevel="1">
      <c r="A475" s="687"/>
      <c r="B475" s="4"/>
      <c r="C475" s="585"/>
      <c r="D475" s="681"/>
      <c r="E475" s="679"/>
      <c r="F475" s="571" t="s">
        <v>221</v>
      </c>
      <c r="G475" s="80">
        <v>0</v>
      </c>
      <c r="H475" s="80">
        <f>ROUNDUP(0+L475,0)</f>
        <v>0</v>
      </c>
      <c r="I475" s="381" t="str">
        <f t="shared" ref="I475:I477" si="77">IF(G475&gt;0,H475/G475*100,"-")</f>
        <v>-</v>
      </c>
      <c r="J475" s="80">
        <v>0</v>
      </c>
      <c r="K475" s="80">
        <v>0</v>
      </c>
      <c r="L475" s="363">
        <v>0</v>
      </c>
      <c r="M475" s="381" t="str">
        <f t="shared" ref="M475:M477" si="78">IF(K475&gt;0,L475/K475*100,"-")</f>
        <v>-</v>
      </c>
      <c r="N475" s="678"/>
    </row>
    <row r="476" spans="1:14" s="40" customFormat="1" ht="11.1" customHeight="1" outlineLevel="1">
      <c r="A476" s="687"/>
      <c r="B476" s="565" t="s">
        <v>24</v>
      </c>
      <c r="C476" s="570" t="s">
        <v>258</v>
      </c>
      <c r="D476" s="681"/>
      <c r="E476" s="679"/>
      <c r="F476" s="571" t="s">
        <v>23</v>
      </c>
      <c r="G476" s="80">
        <v>0</v>
      </c>
      <c r="H476" s="80">
        <f>ROUNDUP(0+L476,0)</f>
        <v>0</v>
      </c>
      <c r="I476" s="381" t="str">
        <f t="shared" si="77"/>
        <v>-</v>
      </c>
      <c r="J476" s="80">
        <v>0</v>
      </c>
      <c r="K476" s="80">
        <v>0</v>
      </c>
      <c r="L476" s="363">
        <v>0</v>
      </c>
      <c r="M476" s="381" t="str">
        <f t="shared" si="78"/>
        <v>-</v>
      </c>
      <c r="N476" s="678"/>
    </row>
    <row r="477" spans="1:14" s="40" customFormat="1" ht="11.1" hidden="1" customHeight="1" outlineLevel="1">
      <c r="A477" s="636"/>
      <c r="B477" s="565"/>
      <c r="C477" s="570"/>
      <c r="D477" s="681"/>
      <c r="E477" s="679"/>
      <c r="F477" s="571" t="s">
        <v>383</v>
      </c>
      <c r="G477" s="80">
        <v>0</v>
      </c>
      <c r="H477" s="80">
        <f>ROUNDUP(0+L477,0)</f>
        <v>0</v>
      </c>
      <c r="I477" s="381" t="str">
        <f t="shared" si="77"/>
        <v>-</v>
      </c>
      <c r="J477" s="80">
        <v>0</v>
      </c>
      <c r="K477" s="80">
        <v>0</v>
      </c>
      <c r="L477" s="363">
        <v>0</v>
      </c>
      <c r="M477" s="381" t="str">
        <f t="shared" si="78"/>
        <v>-</v>
      </c>
      <c r="N477" s="678"/>
    </row>
    <row r="478" spans="1:14" s="40" customFormat="1" ht="3" customHeight="1" outlineLevel="1">
      <c r="A478" s="436"/>
      <c r="B478" s="572"/>
      <c r="C478" s="573"/>
      <c r="D478" s="574"/>
      <c r="E478" s="574"/>
      <c r="F478" s="575"/>
      <c r="G478" s="392"/>
      <c r="H478" s="392"/>
      <c r="I478" s="641"/>
      <c r="J478" s="392"/>
      <c r="K478" s="392"/>
      <c r="L478" s="576"/>
      <c r="M478" s="577"/>
      <c r="N478" s="578"/>
    </row>
    <row r="479" spans="1:14" s="40" customFormat="1" ht="3.95" customHeight="1" outlineLevel="1">
      <c r="A479" s="435"/>
      <c r="B479" s="559"/>
      <c r="C479" s="579"/>
      <c r="D479" s="580"/>
      <c r="E479" s="580"/>
      <c r="F479" s="581"/>
      <c r="G479" s="84"/>
      <c r="H479" s="84"/>
      <c r="I479" s="376"/>
      <c r="J479" s="84"/>
      <c r="K479" s="84"/>
      <c r="L479" s="582"/>
      <c r="M479" s="583"/>
      <c r="N479" s="584"/>
    </row>
    <row r="480" spans="1:14" s="40" customFormat="1" ht="24.75" customHeight="1" outlineLevel="1">
      <c r="A480" s="687" t="s">
        <v>259</v>
      </c>
      <c r="B480" s="565" t="s">
        <v>29</v>
      </c>
      <c r="C480" s="684" t="s">
        <v>512</v>
      </c>
      <c r="D480" s="681" t="s">
        <v>401</v>
      </c>
      <c r="E480" s="679" t="s">
        <v>255</v>
      </c>
      <c r="F480" s="567" t="s">
        <v>30</v>
      </c>
      <c r="G480" s="83">
        <f>SUM(G481:G484)</f>
        <v>59781829</v>
      </c>
      <c r="H480" s="83">
        <f>SUM(H481:H484)</f>
        <v>83221</v>
      </c>
      <c r="I480" s="379">
        <f>IF(G480&gt;0,H480/G480*100,"-")</f>
        <v>0.13920785193775187</v>
      </c>
      <c r="J480" s="83">
        <f>SUM(J481:J484)</f>
        <v>240000</v>
      </c>
      <c r="K480" s="83">
        <f>SUM(K481:K484)</f>
        <v>113351</v>
      </c>
      <c r="L480" s="568">
        <f>SUM(L481:L484)</f>
        <v>35265.14</v>
      </c>
      <c r="M480" s="569">
        <f>IF(K480&gt;0,L480/K480*100,"-")</f>
        <v>31.111450273927886</v>
      </c>
      <c r="N480" s="678" t="s">
        <v>402</v>
      </c>
    </row>
    <row r="481" spans="1:14" s="40" customFormat="1" ht="18.75" customHeight="1" outlineLevel="1">
      <c r="A481" s="687"/>
      <c r="B481" s="4"/>
      <c r="C481" s="684"/>
      <c r="D481" s="681"/>
      <c r="E481" s="679"/>
      <c r="F481" s="571" t="s">
        <v>18</v>
      </c>
      <c r="G481" s="80">
        <v>59758474</v>
      </c>
      <c r="H481" s="80">
        <f>ROUNDUP(24600+L481,0)</f>
        <v>59866</v>
      </c>
      <c r="I481" s="381">
        <f>IF(G481&gt;0,H481/G481*100,"-")</f>
        <v>0.10017993431358371</v>
      </c>
      <c r="J481" s="80">
        <v>240000</v>
      </c>
      <c r="K481" s="80">
        <v>113351</v>
      </c>
      <c r="L481" s="34">
        <v>35265.14</v>
      </c>
      <c r="M481" s="381">
        <f>IF(K481&gt;0,L481/K481*100,"-")</f>
        <v>31.111450273927886</v>
      </c>
      <c r="N481" s="678"/>
    </row>
    <row r="482" spans="1:14" s="40" customFormat="1" ht="22.5" customHeight="1" outlineLevel="1">
      <c r="A482" s="687"/>
      <c r="B482" s="565"/>
      <c r="C482" s="570" t="s">
        <v>260</v>
      </c>
      <c r="D482" s="681"/>
      <c r="E482" s="679"/>
      <c r="F482" s="571" t="s">
        <v>221</v>
      </c>
      <c r="G482" s="80">
        <v>0</v>
      </c>
      <c r="H482" s="80">
        <f>ROUNDUP(0+L482,0)</f>
        <v>0</v>
      </c>
      <c r="I482" s="381" t="str">
        <f t="shared" ref="I482:I484" si="79">IF(G482&gt;0,H482/G482*100,"-")</f>
        <v>-</v>
      </c>
      <c r="J482" s="80">
        <v>0</v>
      </c>
      <c r="K482" s="80">
        <v>0</v>
      </c>
      <c r="L482" s="363">
        <v>0</v>
      </c>
      <c r="M482" s="381" t="str">
        <f t="shared" ref="M482:M484" si="80">IF(K482&gt;0,L482/K482*100,"-")</f>
        <v>-</v>
      </c>
      <c r="N482" s="678"/>
    </row>
    <row r="483" spans="1:14" s="40" customFormat="1" ht="11.1" customHeight="1" outlineLevel="1">
      <c r="A483" s="687"/>
      <c r="B483" s="565" t="s">
        <v>24</v>
      </c>
      <c r="C483" s="570" t="s">
        <v>256</v>
      </c>
      <c r="D483" s="681"/>
      <c r="E483" s="679"/>
      <c r="F483" s="571" t="s">
        <v>23</v>
      </c>
      <c r="G483" s="80">
        <v>23355</v>
      </c>
      <c r="H483" s="80">
        <v>23355</v>
      </c>
      <c r="I483" s="381">
        <f t="shared" si="79"/>
        <v>100</v>
      </c>
      <c r="J483" s="80">
        <v>0</v>
      </c>
      <c r="K483" s="80">
        <v>0</v>
      </c>
      <c r="L483" s="363">
        <v>0</v>
      </c>
      <c r="M483" s="381" t="str">
        <f t="shared" si="80"/>
        <v>-</v>
      </c>
      <c r="N483" s="678"/>
    </row>
    <row r="484" spans="1:14" s="40" customFormat="1" ht="11.1" hidden="1" customHeight="1" outlineLevel="1">
      <c r="A484" s="636"/>
      <c r="B484" s="565"/>
      <c r="C484" s="570"/>
      <c r="D484" s="681"/>
      <c r="E484" s="679"/>
      <c r="F484" s="571" t="s">
        <v>383</v>
      </c>
      <c r="G484" s="80">
        <v>0</v>
      </c>
      <c r="H484" s="80">
        <v>0</v>
      </c>
      <c r="I484" s="381" t="str">
        <f t="shared" si="79"/>
        <v>-</v>
      </c>
      <c r="J484" s="80">
        <v>0</v>
      </c>
      <c r="K484" s="80">
        <v>0</v>
      </c>
      <c r="L484" s="363">
        <v>0</v>
      </c>
      <c r="M484" s="381" t="str">
        <f t="shared" si="80"/>
        <v>-</v>
      </c>
      <c r="N484" s="678"/>
    </row>
    <row r="485" spans="1:14" s="40" customFormat="1" ht="3" customHeight="1" outlineLevel="1">
      <c r="A485" s="436"/>
      <c r="B485" s="572"/>
      <c r="C485" s="573"/>
      <c r="D485" s="574"/>
      <c r="E485" s="574"/>
      <c r="F485" s="575"/>
      <c r="G485" s="392"/>
      <c r="H485" s="392"/>
      <c r="I485" s="641"/>
      <c r="J485" s="392"/>
      <c r="K485" s="392"/>
      <c r="L485" s="576"/>
      <c r="M485" s="577"/>
      <c r="N485" s="578"/>
    </row>
    <row r="486" spans="1:14" s="40" customFormat="1" ht="3" customHeight="1" outlineLevel="1">
      <c r="A486" s="435"/>
      <c r="B486" s="559"/>
      <c r="C486" s="579"/>
      <c r="D486" s="580"/>
      <c r="E486" s="580"/>
      <c r="F486" s="581"/>
      <c r="G486" s="84"/>
      <c r="H486" s="84"/>
      <c r="I486" s="376"/>
      <c r="J486" s="84"/>
      <c r="K486" s="84"/>
      <c r="L486" s="582"/>
      <c r="M486" s="583"/>
      <c r="N486" s="584"/>
    </row>
    <row r="487" spans="1:14" s="40" customFormat="1" ht="28.5" customHeight="1" outlineLevel="1">
      <c r="A487" s="675" t="s">
        <v>261</v>
      </c>
      <c r="B487" s="29" t="s">
        <v>29</v>
      </c>
      <c r="C487" s="655" t="s">
        <v>511</v>
      </c>
      <c r="D487" s="676" t="s">
        <v>262</v>
      </c>
      <c r="E487" s="679" t="s">
        <v>255</v>
      </c>
      <c r="F487" s="567" t="s">
        <v>30</v>
      </c>
      <c r="G487" s="83">
        <f>SUM(G488:G491)</f>
        <v>2019250</v>
      </c>
      <c r="H487" s="83">
        <f>SUM(H488:H491)</f>
        <v>139484</v>
      </c>
      <c r="I487" s="379">
        <f>IF(G487&gt;0,H487/G487*100,"-")</f>
        <v>6.9077132598737156</v>
      </c>
      <c r="J487" s="83">
        <f>SUM(J488:J491)</f>
        <v>98400</v>
      </c>
      <c r="K487" s="83">
        <f>SUM(K488:K491)</f>
        <v>78606</v>
      </c>
      <c r="L487" s="568">
        <f>SUM(L488:L491)</f>
        <v>73839.710000000006</v>
      </c>
      <c r="M487" s="569">
        <f>IF(K487&gt;0,L487/K487*100,"-")</f>
        <v>93.936480675775385</v>
      </c>
      <c r="N487" s="678" t="s">
        <v>403</v>
      </c>
    </row>
    <row r="488" spans="1:14" s="40" customFormat="1" ht="18.75" customHeight="1" outlineLevel="1">
      <c r="A488" s="675"/>
      <c r="B488" s="29"/>
      <c r="C488" s="655"/>
      <c r="D488" s="676"/>
      <c r="E488" s="679"/>
      <c r="F488" s="571" t="s">
        <v>18</v>
      </c>
      <c r="G488" s="80">
        <v>2019250</v>
      </c>
      <c r="H488" s="80">
        <f>ROUNDUP(65644+L488,0)</f>
        <v>139484</v>
      </c>
      <c r="I488" s="381">
        <f>IF(G488&gt;0,H488/G488*100,"-")</f>
        <v>6.9077132598737156</v>
      </c>
      <c r="J488" s="80">
        <v>98400</v>
      </c>
      <c r="K488" s="80">
        <v>78606</v>
      </c>
      <c r="L488" s="34">
        <v>73839.710000000006</v>
      </c>
      <c r="M488" s="381">
        <f>IF(K488&gt;0,L488/K488*100,"-")</f>
        <v>93.936480675775385</v>
      </c>
      <c r="N488" s="678"/>
    </row>
    <row r="489" spans="1:14" s="40" customFormat="1" ht="29.25" customHeight="1" outlineLevel="1">
      <c r="A489" s="675"/>
      <c r="B489" s="29"/>
      <c r="C489" s="655"/>
      <c r="D489" s="676"/>
      <c r="E489" s="679"/>
      <c r="F489" s="571" t="s">
        <v>221</v>
      </c>
      <c r="G489" s="80">
        <v>0</v>
      </c>
      <c r="H489" s="80">
        <f>ROUNDUP(0+L489,0)</f>
        <v>0</v>
      </c>
      <c r="I489" s="381" t="str">
        <f t="shared" ref="I489:I491" si="81">IF(G489&gt;0,H489/G489*100,"-")</f>
        <v>-</v>
      </c>
      <c r="J489" s="80"/>
      <c r="K489" s="80">
        <v>0</v>
      </c>
      <c r="L489" s="363">
        <v>0</v>
      </c>
      <c r="M489" s="381" t="str">
        <f t="shared" ref="M489:M491" si="82">IF(K489&gt;0,L489/K489*100,"-")</f>
        <v>-</v>
      </c>
      <c r="N489" s="678"/>
    </row>
    <row r="490" spans="1:14" s="40" customFormat="1" ht="11.1" customHeight="1" outlineLevel="1">
      <c r="A490" s="675"/>
      <c r="B490" s="29" t="s">
        <v>24</v>
      </c>
      <c r="C490" s="570" t="s">
        <v>256</v>
      </c>
      <c r="D490" s="676"/>
      <c r="E490" s="679"/>
      <c r="F490" s="571" t="s">
        <v>23</v>
      </c>
      <c r="G490" s="80">
        <v>0</v>
      </c>
      <c r="H490" s="80">
        <f>ROUNDUP(0+L490,0)</f>
        <v>0</v>
      </c>
      <c r="I490" s="381" t="str">
        <f t="shared" si="81"/>
        <v>-</v>
      </c>
      <c r="J490" s="80">
        <v>0</v>
      </c>
      <c r="K490" s="80">
        <v>0</v>
      </c>
      <c r="L490" s="363">
        <v>0</v>
      </c>
      <c r="M490" s="381" t="str">
        <f t="shared" si="82"/>
        <v>-</v>
      </c>
      <c r="N490" s="678"/>
    </row>
    <row r="491" spans="1:14" s="40" customFormat="1" ht="11.1" hidden="1" customHeight="1" outlineLevel="1">
      <c r="A491" s="635"/>
      <c r="B491" s="29"/>
      <c r="C491" s="570"/>
      <c r="D491" s="676"/>
      <c r="E491" s="679"/>
      <c r="F491" s="571" t="s">
        <v>383</v>
      </c>
      <c r="G491" s="80">
        <v>0</v>
      </c>
      <c r="H491" s="80">
        <f>ROUNDUP(0+L491,0)</f>
        <v>0</v>
      </c>
      <c r="I491" s="381" t="str">
        <f t="shared" si="81"/>
        <v>-</v>
      </c>
      <c r="J491" s="80">
        <v>0</v>
      </c>
      <c r="K491" s="80">
        <v>0</v>
      </c>
      <c r="L491" s="363">
        <v>0</v>
      </c>
      <c r="M491" s="381" t="str">
        <f t="shared" si="82"/>
        <v>-</v>
      </c>
      <c r="N491" s="678"/>
    </row>
    <row r="492" spans="1:14" s="40" customFormat="1" ht="3" customHeight="1" outlineLevel="1">
      <c r="A492" s="436"/>
      <c r="B492" s="572"/>
      <c r="C492" s="573"/>
      <c r="D492" s="574"/>
      <c r="E492" s="574"/>
      <c r="F492" s="575"/>
      <c r="G492" s="392"/>
      <c r="H492" s="392"/>
      <c r="I492" s="641"/>
      <c r="J492" s="392"/>
      <c r="K492" s="392"/>
      <c r="L492" s="576"/>
      <c r="M492" s="577"/>
      <c r="N492" s="578"/>
    </row>
    <row r="493" spans="1:14" s="40" customFormat="1" ht="3" customHeight="1" outlineLevel="1">
      <c r="A493" s="435"/>
      <c r="B493" s="559"/>
      <c r="C493" s="579"/>
      <c r="D493" s="580"/>
      <c r="E493" s="580"/>
      <c r="F493" s="581"/>
      <c r="G493" s="84"/>
      <c r="H493" s="84"/>
      <c r="I493" s="376"/>
      <c r="J493" s="84"/>
      <c r="K493" s="84"/>
      <c r="L493" s="582"/>
      <c r="M493" s="583"/>
      <c r="N493" s="584"/>
    </row>
    <row r="494" spans="1:14" s="40" customFormat="1" ht="18.75" customHeight="1" outlineLevel="1">
      <c r="A494" s="680" t="s">
        <v>263</v>
      </c>
      <c r="B494" s="565" t="s">
        <v>29</v>
      </c>
      <c r="C494" s="684" t="s">
        <v>513</v>
      </c>
      <c r="D494" s="681" t="s">
        <v>264</v>
      </c>
      <c r="E494" s="679" t="s">
        <v>265</v>
      </c>
      <c r="F494" s="567" t="s">
        <v>30</v>
      </c>
      <c r="G494" s="83">
        <f>SUM(G495:G498)</f>
        <v>1291148</v>
      </c>
      <c r="H494" s="83">
        <f>SUM(H495:H498)</f>
        <v>1290629</v>
      </c>
      <c r="I494" s="379">
        <f>IF(G494&gt;0,H494/G494*100,"-")</f>
        <v>99.959803213884086</v>
      </c>
      <c r="J494" s="83">
        <f>SUM(J495:J498)</f>
        <v>381148</v>
      </c>
      <c r="K494" s="83">
        <f>SUM(K495:K498)</f>
        <v>70808</v>
      </c>
      <c r="L494" s="568">
        <f>SUM(L495:L498)</f>
        <v>70288.47</v>
      </c>
      <c r="M494" s="569">
        <f>IF(K494&gt;0,L494/K494*100,"-")</f>
        <v>99.266283470794264</v>
      </c>
      <c r="N494" s="685" t="s">
        <v>404</v>
      </c>
    </row>
    <row r="495" spans="1:14" s="40" customFormat="1" ht="18" customHeight="1" outlineLevel="1">
      <c r="A495" s="680"/>
      <c r="B495" s="29"/>
      <c r="C495" s="684"/>
      <c r="D495" s="681"/>
      <c r="E495" s="679"/>
      <c r="F495" s="571" t="s">
        <v>18</v>
      </c>
      <c r="G495" s="80">
        <v>1291148</v>
      </c>
      <c r="H495" s="80">
        <f>ROUNDUP(1220340+L495,0)</f>
        <v>1290629</v>
      </c>
      <c r="I495" s="381">
        <f>IF(G495&gt;0,H495/G495*100,"-")</f>
        <v>99.959803213884086</v>
      </c>
      <c r="J495" s="80">
        <v>381148</v>
      </c>
      <c r="K495" s="80">
        <v>70808</v>
      </c>
      <c r="L495" s="34">
        <v>70288.47</v>
      </c>
      <c r="M495" s="381">
        <f>IF(K495&gt;0,L495/K495*100,"-")</f>
        <v>99.266283470794264</v>
      </c>
      <c r="N495" s="685"/>
    </row>
    <row r="496" spans="1:14" s="40" customFormat="1" ht="11.1" customHeight="1" outlineLevel="1">
      <c r="A496" s="680"/>
      <c r="B496" s="565" t="s">
        <v>24</v>
      </c>
      <c r="C496" s="570" t="s">
        <v>258</v>
      </c>
      <c r="D496" s="681"/>
      <c r="E496" s="679"/>
      <c r="F496" s="571" t="s">
        <v>221</v>
      </c>
      <c r="G496" s="80">
        <v>0</v>
      </c>
      <c r="H496" s="80">
        <f>ROUNDUP(0+L496,0)</f>
        <v>0</v>
      </c>
      <c r="I496" s="381" t="str">
        <f t="shared" ref="I496:I498" si="83">IF(G496&gt;0,H496/G496*100,"-")</f>
        <v>-</v>
      </c>
      <c r="J496" s="80">
        <v>0</v>
      </c>
      <c r="K496" s="80">
        <v>0</v>
      </c>
      <c r="L496" s="363">
        <v>0</v>
      </c>
      <c r="M496" s="381" t="str">
        <f t="shared" ref="M496:M498" si="84">IF(K496&gt;0,L496/K496*100,"-")</f>
        <v>-</v>
      </c>
      <c r="N496" s="685"/>
    </row>
    <row r="497" spans="1:14" s="40" customFormat="1" ht="11.1" customHeight="1" outlineLevel="1">
      <c r="A497" s="680"/>
      <c r="B497" s="29"/>
      <c r="C497" s="585"/>
      <c r="D497" s="681"/>
      <c r="E497" s="679"/>
      <c r="F497" s="571" t="s">
        <v>23</v>
      </c>
      <c r="G497" s="80">
        <v>0</v>
      </c>
      <c r="H497" s="80">
        <f>ROUNDUP(0+L497,0)</f>
        <v>0</v>
      </c>
      <c r="I497" s="381" t="str">
        <f t="shared" si="83"/>
        <v>-</v>
      </c>
      <c r="J497" s="80">
        <v>0</v>
      </c>
      <c r="K497" s="80">
        <v>0</v>
      </c>
      <c r="L497" s="363">
        <v>0</v>
      </c>
      <c r="M497" s="381" t="str">
        <f t="shared" si="84"/>
        <v>-</v>
      </c>
      <c r="N497" s="685"/>
    </row>
    <row r="498" spans="1:14" s="40" customFormat="1" ht="11.1" hidden="1" customHeight="1" outlineLevel="1">
      <c r="A498" s="635"/>
      <c r="B498" s="29"/>
      <c r="C498" s="585"/>
      <c r="D498" s="681"/>
      <c r="E498" s="679"/>
      <c r="F498" s="571" t="s">
        <v>383</v>
      </c>
      <c r="G498" s="80">
        <v>0</v>
      </c>
      <c r="H498" s="80">
        <f>ROUNDUP(0+L498,0)</f>
        <v>0</v>
      </c>
      <c r="I498" s="381" t="str">
        <f t="shared" si="83"/>
        <v>-</v>
      </c>
      <c r="J498" s="80">
        <v>0</v>
      </c>
      <c r="K498" s="80">
        <v>0</v>
      </c>
      <c r="L498" s="363">
        <v>0</v>
      </c>
      <c r="M498" s="381" t="str">
        <f t="shared" si="84"/>
        <v>-</v>
      </c>
      <c r="N498" s="685"/>
    </row>
    <row r="499" spans="1:14" s="40" customFormat="1" ht="3" customHeight="1" outlineLevel="1">
      <c r="A499" s="436"/>
      <c r="B499" s="572"/>
      <c r="C499" s="573"/>
      <c r="D499" s="574"/>
      <c r="E499" s="574"/>
      <c r="F499" s="575"/>
      <c r="G499" s="392"/>
      <c r="H499" s="392"/>
      <c r="I499" s="641"/>
      <c r="J499" s="392"/>
      <c r="K499" s="392"/>
      <c r="L499" s="576"/>
      <c r="M499" s="577"/>
      <c r="N499" s="686"/>
    </row>
    <row r="500" spans="1:14" s="40" customFormat="1" ht="3" customHeight="1" outlineLevel="1">
      <c r="A500" s="435"/>
      <c r="B500" s="559"/>
      <c r="C500" s="579"/>
      <c r="D500" s="580"/>
      <c r="E500" s="580"/>
      <c r="F500" s="581"/>
      <c r="G500" s="84"/>
      <c r="H500" s="84"/>
      <c r="I500" s="376"/>
      <c r="J500" s="84"/>
      <c r="K500" s="84"/>
      <c r="L500" s="582"/>
      <c r="M500" s="583"/>
      <c r="N500" s="584"/>
    </row>
    <row r="501" spans="1:14" s="40" customFormat="1" ht="11.1" customHeight="1" outlineLevel="1">
      <c r="A501" s="680" t="s">
        <v>266</v>
      </c>
      <c r="B501" s="565" t="s">
        <v>29</v>
      </c>
      <c r="C501" s="683" t="s">
        <v>514</v>
      </c>
      <c r="D501" s="676" t="s">
        <v>267</v>
      </c>
      <c r="E501" s="679" t="s">
        <v>265</v>
      </c>
      <c r="F501" s="567" t="s">
        <v>30</v>
      </c>
      <c r="G501" s="83">
        <f>SUM(G502:G505)</f>
        <v>9613984</v>
      </c>
      <c r="H501" s="83">
        <f>SUM(H502:H505)</f>
        <v>9606491</v>
      </c>
      <c r="I501" s="379">
        <f>IF(G501&gt;0,H501/G501*100,"-")</f>
        <v>99.92206144715864</v>
      </c>
      <c r="J501" s="83">
        <f>SUM(J502:J505)</f>
        <v>7772000</v>
      </c>
      <c r="K501" s="83">
        <f>SUM(K502:K505)</f>
        <v>4058333</v>
      </c>
      <c r="L501" s="568">
        <f>SUM(L502:L505)</f>
        <v>4050839.12</v>
      </c>
      <c r="M501" s="569">
        <f>IF(K501&gt;0,L501/K501*100,"-")</f>
        <v>99.815345857523269</v>
      </c>
      <c r="N501" s="678" t="s">
        <v>405</v>
      </c>
    </row>
    <row r="502" spans="1:14" s="40" customFormat="1" ht="21.75" customHeight="1" outlineLevel="1">
      <c r="A502" s="680"/>
      <c r="B502" s="29"/>
      <c r="C502" s="683"/>
      <c r="D502" s="676"/>
      <c r="E502" s="679"/>
      <c r="F502" s="571" t="s">
        <v>18</v>
      </c>
      <c r="G502" s="80">
        <v>3593809</v>
      </c>
      <c r="H502" s="80">
        <f>ROUNDUP(3513183+L502,0)</f>
        <v>3587929</v>
      </c>
      <c r="I502" s="381">
        <f>IF(G502&gt;0,H502/G502*100,"-")</f>
        <v>99.836385294822293</v>
      </c>
      <c r="J502" s="80">
        <v>672000</v>
      </c>
      <c r="K502" s="80">
        <v>80626</v>
      </c>
      <c r="L502" s="34">
        <f>74745.72</f>
        <v>74745.72</v>
      </c>
      <c r="M502" s="381">
        <f>IF(K502&gt;0,L502/K502*100,"-")</f>
        <v>92.706719916652204</v>
      </c>
      <c r="N502" s="678"/>
    </row>
    <row r="503" spans="1:14" s="40" customFormat="1" ht="11.1" customHeight="1" outlineLevel="1">
      <c r="A503" s="680"/>
      <c r="B503" s="565" t="s">
        <v>24</v>
      </c>
      <c r="C503" s="570" t="s">
        <v>258</v>
      </c>
      <c r="D503" s="676"/>
      <c r="E503" s="679"/>
      <c r="F503" s="571" t="s">
        <v>221</v>
      </c>
      <c r="G503" s="80">
        <v>2782165</v>
      </c>
      <c r="H503" s="80">
        <f>ROUNDUP(0+L503,0)</f>
        <v>2780552</v>
      </c>
      <c r="I503" s="381">
        <f t="shared" ref="I503:I505" si="85">IF(G503&gt;0,H503/G503*100,"-")</f>
        <v>99.942023567976733</v>
      </c>
      <c r="J503" s="80">
        <v>5000000</v>
      </c>
      <c r="K503" s="80">
        <v>2782165</v>
      </c>
      <c r="L503" s="363">
        <f>2780551.4</f>
        <v>2780551.4</v>
      </c>
      <c r="M503" s="381">
        <f t="shared" ref="M503:M505" si="86">IF(K503&gt;0,L503/K503*100,"-")</f>
        <v>99.942002002037981</v>
      </c>
      <c r="N503" s="678"/>
    </row>
    <row r="504" spans="1:14" s="40" customFormat="1" ht="11.1" customHeight="1" outlineLevel="1">
      <c r="A504" s="680"/>
      <c r="B504" s="29"/>
      <c r="C504" s="587"/>
      <c r="D504" s="676"/>
      <c r="E504" s="679"/>
      <c r="F504" s="571" t="s">
        <v>23</v>
      </c>
      <c r="G504" s="80">
        <v>3238010</v>
      </c>
      <c r="H504" s="80">
        <f>ROUNDUP(2042468+L504,0)</f>
        <v>3238010</v>
      </c>
      <c r="I504" s="381">
        <f t="shared" si="85"/>
        <v>100</v>
      </c>
      <c r="J504" s="80">
        <v>2100000</v>
      </c>
      <c r="K504" s="80">
        <v>1195542</v>
      </c>
      <c r="L504" s="363">
        <v>1195542</v>
      </c>
      <c r="M504" s="381">
        <f t="shared" si="86"/>
        <v>100</v>
      </c>
      <c r="N504" s="678"/>
    </row>
    <row r="505" spans="1:14" s="40" customFormat="1" ht="11.1" hidden="1" customHeight="1" outlineLevel="1">
      <c r="A505" s="635"/>
      <c r="B505" s="29"/>
      <c r="C505" s="587"/>
      <c r="D505" s="676"/>
      <c r="E505" s="679"/>
      <c r="F505" s="571" t="s">
        <v>383</v>
      </c>
      <c r="G505" s="80">
        <v>0</v>
      </c>
      <c r="H505" s="80">
        <f>ROUNDUP(0+L505,0)</f>
        <v>0</v>
      </c>
      <c r="I505" s="381" t="str">
        <f t="shared" si="85"/>
        <v>-</v>
      </c>
      <c r="J505" s="80">
        <v>0</v>
      </c>
      <c r="K505" s="80">
        <v>0</v>
      </c>
      <c r="L505" s="363">
        <v>0</v>
      </c>
      <c r="M505" s="381" t="str">
        <f t="shared" si="86"/>
        <v>-</v>
      </c>
      <c r="N505" s="678"/>
    </row>
    <row r="506" spans="1:14" s="40" customFormat="1" ht="3" customHeight="1" outlineLevel="1">
      <c r="A506" s="436"/>
      <c r="B506" s="572"/>
      <c r="C506" s="573"/>
      <c r="D506" s="574"/>
      <c r="E506" s="574"/>
      <c r="F506" s="575"/>
      <c r="G506" s="392"/>
      <c r="H506" s="392"/>
      <c r="I506" s="641"/>
      <c r="J506" s="392"/>
      <c r="K506" s="392"/>
      <c r="L506" s="576"/>
      <c r="M506" s="577"/>
      <c r="N506" s="578"/>
    </row>
    <row r="507" spans="1:14" s="40" customFormat="1" ht="3" customHeight="1" outlineLevel="1">
      <c r="A507" s="435"/>
      <c r="B507" s="559"/>
      <c r="C507" s="579"/>
      <c r="D507" s="580"/>
      <c r="E507" s="580"/>
      <c r="F507" s="581"/>
      <c r="G507" s="84"/>
      <c r="H507" s="84"/>
      <c r="I507" s="376"/>
      <c r="J507" s="84"/>
      <c r="K507" s="84"/>
      <c r="L507" s="582"/>
      <c r="M507" s="583"/>
      <c r="N507" s="584"/>
    </row>
    <row r="508" spans="1:14" s="40" customFormat="1" ht="11.1" customHeight="1" outlineLevel="1">
      <c r="A508" s="680" t="s">
        <v>268</v>
      </c>
      <c r="B508" s="565" t="s">
        <v>29</v>
      </c>
      <c r="C508" s="684" t="s">
        <v>515</v>
      </c>
      <c r="D508" s="681" t="s">
        <v>406</v>
      </c>
      <c r="E508" s="679" t="s">
        <v>265</v>
      </c>
      <c r="F508" s="567" t="s">
        <v>30</v>
      </c>
      <c r="G508" s="83">
        <f>SUM(G509:G512)</f>
        <v>3191541</v>
      </c>
      <c r="H508" s="83">
        <f>SUM(H509:H512)</f>
        <v>1570486</v>
      </c>
      <c r="I508" s="379">
        <f>IF(G508&gt;0,H508/G508*100,"-")</f>
        <v>49.207765151693181</v>
      </c>
      <c r="J508" s="83">
        <f>SUM(J509:J512)</f>
        <v>893400</v>
      </c>
      <c r="K508" s="83">
        <f>SUM(K509:K512)</f>
        <v>169539</v>
      </c>
      <c r="L508" s="568">
        <f>SUM(L509:L512)</f>
        <v>167240.29999999999</v>
      </c>
      <c r="M508" s="569">
        <f>IF(K508&gt;0,L508/K508*100,"-")</f>
        <v>98.644146774488462</v>
      </c>
      <c r="N508" s="678" t="s">
        <v>407</v>
      </c>
    </row>
    <row r="509" spans="1:14" s="40" customFormat="1" ht="11.1" customHeight="1" outlineLevel="1">
      <c r="A509" s="680"/>
      <c r="B509" s="565"/>
      <c r="C509" s="684"/>
      <c r="D509" s="681"/>
      <c r="E509" s="679"/>
      <c r="F509" s="571" t="s">
        <v>18</v>
      </c>
      <c r="G509" s="80">
        <v>3191541</v>
      </c>
      <c r="H509" s="80">
        <f>ROUNDUP(1403245+L509,0)</f>
        <v>1570486</v>
      </c>
      <c r="I509" s="381">
        <f>IF(G509&gt;0,H509/G509*100,"-")</f>
        <v>49.207765151693181</v>
      </c>
      <c r="J509" s="80">
        <v>893400</v>
      </c>
      <c r="K509" s="80">
        <v>169539</v>
      </c>
      <c r="L509" s="34">
        <v>167240.29999999999</v>
      </c>
      <c r="M509" s="381">
        <f>IF(K509&gt;0,L509/K509*100,"-")</f>
        <v>98.644146774488462</v>
      </c>
      <c r="N509" s="678"/>
    </row>
    <row r="510" spans="1:14" s="40" customFormat="1" ht="29.25" customHeight="1" outlineLevel="1">
      <c r="A510" s="680"/>
      <c r="B510" s="29"/>
      <c r="C510" s="684"/>
      <c r="D510" s="681"/>
      <c r="E510" s="679"/>
      <c r="F510" s="571" t="s">
        <v>221</v>
      </c>
      <c r="G510" s="80">
        <v>0</v>
      </c>
      <c r="H510" s="80">
        <f>ROUNDUP(0+L510,0)</f>
        <v>0</v>
      </c>
      <c r="I510" s="381" t="str">
        <f t="shared" ref="I510:I512" si="87">IF(G510&gt;0,H510/G510*100,"-")</f>
        <v>-</v>
      </c>
      <c r="J510" s="80">
        <v>0</v>
      </c>
      <c r="K510" s="80">
        <v>0</v>
      </c>
      <c r="L510" s="363">
        <v>0</v>
      </c>
      <c r="M510" s="381" t="str">
        <f t="shared" ref="M510:M512" si="88">IF(K510&gt;0,L510/K510*100,"-")</f>
        <v>-</v>
      </c>
      <c r="N510" s="678"/>
    </row>
    <row r="511" spans="1:14" s="40" customFormat="1" ht="11.1" customHeight="1" outlineLevel="1">
      <c r="A511" s="680"/>
      <c r="B511" s="565" t="s">
        <v>24</v>
      </c>
      <c r="C511" s="570" t="s">
        <v>258</v>
      </c>
      <c r="D511" s="681"/>
      <c r="E511" s="679"/>
      <c r="F511" s="571" t="s">
        <v>23</v>
      </c>
      <c r="G511" s="80">
        <v>0</v>
      </c>
      <c r="H511" s="80">
        <f>ROUNDUP(0+L511,0)</f>
        <v>0</v>
      </c>
      <c r="I511" s="381" t="str">
        <f t="shared" si="87"/>
        <v>-</v>
      </c>
      <c r="J511" s="80">
        <v>0</v>
      </c>
      <c r="K511" s="80">
        <v>0</v>
      </c>
      <c r="L511" s="363">
        <v>0</v>
      </c>
      <c r="M511" s="381" t="str">
        <f t="shared" si="88"/>
        <v>-</v>
      </c>
      <c r="N511" s="678"/>
    </row>
    <row r="512" spans="1:14" s="40" customFormat="1" ht="11.1" hidden="1" customHeight="1" outlineLevel="1">
      <c r="A512" s="635"/>
      <c r="B512" s="565"/>
      <c r="C512" s="570"/>
      <c r="D512" s="681"/>
      <c r="E512" s="679"/>
      <c r="F512" s="571" t="s">
        <v>383</v>
      </c>
      <c r="G512" s="80">
        <v>0</v>
      </c>
      <c r="H512" s="80">
        <f>ROUNDUP(0+L512,0)</f>
        <v>0</v>
      </c>
      <c r="I512" s="381" t="str">
        <f t="shared" si="87"/>
        <v>-</v>
      </c>
      <c r="J512" s="80">
        <v>0</v>
      </c>
      <c r="K512" s="80">
        <v>0</v>
      </c>
      <c r="L512" s="363">
        <v>0</v>
      </c>
      <c r="M512" s="381" t="str">
        <f t="shared" si="88"/>
        <v>-</v>
      </c>
      <c r="N512" s="678"/>
    </row>
    <row r="513" spans="1:14" s="40" customFormat="1" ht="9" customHeight="1" outlineLevel="1">
      <c r="A513" s="436"/>
      <c r="B513" s="572"/>
      <c r="C513" s="573"/>
      <c r="D513" s="574"/>
      <c r="E513" s="574"/>
      <c r="F513" s="575"/>
      <c r="G513" s="392"/>
      <c r="H513" s="392"/>
      <c r="I513" s="641"/>
      <c r="J513" s="392"/>
      <c r="K513" s="392"/>
      <c r="L513" s="576"/>
      <c r="M513" s="577"/>
      <c r="N513" s="578"/>
    </row>
    <row r="514" spans="1:14" s="40" customFormat="1" ht="3" customHeight="1" outlineLevel="1">
      <c r="A514" s="435"/>
      <c r="B514" s="559"/>
      <c r="C514" s="579"/>
      <c r="D514" s="580"/>
      <c r="E514" s="580"/>
      <c r="F514" s="581"/>
      <c r="G514" s="84"/>
      <c r="H514" s="84"/>
      <c r="I514" s="376"/>
      <c r="J514" s="84"/>
      <c r="K514" s="84"/>
      <c r="L514" s="582"/>
      <c r="M514" s="583"/>
      <c r="N514" s="584"/>
    </row>
    <row r="515" spans="1:14" s="40" customFormat="1" ht="11.1" customHeight="1" outlineLevel="1">
      <c r="A515" s="680" t="s">
        <v>269</v>
      </c>
      <c r="B515" s="565" t="s">
        <v>29</v>
      </c>
      <c r="C515" s="566" t="s">
        <v>270</v>
      </c>
      <c r="D515" s="676" t="s">
        <v>408</v>
      </c>
      <c r="E515" s="679" t="s">
        <v>265</v>
      </c>
      <c r="F515" s="567" t="s">
        <v>30</v>
      </c>
      <c r="G515" s="83">
        <f>SUM(G516:G519)</f>
        <v>31159324</v>
      </c>
      <c r="H515" s="83">
        <f>SUM(H516:H519)</f>
        <v>658557</v>
      </c>
      <c r="I515" s="379">
        <f>IF(G515&gt;0,H515/G515*100,"-")</f>
        <v>2.1135150428809046</v>
      </c>
      <c r="J515" s="83">
        <f>SUM(J516:J519)</f>
        <v>103000</v>
      </c>
      <c r="K515" s="83">
        <f>SUM(K516:K519)</f>
        <v>66000</v>
      </c>
      <c r="L515" s="568">
        <f>SUM(L516:L519)</f>
        <v>65232.67</v>
      </c>
      <c r="M515" s="569">
        <f>IF(K515&gt;0,L515/K515*100,"-")</f>
        <v>98.837378787878777</v>
      </c>
      <c r="N515" s="678" t="s">
        <v>409</v>
      </c>
    </row>
    <row r="516" spans="1:14" s="40" customFormat="1" ht="11.1" customHeight="1" outlineLevel="1">
      <c r="A516" s="680"/>
      <c r="B516" s="565" t="s">
        <v>24</v>
      </c>
      <c r="C516" s="570" t="s">
        <v>258</v>
      </c>
      <c r="D516" s="676"/>
      <c r="E516" s="679"/>
      <c r="F516" s="571" t="s">
        <v>18</v>
      </c>
      <c r="G516" s="80">
        <v>31159324</v>
      </c>
      <c r="H516" s="80">
        <f>ROUNDUP(593324+L516,0)</f>
        <v>658557</v>
      </c>
      <c r="I516" s="381">
        <f>IF(G516&gt;0,H516/G516*100,"-")</f>
        <v>2.1135150428809046</v>
      </c>
      <c r="J516" s="80">
        <v>103000</v>
      </c>
      <c r="K516" s="80">
        <v>66000</v>
      </c>
      <c r="L516" s="34">
        <v>65232.67</v>
      </c>
      <c r="M516" s="381">
        <f>IF(K516&gt;0,L516/K516*100,"-")</f>
        <v>98.837378787878777</v>
      </c>
      <c r="N516" s="678"/>
    </row>
    <row r="517" spans="1:14" s="40" customFormat="1" ht="11.1" customHeight="1" outlineLevel="1">
      <c r="A517" s="680"/>
      <c r="B517" s="565"/>
      <c r="C517" s="570"/>
      <c r="D517" s="676"/>
      <c r="E517" s="679"/>
      <c r="F517" s="571" t="s">
        <v>221</v>
      </c>
      <c r="G517" s="80">
        <v>0</v>
      </c>
      <c r="H517" s="80">
        <f>ROUNDUP(0+L517,0)</f>
        <v>0</v>
      </c>
      <c r="I517" s="381" t="str">
        <f t="shared" ref="I517:I519" si="89">IF(G517&gt;0,H517/G517*100,"-")</f>
        <v>-</v>
      </c>
      <c r="J517" s="80">
        <v>0</v>
      </c>
      <c r="K517" s="80">
        <v>0</v>
      </c>
      <c r="L517" s="363">
        <v>0</v>
      </c>
      <c r="M517" s="381" t="str">
        <f t="shared" ref="M517:M519" si="90">IF(K517&gt;0,L517/K517*100,"-")</f>
        <v>-</v>
      </c>
      <c r="N517" s="678"/>
    </row>
    <row r="518" spans="1:14" s="40" customFormat="1" ht="11.1" customHeight="1" outlineLevel="1">
      <c r="A518" s="680"/>
      <c r="B518" s="29"/>
      <c r="C518" s="587"/>
      <c r="D518" s="676"/>
      <c r="E518" s="679"/>
      <c r="F518" s="571" t="s">
        <v>23</v>
      </c>
      <c r="G518" s="80">
        <v>0</v>
      </c>
      <c r="H518" s="80">
        <f>ROUNDUP(0+L518,0)</f>
        <v>0</v>
      </c>
      <c r="I518" s="381" t="str">
        <f t="shared" si="89"/>
        <v>-</v>
      </c>
      <c r="J518" s="80">
        <v>0</v>
      </c>
      <c r="K518" s="80">
        <v>0</v>
      </c>
      <c r="L518" s="363">
        <v>0</v>
      </c>
      <c r="M518" s="381" t="str">
        <f t="shared" si="90"/>
        <v>-</v>
      </c>
      <c r="N518" s="678"/>
    </row>
    <row r="519" spans="1:14" s="40" customFormat="1" ht="11.1" hidden="1" customHeight="1" outlineLevel="1">
      <c r="A519" s="635"/>
      <c r="B519" s="29"/>
      <c r="C519" s="587"/>
      <c r="D519" s="676"/>
      <c r="E519" s="679"/>
      <c r="F519" s="571" t="s">
        <v>383</v>
      </c>
      <c r="G519" s="80">
        <v>0</v>
      </c>
      <c r="H519" s="80">
        <f>ROUNDUP(0+L519,0)</f>
        <v>0</v>
      </c>
      <c r="I519" s="381" t="str">
        <f t="shared" si="89"/>
        <v>-</v>
      </c>
      <c r="J519" s="80">
        <v>0</v>
      </c>
      <c r="K519" s="80">
        <v>0</v>
      </c>
      <c r="L519" s="363">
        <v>0</v>
      </c>
      <c r="M519" s="381" t="str">
        <f t="shared" si="90"/>
        <v>-</v>
      </c>
      <c r="N519" s="678"/>
    </row>
    <row r="520" spans="1:14" s="40" customFormat="1" ht="3" customHeight="1" outlineLevel="1">
      <c r="A520" s="436"/>
      <c r="B520" s="572"/>
      <c r="C520" s="573"/>
      <c r="D520" s="574"/>
      <c r="E520" s="574"/>
      <c r="F520" s="575"/>
      <c r="G520" s="392"/>
      <c r="H520" s="392"/>
      <c r="I520" s="641"/>
      <c r="J520" s="392"/>
      <c r="K520" s="392"/>
      <c r="L520" s="576"/>
      <c r="M520" s="577"/>
      <c r="N520" s="578"/>
    </row>
    <row r="521" spans="1:14" s="40" customFormat="1" ht="3.95" customHeight="1" outlineLevel="1">
      <c r="A521" s="435"/>
      <c r="B521" s="559"/>
      <c r="C521" s="579"/>
      <c r="D521" s="580"/>
      <c r="E521" s="580"/>
      <c r="F521" s="581"/>
      <c r="G521" s="84"/>
      <c r="H521" s="84"/>
      <c r="I521" s="376"/>
      <c r="J521" s="84"/>
      <c r="K521" s="84"/>
      <c r="L521" s="582"/>
      <c r="M521" s="583"/>
      <c r="N521" s="584"/>
    </row>
    <row r="522" spans="1:14" s="40" customFormat="1" ht="11.1" customHeight="1" outlineLevel="1">
      <c r="A522" s="680" t="s">
        <v>271</v>
      </c>
      <c r="B522" s="565" t="s">
        <v>29</v>
      </c>
      <c r="C522" s="683" t="s">
        <v>516</v>
      </c>
      <c r="D522" s="676" t="s">
        <v>410</v>
      </c>
      <c r="E522" s="679" t="s">
        <v>265</v>
      </c>
      <c r="F522" s="567" t="s">
        <v>30</v>
      </c>
      <c r="G522" s="83">
        <f>SUM(G523:G526)</f>
        <v>37025180</v>
      </c>
      <c r="H522" s="83">
        <f>SUM(H523:H526)</f>
        <v>1531680</v>
      </c>
      <c r="I522" s="379">
        <f>IF(G522&gt;0,H522/G522*100,"-")</f>
        <v>4.1368603744802863</v>
      </c>
      <c r="J522" s="83">
        <f>SUM(J523:J526)</f>
        <v>0</v>
      </c>
      <c r="K522" s="83">
        <f>SUM(K523:K526)</f>
        <v>0</v>
      </c>
      <c r="L522" s="568">
        <f>SUM(L523:L526)</f>
        <v>0</v>
      </c>
      <c r="M522" s="569" t="str">
        <f>IF(K522&gt;0,L522/K522*100,"-")</f>
        <v>-</v>
      </c>
      <c r="N522" s="678" t="s">
        <v>392</v>
      </c>
    </row>
    <row r="523" spans="1:14" s="40" customFormat="1" ht="20.25" customHeight="1" outlineLevel="1">
      <c r="A523" s="680"/>
      <c r="B523" s="565"/>
      <c r="C523" s="683"/>
      <c r="D523" s="676"/>
      <c r="E523" s="679"/>
      <c r="F523" s="571" t="s">
        <v>18</v>
      </c>
      <c r="G523" s="80">
        <v>36749930</v>
      </c>
      <c r="H523" s="80">
        <f>ROUNDUP(1256430+L523,0)</f>
        <v>1256430</v>
      </c>
      <c r="I523" s="381">
        <f>IF(G523&gt;0,H523/G523*100,"-")</f>
        <v>3.4188636549783906</v>
      </c>
      <c r="J523" s="80">
        <v>0</v>
      </c>
      <c r="K523" s="80">
        <v>0</v>
      </c>
      <c r="L523" s="34">
        <v>0</v>
      </c>
      <c r="M523" s="381" t="str">
        <f>IF(K523&gt;0,L523/K523*100,"-")</f>
        <v>-</v>
      </c>
      <c r="N523" s="678"/>
    </row>
    <row r="524" spans="1:14" s="40" customFormat="1" ht="23.25" customHeight="1" outlineLevel="1">
      <c r="A524" s="680"/>
      <c r="B524" s="565"/>
      <c r="C524" s="683"/>
      <c r="D524" s="676"/>
      <c r="E524" s="679"/>
      <c r="F524" s="571" t="s">
        <v>221</v>
      </c>
      <c r="G524" s="80">
        <v>275250</v>
      </c>
      <c r="H524" s="80">
        <f>ROUNDUP(275250+L524,0)</f>
        <v>275250</v>
      </c>
      <c r="I524" s="381">
        <f t="shared" ref="I524:I525" si="91">IF(G524&gt;0,H524/G524*100,"-")</f>
        <v>100</v>
      </c>
      <c r="J524" s="80">
        <v>0</v>
      </c>
      <c r="K524" s="80">
        <v>0</v>
      </c>
      <c r="L524" s="363">
        <v>0</v>
      </c>
      <c r="M524" s="381" t="str">
        <f t="shared" ref="M524:M525" si="92">IF(K524&gt;0,L524/K524*100,"-")</f>
        <v>-</v>
      </c>
      <c r="N524" s="678"/>
    </row>
    <row r="525" spans="1:14" s="40" customFormat="1" ht="11.1" customHeight="1" outlineLevel="1">
      <c r="A525" s="680"/>
      <c r="B525" s="29"/>
      <c r="C525" s="683"/>
      <c r="D525" s="676"/>
      <c r="E525" s="679"/>
      <c r="F525" s="571" t="s">
        <v>23</v>
      </c>
      <c r="G525" s="80">
        <v>0</v>
      </c>
      <c r="H525" s="80">
        <f>ROUNDUP(0+L525,0)</f>
        <v>0</v>
      </c>
      <c r="I525" s="381" t="str">
        <f t="shared" si="91"/>
        <v>-</v>
      </c>
      <c r="J525" s="80">
        <v>0</v>
      </c>
      <c r="K525" s="80">
        <v>0</v>
      </c>
      <c r="L525" s="363">
        <v>0</v>
      </c>
      <c r="M525" s="381" t="str">
        <f t="shared" si="92"/>
        <v>-</v>
      </c>
      <c r="N525" s="678"/>
    </row>
    <row r="526" spans="1:14" s="40" customFormat="1" ht="11.1" customHeight="1" outlineLevel="1">
      <c r="A526" s="635"/>
      <c r="B526" s="565" t="s">
        <v>24</v>
      </c>
      <c r="C526" s="570" t="s">
        <v>258</v>
      </c>
      <c r="D526" s="676"/>
      <c r="E526" s="679"/>
      <c r="F526" s="571"/>
      <c r="G526" s="80"/>
      <c r="H526" s="80"/>
      <c r="I526" s="381"/>
      <c r="J526" s="80"/>
      <c r="K526" s="80"/>
      <c r="L526" s="363"/>
      <c r="M526" s="381"/>
      <c r="N526" s="678"/>
    </row>
    <row r="527" spans="1:14" s="40" customFormat="1" ht="3.95" customHeight="1" outlineLevel="1">
      <c r="A527" s="436"/>
      <c r="B527" s="572"/>
      <c r="C527" s="573"/>
      <c r="D527" s="574"/>
      <c r="E527" s="574"/>
      <c r="F527" s="575"/>
      <c r="G527" s="392"/>
      <c r="H527" s="392"/>
      <c r="I527" s="641"/>
      <c r="J527" s="392"/>
      <c r="K527" s="392"/>
      <c r="L527" s="576"/>
      <c r="M527" s="577"/>
      <c r="N527" s="578"/>
    </row>
    <row r="528" spans="1:14" s="40" customFormat="1" ht="3" customHeight="1" outlineLevel="1">
      <c r="A528" s="435"/>
      <c r="B528" s="559"/>
      <c r="C528" s="579"/>
      <c r="D528" s="580"/>
      <c r="E528" s="580"/>
      <c r="F528" s="581"/>
      <c r="G528" s="84"/>
      <c r="H528" s="84"/>
      <c r="I528" s="376"/>
      <c r="J528" s="84"/>
      <c r="K528" s="84"/>
      <c r="L528" s="582"/>
      <c r="M528" s="583"/>
      <c r="N528" s="584"/>
    </row>
    <row r="529" spans="1:14" s="40" customFormat="1" ht="11.1" customHeight="1" outlineLevel="1">
      <c r="A529" s="680" t="s">
        <v>273</v>
      </c>
      <c r="B529" s="565" t="s">
        <v>29</v>
      </c>
      <c r="C529" s="684" t="s">
        <v>517</v>
      </c>
      <c r="D529" s="681" t="s">
        <v>411</v>
      </c>
      <c r="E529" s="679" t="s">
        <v>265</v>
      </c>
      <c r="F529" s="567" t="s">
        <v>30</v>
      </c>
      <c r="G529" s="83">
        <f>SUM(G530:G533)</f>
        <v>2209976</v>
      </c>
      <c r="H529" s="83">
        <f>SUM(H530:H533)</f>
        <v>147336</v>
      </c>
      <c r="I529" s="379">
        <f>IF(G529&gt;0,H529/G529*100,"-")</f>
        <v>6.6668597306034094</v>
      </c>
      <c r="J529" s="83">
        <f>SUM(J530:J533)</f>
        <v>94500</v>
      </c>
      <c r="K529" s="83">
        <f>SUM(K530:K533)</f>
        <v>41116</v>
      </c>
      <c r="L529" s="568">
        <f>SUM(L530:L533)</f>
        <v>22752.86</v>
      </c>
      <c r="M529" s="569">
        <f>IF(K529&gt;0,L529/K529*100,"-")</f>
        <v>55.338213834030547</v>
      </c>
      <c r="N529" s="678" t="s">
        <v>412</v>
      </c>
    </row>
    <row r="530" spans="1:14" s="40" customFormat="1" ht="11.1" customHeight="1" outlineLevel="1">
      <c r="A530" s="680"/>
      <c r="B530" s="565"/>
      <c r="C530" s="684"/>
      <c r="D530" s="681"/>
      <c r="E530" s="679"/>
      <c r="F530" s="571" t="s">
        <v>18</v>
      </c>
      <c r="G530" s="80">
        <v>2209976</v>
      </c>
      <c r="H530" s="80">
        <f>ROUNDUP(124583+L530,0)</f>
        <v>147336</v>
      </c>
      <c r="I530" s="381">
        <f>IF(G530&gt;0,H530/G530*100,"-")</f>
        <v>6.6668597306034094</v>
      </c>
      <c r="J530" s="80">
        <v>94500</v>
      </c>
      <c r="K530" s="80">
        <v>41116</v>
      </c>
      <c r="L530" s="34">
        <v>22752.86</v>
      </c>
      <c r="M530" s="381">
        <f>IF(K530&gt;0,L530/K530*100,"-")</f>
        <v>55.338213834030547</v>
      </c>
      <c r="N530" s="678"/>
    </row>
    <row r="531" spans="1:14" s="40" customFormat="1" ht="24" customHeight="1" outlineLevel="1">
      <c r="A531" s="680"/>
      <c r="B531" s="29"/>
      <c r="C531" s="684"/>
      <c r="D531" s="681"/>
      <c r="E531" s="679"/>
      <c r="F531" s="571" t="s">
        <v>221</v>
      </c>
      <c r="G531" s="80">
        <v>0</v>
      </c>
      <c r="H531" s="80">
        <f>ROUNDUP(0+L531,0)</f>
        <v>0</v>
      </c>
      <c r="I531" s="381" t="str">
        <f t="shared" ref="I531:I532" si="93">IF(G531&gt;0,H531/G531*100,"-")</f>
        <v>-</v>
      </c>
      <c r="J531" s="80">
        <v>0</v>
      </c>
      <c r="K531" s="80">
        <v>0</v>
      </c>
      <c r="L531" s="363">
        <v>0</v>
      </c>
      <c r="M531" s="381" t="str">
        <f t="shared" ref="M531:M532" si="94">IF(K531&gt;0,L531/K531*100,"-")</f>
        <v>-</v>
      </c>
      <c r="N531" s="678"/>
    </row>
    <row r="532" spans="1:14" s="40" customFormat="1" ht="11.1" customHeight="1" outlineLevel="1">
      <c r="A532" s="680"/>
      <c r="B532" s="565" t="s">
        <v>24</v>
      </c>
      <c r="C532" s="570" t="s">
        <v>258</v>
      </c>
      <c r="D532" s="681"/>
      <c r="E532" s="679"/>
      <c r="F532" s="571" t="s">
        <v>23</v>
      </c>
      <c r="G532" s="80">
        <v>0</v>
      </c>
      <c r="H532" s="80">
        <f>ROUNDUP(0+L532,0)</f>
        <v>0</v>
      </c>
      <c r="I532" s="381" t="str">
        <f t="shared" si="93"/>
        <v>-</v>
      </c>
      <c r="J532" s="80">
        <v>0</v>
      </c>
      <c r="K532" s="80">
        <v>0</v>
      </c>
      <c r="L532" s="363">
        <v>0</v>
      </c>
      <c r="M532" s="381" t="str">
        <f t="shared" si="94"/>
        <v>-</v>
      </c>
      <c r="N532" s="678"/>
    </row>
    <row r="533" spans="1:14" s="40" customFormat="1" ht="11.1" customHeight="1" outlineLevel="1">
      <c r="A533" s="635"/>
      <c r="B533" s="565"/>
      <c r="C533" s="570"/>
      <c r="D533" s="681"/>
      <c r="E533" s="679"/>
      <c r="F533" s="571"/>
      <c r="G533" s="80"/>
      <c r="H533" s="80"/>
      <c r="I533" s="381"/>
      <c r="J533" s="80"/>
      <c r="K533" s="80"/>
      <c r="L533" s="363"/>
      <c r="M533" s="381"/>
      <c r="N533" s="678"/>
    </row>
    <row r="534" spans="1:14" s="40" customFormat="1" ht="3" customHeight="1" outlineLevel="1">
      <c r="A534" s="436"/>
      <c r="B534" s="572"/>
      <c r="C534" s="573"/>
      <c r="D534" s="574"/>
      <c r="E534" s="574"/>
      <c r="F534" s="575"/>
      <c r="G534" s="392"/>
      <c r="H534" s="392"/>
      <c r="I534" s="641"/>
      <c r="J534" s="392"/>
      <c r="K534" s="392"/>
      <c r="L534" s="576"/>
      <c r="M534" s="577"/>
      <c r="N534" s="578"/>
    </row>
    <row r="535" spans="1:14" s="40" customFormat="1" ht="3" customHeight="1" outlineLevel="1">
      <c r="A535" s="435"/>
      <c r="B535" s="559"/>
      <c r="C535" s="579"/>
      <c r="D535" s="580"/>
      <c r="E535" s="580"/>
      <c r="F535" s="581"/>
      <c r="G535" s="84"/>
      <c r="H535" s="84"/>
      <c r="I535" s="376"/>
      <c r="J535" s="84"/>
      <c r="K535" s="84"/>
      <c r="L535" s="582"/>
      <c r="M535" s="583"/>
      <c r="N535" s="584"/>
    </row>
    <row r="536" spans="1:14" s="40" customFormat="1" ht="11.1" customHeight="1" outlineLevel="1">
      <c r="A536" s="680" t="s">
        <v>275</v>
      </c>
      <c r="B536" s="565" t="s">
        <v>29</v>
      </c>
      <c r="C536" s="655" t="s">
        <v>518</v>
      </c>
      <c r="D536" s="676" t="s">
        <v>274</v>
      </c>
      <c r="E536" s="679" t="s">
        <v>265</v>
      </c>
      <c r="F536" s="567" t="s">
        <v>30</v>
      </c>
      <c r="G536" s="83">
        <f>SUM(G537:G540)</f>
        <v>1011500</v>
      </c>
      <c r="H536" s="83">
        <f>SUM(H537:H540)</f>
        <v>29103</v>
      </c>
      <c r="I536" s="379">
        <f>IF(G536&gt;0,H536/G536*100,"-")</f>
        <v>2.8772120612951064</v>
      </c>
      <c r="J536" s="83">
        <f>SUM(J537:J540)</f>
        <v>300000</v>
      </c>
      <c r="K536" s="83">
        <f>SUM(K537:K540)</f>
        <v>70500</v>
      </c>
      <c r="L536" s="568">
        <f>SUM(L537:L540)</f>
        <v>29102.91</v>
      </c>
      <c r="M536" s="569">
        <f>IF(K536&gt;0,L536/K536*100,"-")</f>
        <v>41.280723404255319</v>
      </c>
      <c r="N536" s="678" t="s">
        <v>413</v>
      </c>
    </row>
    <row r="537" spans="1:14" s="40" customFormat="1" ht="24" customHeight="1" outlineLevel="1">
      <c r="A537" s="680"/>
      <c r="B537" s="565"/>
      <c r="C537" s="655"/>
      <c r="D537" s="676"/>
      <c r="E537" s="679"/>
      <c r="F537" s="571" t="s">
        <v>18</v>
      </c>
      <c r="G537" s="80">
        <v>1011500</v>
      </c>
      <c r="H537" s="80">
        <f>ROUNDUP(0+L537,0)</f>
        <v>29103</v>
      </c>
      <c r="I537" s="381">
        <f>IF(G537&gt;0,H537/G537*100,"-")</f>
        <v>2.8772120612951064</v>
      </c>
      <c r="J537" s="80">
        <v>300000</v>
      </c>
      <c r="K537" s="80">
        <v>70500</v>
      </c>
      <c r="L537" s="34">
        <v>29102.91</v>
      </c>
      <c r="M537" s="381">
        <f>IF(K537&gt;0,L537/K537*100,"-")</f>
        <v>41.280723404255319</v>
      </c>
      <c r="N537" s="678"/>
    </row>
    <row r="538" spans="1:14" s="40" customFormat="1" ht="11.1" customHeight="1" outlineLevel="1">
      <c r="A538" s="680"/>
      <c r="B538" s="565" t="s">
        <v>24</v>
      </c>
      <c r="C538" s="570" t="s">
        <v>258</v>
      </c>
      <c r="D538" s="676"/>
      <c r="E538" s="679"/>
      <c r="F538" s="571" t="s">
        <v>221</v>
      </c>
      <c r="G538" s="80">
        <v>0</v>
      </c>
      <c r="H538" s="80">
        <f>ROUNDUP(0+L538,0)</f>
        <v>0</v>
      </c>
      <c r="I538" s="381" t="str">
        <f t="shared" ref="I538:I539" si="95">IF(G538&gt;0,H538/G538*100,"-")</f>
        <v>-</v>
      </c>
      <c r="J538" s="80">
        <v>0</v>
      </c>
      <c r="K538" s="80">
        <v>0</v>
      </c>
      <c r="L538" s="363">
        <v>0</v>
      </c>
      <c r="M538" s="381" t="str">
        <f t="shared" ref="M538:M539" si="96">IF(K538&gt;0,L538/K538*100,"-")</f>
        <v>-</v>
      </c>
      <c r="N538" s="678"/>
    </row>
    <row r="539" spans="1:14" s="40" customFormat="1" ht="11.1" customHeight="1" outlineLevel="1">
      <c r="A539" s="680"/>
      <c r="B539" s="565"/>
      <c r="C539" s="570"/>
      <c r="D539" s="676"/>
      <c r="E539" s="679"/>
      <c r="F539" s="571" t="s">
        <v>23</v>
      </c>
      <c r="G539" s="80">
        <v>0</v>
      </c>
      <c r="H539" s="80">
        <f>ROUNDUP(0+L539,0)</f>
        <v>0</v>
      </c>
      <c r="I539" s="381" t="str">
        <f t="shared" si="95"/>
        <v>-</v>
      </c>
      <c r="J539" s="80">
        <v>0</v>
      </c>
      <c r="K539" s="80">
        <v>0</v>
      </c>
      <c r="L539" s="363">
        <v>0</v>
      </c>
      <c r="M539" s="381" t="str">
        <f t="shared" si="96"/>
        <v>-</v>
      </c>
      <c r="N539" s="678"/>
    </row>
    <row r="540" spans="1:14" s="40" customFormat="1" ht="6" customHeight="1" outlineLevel="1">
      <c r="A540" s="635"/>
      <c r="B540" s="565"/>
      <c r="C540" s="570"/>
      <c r="D540" s="676"/>
      <c r="E540" s="679"/>
      <c r="F540" s="571"/>
      <c r="G540" s="80"/>
      <c r="H540" s="80"/>
      <c r="I540" s="381"/>
      <c r="J540" s="80"/>
      <c r="K540" s="80"/>
      <c r="L540" s="363"/>
      <c r="M540" s="381"/>
      <c r="N540" s="678"/>
    </row>
    <row r="541" spans="1:14" s="40" customFormat="1" ht="3" customHeight="1" outlineLevel="1">
      <c r="A541" s="436"/>
      <c r="B541" s="572"/>
      <c r="C541" s="573"/>
      <c r="D541" s="574"/>
      <c r="E541" s="574"/>
      <c r="F541" s="575"/>
      <c r="G541" s="392"/>
      <c r="H541" s="392"/>
      <c r="I541" s="641"/>
      <c r="J541" s="392"/>
      <c r="K541" s="392"/>
      <c r="L541" s="576"/>
      <c r="M541" s="577"/>
      <c r="N541" s="578"/>
    </row>
    <row r="542" spans="1:14" s="40" customFormat="1" ht="3.95" customHeight="1" outlineLevel="1">
      <c r="A542" s="435"/>
      <c r="B542" s="559"/>
      <c r="C542" s="579"/>
      <c r="D542" s="580"/>
      <c r="E542" s="580"/>
      <c r="F542" s="581"/>
      <c r="G542" s="84"/>
      <c r="H542" s="84"/>
      <c r="I542" s="376"/>
      <c r="J542" s="84"/>
      <c r="K542" s="84"/>
      <c r="L542" s="582"/>
      <c r="M542" s="583"/>
      <c r="N542" s="584"/>
    </row>
    <row r="543" spans="1:14" s="40" customFormat="1" ht="11.1" customHeight="1" outlineLevel="1">
      <c r="A543" s="680" t="s">
        <v>279</v>
      </c>
      <c r="B543" s="565" t="s">
        <v>29</v>
      </c>
      <c r="C543" s="566" t="s">
        <v>276</v>
      </c>
      <c r="D543" s="676" t="s">
        <v>264</v>
      </c>
      <c r="E543" s="679" t="s">
        <v>277</v>
      </c>
      <c r="F543" s="567" t="s">
        <v>30</v>
      </c>
      <c r="G543" s="83">
        <f>SUM(G544:G547)</f>
        <v>1630230</v>
      </c>
      <c r="H543" s="83">
        <f>SUM(H544:H547)</f>
        <v>1612393</v>
      </c>
      <c r="I543" s="379">
        <f>IF(G543&gt;0,H543/G543*100,"-")</f>
        <v>98.905859909337948</v>
      </c>
      <c r="J543" s="83">
        <f>SUM(J544:J547)</f>
        <v>3163400</v>
      </c>
      <c r="K543" s="83">
        <f>SUM(K544:K547)</f>
        <v>1628030</v>
      </c>
      <c r="L543" s="568">
        <f>SUM(L544:L547)</f>
        <v>1610191.54</v>
      </c>
      <c r="M543" s="569">
        <f>IF(K543&gt;0,L543/K543*100,"-")</f>
        <v>98.90429168995658</v>
      </c>
      <c r="N543" s="678" t="s">
        <v>414</v>
      </c>
    </row>
    <row r="544" spans="1:14" s="40" customFormat="1" ht="11.1" customHeight="1" outlineLevel="1">
      <c r="A544" s="680"/>
      <c r="B544" s="565" t="s">
        <v>24</v>
      </c>
      <c r="C544" s="570" t="s">
        <v>278</v>
      </c>
      <c r="D544" s="676"/>
      <c r="E544" s="679"/>
      <c r="F544" s="571" t="s">
        <v>18</v>
      </c>
      <c r="G544" s="80">
        <v>176863</v>
      </c>
      <c r="H544" s="80">
        <f>ROUNDUP(2200+L544,0)</f>
        <v>159026</v>
      </c>
      <c r="I544" s="381">
        <f>IF(G544&gt;0,H544/G544*100,"-")</f>
        <v>89.914792805730997</v>
      </c>
      <c r="J544" s="80">
        <v>907993</v>
      </c>
      <c r="K544" s="80">
        <v>174663</v>
      </c>
      <c r="L544" s="34">
        <f>156825.34</f>
        <v>156825.34</v>
      </c>
      <c r="M544" s="381">
        <f>IF(K544&gt;0,L544/K544*100,"-")</f>
        <v>89.787384849681956</v>
      </c>
      <c r="N544" s="678"/>
    </row>
    <row r="545" spans="1:14" s="40" customFormat="1" ht="11.1" customHeight="1" outlineLevel="1">
      <c r="A545" s="680"/>
      <c r="B545" s="565"/>
      <c r="C545" s="570"/>
      <c r="D545" s="676"/>
      <c r="E545" s="679"/>
      <c r="F545" s="571" t="s">
        <v>221</v>
      </c>
      <c r="G545" s="80">
        <v>1453367</v>
      </c>
      <c r="H545" s="80">
        <f>ROUNDUP(0+L545,0)</f>
        <v>1453367</v>
      </c>
      <c r="I545" s="381">
        <f t="shared" ref="I545:I546" si="97">IF(G545&gt;0,H545/G545*100,"-")</f>
        <v>100</v>
      </c>
      <c r="J545" s="80">
        <v>2255407</v>
      </c>
      <c r="K545" s="80">
        <v>1453367</v>
      </c>
      <c r="L545" s="363">
        <f>1453366.2</f>
        <v>1453366.2</v>
      </c>
      <c r="M545" s="381">
        <f t="shared" ref="M545:M546" si="98">IF(K545&gt;0,L545/K545*100,"-")</f>
        <v>99.999944955403549</v>
      </c>
      <c r="N545" s="678"/>
    </row>
    <row r="546" spans="1:14" s="40" customFormat="1" ht="11.1" customHeight="1" outlineLevel="1">
      <c r="A546" s="680"/>
      <c r="B546" s="29"/>
      <c r="C546" s="587"/>
      <c r="D546" s="676"/>
      <c r="E546" s="679"/>
      <c r="F546" s="571" t="s">
        <v>23</v>
      </c>
      <c r="G546" s="80">
        <v>0</v>
      </c>
      <c r="H546" s="80">
        <f>ROUNDUP(0+L546,0)</f>
        <v>0</v>
      </c>
      <c r="I546" s="381" t="str">
        <f t="shared" si="97"/>
        <v>-</v>
      </c>
      <c r="J546" s="80">
        <v>0</v>
      </c>
      <c r="K546" s="80">
        <v>0</v>
      </c>
      <c r="L546" s="363">
        <v>0</v>
      </c>
      <c r="M546" s="381" t="str">
        <f t="shared" si="98"/>
        <v>-</v>
      </c>
      <c r="N546" s="678"/>
    </row>
    <row r="547" spans="1:14" s="40" customFormat="1" ht="16.5" customHeight="1" outlineLevel="1">
      <c r="A547" s="635"/>
      <c r="B547" s="29"/>
      <c r="C547" s="587"/>
      <c r="D547" s="676"/>
      <c r="E547" s="679"/>
      <c r="F547" s="571"/>
      <c r="G547" s="80"/>
      <c r="H547" s="80"/>
      <c r="I547" s="381"/>
      <c r="J547" s="80"/>
      <c r="K547" s="80"/>
      <c r="L547" s="363"/>
      <c r="M547" s="381"/>
      <c r="N547" s="678"/>
    </row>
    <row r="548" spans="1:14" s="40" customFormat="1" ht="6" customHeight="1" outlineLevel="1">
      <c r="A548" s="436"/>
      <c r="B548" s="572"/>
      <c r="C548" s="573"/>
      <c r="D548" s="574"/>
      <c r="E548" s="574"/>
      <c r="F548" s="575"/>
      <c r="G548" s="392"/>
      <c r="H548" s="392"/>
      <c r="I548" s="641"/>
      <c r="J548" s="392"/>
      <c r="K548" s="392"/>
      <c r="L548" s="576"/>
      <c r="M548" s="577"/>
      <c r="N548" s="578"/>
    </row>
    <row r="549" spans="1:14" s="40" customFormat="1" ht="9.75" customHeight="1" outlineLevel="1">
      <c r="A549" s="435"/>
      <c r="B549" s="559"/>
      <c r="C549" s="579"/>
      <c r="D549" s="580"/>
      <c r="E549" s="580"/>
      <c r="F549" s="581"/>
      <c r="G549" s="84"/>
      <c r="H549" s="84"/>
      <c r="I549" s="376"/>
      <c r="J549" s="84"/>
      <c r="K549" s="84"/>
      <c r="L549" s="582"/>
      <c r="M549" s="583"/>
      <c r="N549" s="584"/>
    </row>
    <row r="550" spans="1:14" s="40" customFormat="1" ht="11.1" customHeight="1" outlineLevel="1">
      <c r="A550" s="680" t="s">
        <v>282</v>
      </c>
      <c r="B550" s="565" t="s">
        <v>29</v>
      </c>
      <c r="C550" s="684" t="s">
        <v>519</v>
      </c>
      <c r="D550" s="676" t="s">
        <v>281</v>
      </c>
      <c r="E550" s="679" t="s">
        <v>277</v>
      </c>
      <c r="F550" s="567" t="s">
        <v>30</v>
      </c>
      <c r="G550" s="83">
        <f>SUM(G551:G554)</f>
        <v>3498872</v>
      </c>
      <c r="H550" s="83">
        <f>SUM(H551:H554)</f>
        <v>148872</v>
      </c>
      <c r="I550" s="379">
        <f>IF(G550&gt;0,H550/G550*100,"-")</f>
        <v>4.2548569939111802</v>
      </c>
      <c r="J550" s="83">
        <f>SUM(J551:J554)</f>
        <v>0</v>
      </c>
      <c r="K550" s="83">
        <f>SUM(K551:K554)</f>
        <v>0</v>
      </c>
      <c r="L550" s="568">
        <f>SUM(L551:L554)</f>
        <v>0</v>
      </c>
      <c r="M550" s="569" t="str">
        <f>IF(K550&gt;0,L550/K550*100,"-")</f>
        <v>-</v>
      </c>
      <c r="N550" s="678" t="s">
        <v>392</v>
      </c>
    </row>
    <row r="551" spans="1:14" s="40" customFormat="1" ht="11.1" customHeight="1" outlineLevel="1">
      <c r="A551" s="680"/>
      <c r="B551" s="565"/>
      <c r="C551" s="684"/>
      <c r="D551" s="676"/>
      <c r="E551" s="679"/>
      <c r="F551" s="571" t="s">
        <v>18</v>
      </c>
      <c r="G551" s="80">
        <v>3498872</v>
      </c>
      <c r="H551" s="80">
        <f>ROUNDUP(148872+L551,0)</f>
        <v>148872</v>
      </c>
      <c r="I551" s="381">
        <f>IF(G551&gt;0,H551/G551*100,"-")</f>
        <v>4.2548569939111802</v>
      </c>
      <c r="J551" s="80">
        <v>0</v>
      </c>
      <c r="K551" s="80">
        <v>0</v>
      </c>
      <c r="L551" s="34">
        <v>0</v>
      </c>
      <c r="M551" s="381" t="str">
        <f>IF(K551&gt;0,L551/K551*100,"-")</f>
        <v>-</v>
      </c>
      <c r="N551" s="678"/>
    </row>
    <row r="552" spans="1:14" s="40" customFormat="1" ht="25.5" customHeight="1" outlineLevel="1">
      <c r="A552" s="680"/>
      <c r="B552" s="565"/>
      <c r="C552" s="684"/>
      <c r="D552" s="676"/>
      <c r="E552" s="679"/>
      <c r="F552" s="571" t="s">
        <v>221</v>
      </c>
      <c r="G552" s="80">
        <v>0</v>
      </c>
      <c r="H552" s="80">
        <f>ROUNDUP(0+L552,0)</f>
        <v>0</v>
      </c>
      <c r="I552" s="381" t="str">
        <f t="shared" ref="I552:I553" si="99">IF(G552&gt;0,H552/G552*100,"-")</f>
        <v>-</v>
      </c>
      <c r="J552" s="80">
        <v>0</v>
      </c>
      <c r="K552" s="80">
        <v>0</v>
      </c>
      <c r="L552" s="363">
        <v>0</v>
      </c>
      <c r="M552" s="381" t="str">
        <f t="shared" ref="M552:M553" si="100">IF(K552&gt;0,L552/K552*100,"-")</f>
        <v>-</v>
      </c>
      <c r="N552" s="678"/>
    </row>
    <row r="553" spans="1:14" s="40" customFormat="1" ht="11.1" customHeight="1" outlineLevel="1">
      <c r="A553" s="680"/>
      <c r="B553" s="565" t="s">
        <v>24</v>
      </c>
      <c r="C553" s="570" t="s">
        <v>258</v>
      </c>
      <c r="D553" s="676"/>
      <c r="E553" s="679"/>
      <c r="F553" s="571" t="s">
        <v>23</v>
      </c>
      <c r="G553" s="80">
        <v>0</v>
      </c>
      <c r="H553" s="80">
        <f>ROUNDUP(0+L553,0)</f>
        <v>0</v>
      </c>
      <c r="I553" s="381" t="str">
        <f t="shared" si="99"/>
        <v>-</v>
      </c>
      <c r="J553" s="80">
        <v>0</v>
      </c>
      <c r="K553" s="80">
        <v>0</v>
      </c>
      <c r="L553" s="363">
        <v>0</v>
      </c>
      <c r="M553" s="381" t="str">
        <f t="shared" si="100"/>
        <v>-</v>
      </c>
      <c r="N553" s="678"/>
    </row>
    <row r="554" spans="1:14" s="40" customFormat="1" ht="5.25" customHeight="1" outlineLevel="1">
      <c r="A554" s="635"/>
      <c r="B554" s="29"/>
      <c r="C554" s="587"/>
      <c r="D554" s="676"/>
      <c r="E554" s="679"/>
      <c r="F554" s="571"/>
      <c r="G554" s="80"/>
      <c r="H554" s="80"/>
      <c r="I554" s="381"/>
      <c r="J554" s="80"/>
      <c r="K554" s="80"/>
      <c r="L554" s="363"/>
      <c r="M554" s="381"/>
      <c r="N554" s="678"/>
    </row>
    <row r="555" spans="1:14" s="40" customFormat="1" ht="3.95" customHeight="1" outlineLevel="1">
      <c r="A555" s="436"/>
      <c r="B555" s="572"/>
      <c r="C555" s="573"/>
      <c r="D555" s="574"/>
      <c r="E555" s="574"/>
      <c r="F555" s="575"/>
      <c r="G555" s="392"/>
      <c r="H555" s="392"/>
      <c r="I555" s="641"/>
      <c r="J555" s="392"/>
      <c r="K555" s="392"/>
      <c r="L555" s="576"/>
      <c r="M555" s="577"/>
      <c r="N555" s="578"/>
    </row>
    <row r="556" spans="1:14" s="40" customFormat="1" ht="3.95" customHeight="1" outlineLevel="1">
      <c r="A556" s="435"/>
      <c r="B556" s="559"/>
      <c r="C556" s="579"/>
      <c r="D556" s="580"/>
      <c r="E556" s="580"/>
      <c r="F556" s="581"/>
      <c r="G556" s="84"/>
      <c r="H556" s="84"/>
      <c r="I556" s="376"/>
      <c r="J556" s="84"/>
      <c r="K556" s="84"/>
      <c r="L556" s="582"/>
      <c r="M556" s="583"/>
      <c r="N556" s="584"/>
    </row>
    <row r="557" spans="1:14" s="40" customFormat="1" ht="24" customHeight="1" outlineLevel="1">
      <c r="A557" s="680" t="s">
        <v>285</v>
      </c>
      <c r="B557" s="565" t="s">
        <v>29</v>
      </c>
      <c r="C557" s="566" t="s">
        <v>415</v>
      </c>
      <c r="D557" s="676" t="s">
        <v>416</v>
      </c>
      <c r="E557" s="679" t="s">
        <v>277</v>
      </c>
      <c r="F557" s="567" t="s">
        <v>30</v>
      </c>
      <c r="G557" s="83">
        <f>SUM(G558:G561)</f>
        <v>3715149</v>
      </c>
      <c r="H557" s="83">
        <f>SUM(H558:H561)</f>
        <v>3440468</v>
      </c>
      <c r="I557" s="379">
        <f>IF(G557&gt;0,H557/G557*100,"-")</f>
        <v>92.606460736837207</v>
      </c>
      <c r="J557" s="83">
        <f>SUM(J558:J561)</f>
        <v>0</v>
      </c>
      <c r="K557" s="83">
        <f>SUM(K558:K561)</f>
        <v>0</v>
      </c>
      <c r="L557" s="568">
        <f>SUM(L558:L561)</f>
        <v>0</v>
      </c>
      <c r="M557" s="569" t="str">
        <f>IF(K557&gt;0,L557/K557*100,"-")</f>
        <v>-</v>
      </c>
      <c r="N557" s="678" t="s">
        <v>392</v>
      </c>
    </row>
    <row r="558" spans="1:14" s="40" customFormat="1" ht="11.1" customHeight="1" outlineLevel="1">
      <c r="A558" s="680"/>
      <c r="B558" s="565" t="s">
        <v>24</v>
      </c>
      <c r="C558" s="570" t="s">
        <v>258</v>
      </c>
      <c r="D558" s="676"/>
      <c r="E558" s="679"/>
      <c r="F558" s="571" t="s">
        <v>18</v>
      </c>
      <c r="G558" s="80">
        <v>3715149</v>
      </c>
      <c r="H558" s="80">
        <f>ROUNDUP(3440468+L558,0)</f>
        <v>3440468</v>
      </c>
      <c r="I558" s="381">
        <f>IF(G558&gt;0,H558/G558*100,"-")</f>
        <v>92.606460736837207</v>
      </c>
      <c r="J558" s="80">
        <v>0</v>
      </c>
      <c r="K558" s="80">
        <v>0</v>
      </c>
      <c r="L558" s="34">
        <v>0</v>
      </c>
      <c r="M558" s="381" t="str">
        <f>IF(K558&gt;0,L558/K558*100,"-")</f>
        <v>-</v>
      </c>
      <c r="N558" s="678"/>
    </row>
    <row r="559" spans="1:14" s="40" customFormat="1" ht="11.1" customHeight="1" outlineLevel="1">
      <c r="A559" s="680"/>
      <c r="B559" s="565"/>
      <c r="C559" s="570"/>
      <c r="D559" s="676"/>
      <c r="E559" s="679"/>
      <c r="F559" s="571" t="s">
        <v>221</v>
      </c>
      <c r="G559" s="80">
        <v>0</v>
      </c>
      <c r="H559" s="80">
        <f>ROUNDUP(0+L559,0)</f>
        <v>0</v>
      </c>
      <c r="I559" s="381" t="str">
        <f t="shared" ref="I559:I560" si="101">IF(G559&gt;0,H559/G559*100,"-")</f>
        <v>-</v>
      </c>
      <c r="J559" s="80">
        <v>0</v>
      </c>
      <c r="K559" s="80">
        <v>0</v>
      </c>
      <c r="L559" s="363">
        <v>0</v>
      </c>
      <c r="M559" s="381" t="str">
        <f t="shared" ref="M559:M560" si="102">IF(K559&gt;0,L559/K559*100,"-")</f>
        <v>-</v>
      </c>
      <c r="N559" s="678"/>
    </row>
    <row r="560" spans="1:14" s="40" customFormat="1" ht="11.1" customHeight="1" outlineLevel="1">
      <c r="A560" s="680"/>
      <c r="B560" s="565"/>
      <c r="C560" s="570"/>
      <c r="D560" s="676"/>
      <c r="E560" s="679"/>
      <c r="F560" s="571" t="s">
        <v>23</v>
      </c>
      <c r="G560" s="80">
        <v>0</v>
      </c>
      <c r="H560" s="80">
        <f>ROUNDUP(0+L560,0)</f>
        <v>0</v>
      </c>
      <c r="I560" s="381" t="str">
        <f t="shared" si="101"/>
        <v>-</v>
      </c>
      <c r="J560" s="80">
        <v>0</v>
      </c>
      <c r="K560" s="80">
        <v>0</v>
      </c>
      <c r="L560" s="363">
        <v>0</v>
      </c>
      <c r="M560" s="381" t="str">
        <f t="shared" si="102"/>
        <v>-</v>
      </c>
      <c r="N560" s="678"/>
    </row>
    <row r="561" spans="1:14" s="40" customFormat="1" ht="11.1" customHeight="1" outlineLevel="1">
      <c r="A561" s="635"/>
      <c r="B561" s="29"/>
      <c r="C561" s="587"/>
      <c r="D561" s="676"/>
      <c r="E561" s="679"/>
      <c r="F561" s="571"/>
      <c r="G561" s="80"/>
      <c r="H561" s="80"/>
      <c r="I561" s="381"/>
      <c r="J561" s="80"/>
      <c r="K561" s="80"/>
      <c r="L561" s="363"/>
      <c r="M561" s="381"/>
      <c r="N561" s="678"/>
    </row>
    <row r="562" spans="1:14" s="40" customFormat="1" ht="3.95" customHeight="1" outlineLevel="1">
      <c r="A562" s="436"/>
      <c r="B562" s="572"/>
      <c r="C562" s="573"/>
      <c r="D562" s="574"/>
      <c r="E562" s="574"/>
      <c r="F562" s="575"/>
      <c r="G562" s="392"/>
      <c r="H562" s="392"/>
      <c r="I562" s="641"/>
      <c r="J562" s="392"/>
      <c r="K562" s="392"/>
      <c r="L562" s="576"/>
      <c r="M562" s="577"/>
      <c r="N562" s="578"/>
    </row>
    <row r="563" spans="1:14" s="40" customFormat="1" ht="3.95" customHeight="1" outlineLevel="1">
      <c r="A563" s="435"/>
      <c r="B563" s="559"/>
      <c r="C563" s="579"/>
      <c r="D563" s="580"/>
      <c r="E563" s="580"/>
      <c r="F563" s="581"/>
      <c r="G563" s="84"/>
      <c r="H563" s="84"/>
      <c r="I563" s="376"/>
      <c r="J563" s="84"/>
      <c r="K563" s="84"/>
      <c r="L563" s="582"/>
      <c r="M563" s="583"/>
      <c r="N563" s="584"/>
    </row>
    <row r="564" spans="1:14" s="40" customFormat="1" ht="11.1" customHeight="1" outlineLevel="1">
      <c r="A564" s="680" t="s">
        <v>286</v>
      </c>
      <c r="B564" s="565" t="s">
        <v>29</v>
      </c>
      <c r="C564" s="566" t="s">
        <v>280</v>
      </c>
      <c r="D564" s="676" t="s">
        <v>281</v>
      </c>
      <c r="E564" s="679" t="s">
        <v>277</v>
      </c>
      <c r="F564" s="567" t="s">
        <v>30</v>
      </c>
      <c r="G564" s="83">
        <f>SUM(G565:G568)</f>
        <v>7537420</v>
      </c>
      <c r="H564" s="83">
        <f>SUM(H565:H568)</f>
        <v>837781</v>
      </c>
      <c r="I564" s="379">
        <f>IF(G564&gt;0,H564/G564*100,"-")</f>
        <v>11.114957107339116</v>
      </c>
      <c r="J564" s="83">
        <f>SUM(J565:J568)</f>
        <v>629400</v>
      </c>
      <c r="K564" s="83">
        <f>SUM(K565:K568)</f>
        <v>446943</v>
      </c>
      <c r="L564" s="568">
        <f>SUM(L565:L568)</f>
        <v>443303.93</v>
      </c>
      <c r="M564" s="569">
        <f>IF(K564&gt;0,L564/K564*100,"-")</f>
        <v>99.185786554437598</v>
      </c>
      <c r="N564" s="678" t="s">
        <v>417</v>
      </c>
    </row>
    <row r="565" spans="1:14" s="40" customFormat="1" ht="11.1" customHeight="1" outlineLevel="1">
      <c r="A565" s="680"/>
      <c r="B565" s="565" t="s">
        <v>24</v>
      </c>
      <c r="C565" s="570" t="s">
        <v>258</v>
      </c>
      <c r="D565" s="676"/>
      <c r="E565" s="679"/>
      <c r="F565" s="571" t="s">
        <v>18</v>
      </c>
      <c r="G565" s="80">
        <v>7537420</v>
      </c>
      <c r="H565" s="80">
        <f>ROUNDUP(394477+L565,0)</f>
        <v>837781</v>
      </c>
      <c r="I565" s="381">
        <f>IF(G565&gt;0,H565/G565*100,"-")</f>
        <v>11.114957107339116</v>
      </c>
      <c r="J565" s="80">
        <v>629400</v>
      </c>
      <c r="K565" s="80">
        <v>446943</v>
      </c>
      <c r="L565" s="34">
        <v>443303.93</v>
      </c>
      <c r="M565" s="381">
        <f>IF(K565&gt;0,L565/K565*100,"-")</f>
        <v>99.185786554437598</v>
      </c>
      <c r="N565" s="678"/>
    </row>
    <row r="566" spans="1:14" s="40" customFormat="1" ht="11.1" customHeight="1" outlineLevel="1">
      <c r="A566" s="680"/>
      <c r="B566" s="565"/>
      <c r="C566" s="570"/>
      <c r="D566" s="676"/>
      <c r="E566" s="679"/>
      <c r="F566" s="571" t="s">
        <v>221</v>
      </c>
      <c r="G566" s="80">
        <v>0</v>
      </c>
      <c r="H566" s="80">
        <f>ROUNDUP(0+L566,0)</f>
        <v>0</v>
      </c>
      <c r="I566" s="381" t="str">
        <f t="shared" ref="I566:I567" si="103">IF(G566&gt;0,H566/G566*100,"-")</f>
        <v>-</v>
      </c>
      <c r="J566" s="80">
        <v>0</v>
      </c>
      <c r="K566" s="80">
        <v>0</v>
      </c>
      <c r="L566" s="363">
        <v>0</v>
      </c>
      <c r="M566" s="381" t="str">
        <f t="shared" ref="M566:M567" si="104">IF(K566&gt;0,L566/K566*100,"-")</f>
        <v>-</v>
      </c>
      <c r="N566" s="678"/>
    </row>
    <row r="567" spans="1:14" s="40" customFormat="1" ht="11.1" customHeight="1" outlineLevel="1">
      <c r="A567" s="680"/>
      <c r="B567" s="29"/>
      <c r="C567" s="587"/>
      <c r="D567" s="676"/>
      <c r="E567" s="679"/>
      <c r="F567" s="571" t="s">
        <v>23</v>
      </c>
      <c r="G567" s="80">
        <v>0</v>
      </c>
      <c r="H567" s="80">
        <f>ROUNDUP(0+L567,0)</f>
        <v>0</v>
      </c>
      <c r="I567" s="381" t="str">
        <f t="shared" si="103"/>
        <v>-</v>
      </c>
      <c r="J567" s="80">
        <v>0</v>
      </c>
      <c r="K567" s="80">
        <v>0</v>
      </c>
      <c r="L567" s="363">
        <v>0</v>
      </c>
      <c r="M567" s="381" t="str">
        <f t="shared" si="104"/>
        <v>-</v>
      </c>
      <c r="N567" s="678"/>
    </row>
    <row r="568" spans="1:14" s="40" customFormat="1" ht="11.1" customHeight="1" outlineLevel="1">
      <c r="A568" s="635"/>
      <c r="B568" s="29"/>
      <c r="C568" s="587"/>
      <c r="D568" s="676"/>
      <c r="E568" s="679"/>
      <c r="F568" s="571"/>
      <c r="G568" s="80"/>
      <c r="H568" s="80"/>
      <c r="I568" s="381"/>
      <c r="J568" s="80"/>
      <c r="K568" s="80"/>
      <c r="L568" s="363"/>
      <c r="M568" s="381"/>
      <c r="N568" s="678"/>
    </row>
    <row r="569" spans="1:14" s="40" customFormat="1" ht="3.95" customHeight="1" outlineLevel="1">
      <c r="A569" s="436"/>
      <c r="B569" s="572"/>
      <c r="C569" s="573"/>
      <c r="D569" s="574"/>
      <c r="E569" s="574"/>
      <c r="F569" s="575"/>
      <c r="G569" s="392"/>
      <c r="H569" s="392"/>
      <c r="I569" s="641"/>
      <c r="J569" s="392"/>
      <c r="K569" s="392"/>
      <c r="L569" s="576"/>
      <c r="M569" s="577"/>
      <c r="N569" s="578"/>
    </row>
    <row r="570" spans="1:14" s="40" customFormat="1" ht="3.95" customHeight="1" outlineLevel="1">
      <c r="A570" s="435"/>
      <c r="B570" s="559"/>
      <c r="C570" s="579"/>
      <c r="D570" s="580"/>
      <c r="E570" s="580"/>
      <c r="F570" s="581"/>
      <c r="G570" s="84"/>
      <c r="H570" s="84"/>
      <c r="I570" s="376"/>
      <c r="J570" s="84"/>
      <c r="K570" s="84"/>
      <c r="L570" s="582"/>
      <c r="M570" s="583"/>
      <c r="N570" s="584"/>
    </row>
    <row r="571" spans="1:14" s="40" customFormat="1" ht="11.1" customHeight="1" outlineLevel="1">
      <c r="A571" s="675" t="s">
        <v>288</v>
      </c>
      <c r="B571" s="29" t="s">
        <v>29</v>
      </c>
      <c r="C571" s="586" t="s">
        <v>283</v>
      </c>
      <c r="D571" s="676" t="s">
        <v>264</v>
      </c>
      <c r="E571" s="679" t="s">
        <v>277</v>
      </c>
      <c r="F571" s="567" t="s">
        <v>30</v>
      </c>
      <c r="G571" s="83">
        <f>SUM(G572:G575)</f>
        <v>1716023</v>
      </c>
      <c r="H571" s="83">
        <f>SUM(H572:H575)</f>
        <v>1708235</v>
      </c>
      <c r="I571" s="379">
        <f>IF(G571&gt;0,H571/G571*100,"-")</f>
        <v>99.546159929091857</v>
      </c>
      <c r="J571" s="83">
        <f>SUM(J572:J575)</f>
        <v>1608426</v>
      </c>
      <c r="K571" s="83">
        <f>SUM(K572:K575)</f>
        <v>1676656</v>
      </c>
      <c r="L571" s="568">
        <f>SUM(L572:L575)</f>
        <v>1668867.06</v>
      </c>
      <c r="M571" s="569">
        <f>IF(K571&gt;0,L571/K571*100,"-")</f>
        <v>99.535447939231432</v>
      </c>
      <c r="N571" s="678" t="s">
        <v>418</v>
      </c>
    </row>
    <row r="572" spans="1:14" s="40" customFormat="1" ht="11.1" customHeight="1" outlineLevel="1">
      <c r="A572" s="675"/>
      <c r="B572" s="29" t="s">
        <v>24</v>
      </c>
      <c r="C572" s="587" t="s">
        <v>284</v>
      </c>
      <c r="D572" s="676"/>
      <c r="E572" s="679"/>
      <c r="F572" s="571" t="s">
        <v>18</v>
      </c>
      <c r="G572" s="80">
        <v>1716023</v>
      </c>
      <c r="H572" s="80">
        <f>ROUNDUP(39367+L572,0)</f>
        <v>1708235</v>
      </c>
      <c r="I572" s="381">
        <f>IF(G572&gt;0,H572/G572*100,"-")</f>
        <v>99.546159929091857</v>
      </c>
      <c r="J572" s="80">
        <v>1608426</v>
      </c>
      <c r="K572" s="80">
        <v>1676656</v>
      </c>
      <c r="L572" s="34">
        <v>1668867.06</v>
      </c>
      <c r="M572" s="381">
        <f>IF(K572&gt;0,L572/K572*100,"-")</f>
        <v>99.535447939231432</v>
      </c>
      <c r="N572" s="678"/>
    </row>
    <row r="573" spans="1:14" s="40" customFormat="1" ht="11.1" customHeight="1" outlineLevel="1">
      <c r="A573" s="675"/>
      <c r="B573" s="29"/>
      <c r="C573" s="586"/>
      <c r="D573" s="676"/>
      <c r="E573" s="679"/>
      <c r="F573" s="571" t="s">
        <v>221</v>
      </c>
      <c r="G573" s="80">
        <v>0</v>
      </c>
      <c r="H573" s="80">
        <f>ROUNDUP(0+L573,0)</f>
        <v>0</v>
      </c>
      <c r="I573" s="381" t="str">
        <f t="shared" ref="I573:I574" si="105">IF(G573&gt;0,H573/G573*100,"-")</f>
        <v>-</v>
      </c>
      <c r="J573" s="80">
        <v>0</v>
      </c>
      <c r="K573" s="80">
        <v>0</v>
      </c>
      <c r="L573" s="363">
        <v>0</v>
      </c>
      <c r="M573" s="381" t="str">
        <f t="shared" ref="M573:M574" si="106">IF(K573&gt;0,L573/K573*100,"-")</f>
        <v>-</v>
      </c>
      <c r="N573" s="678"/>
    </row>
    <row r="574" spans="1:14" s="40" customFormat="1" ht="11.1" customHeight="1" outlineLevel="1">
      <c r="A574" s="675"/>
      <c r="B574" s="29"/>
      <c r="C574" s="587"/>
      <c r="D574" s="676"/>
      <c r="E574" s="679"/>
      <c r="F574" s="571" t="s">
        <v>23</v>
      </c>
      <c r="G574" s="80">
        <v>0</v>
      </c>
      <c r="H574" s="80">
        <f>ROUNDUP(0+L574,0)</f>
        <v>0</v>
      </c>
      <c r="I574" s="381" t="str">
        <f t="shared" si="105"/>
        <v>-</v>
      </c>
      <c r="J574" s="80">
        <v>0</v>
      </c>
      <c r="K574" s="80">
        <v>0</v>
      </c>
      <c r="L574" s="363">
        <v>0</v>
      </c>
      <c r="M574" s="381" t="str">
        <f t="shared" si="106"/>
        <v>-</v>
      </c>
      <c r="N574" s="678"/>
    </row>
    <row r="575" spans="1:14" s="40" customFormat="1" ht="11.1" customHeight="1" outlineLevel="1">
      <c r="A575" s="635"/>
      <c r="B575" s="29"/>
      <c r="C575" s="587"/>
      <c r="D575" s="676"/>
      <c r="E575" s="679"/>
      <c r="F575" s="571"/>
      <c r="G575" s="80"/>
      <c r="H575" s="80"/>
      <c r="I575" s="381"/>
      <c r="J575" s="80"/>
      <c r="K575" s="80"/>
      <c r="L575" s="363"/>
      <c r="M575" s="381"/>
      <c r="N575" s="678"/>
    </row>
    <row r="576" spans="1:14" s="40" customFormat="1" ht="3.95" customHeight="1" outlineLevel="1">
      <c r="A576" s="436"/>
      <c r="B576" s="572"/>
      <c r="C576" s="573"/>
      <c r="D576" s="574"/>
      <c r="E576" s="574"/>
      <c r="F576" s="575"/>
      <c r="G576" s="392"/>
      <c r="H576" s="392"/>
      <c r="I576" s="641"/>
      <c r="J576" s="392"/>
      <c r="K576" s="392"/>
      <c r="L576" s="576"/>
      <c r="M576" s="577"/>
      <c r="N576" s="578"/>
    </row>
    <row r="577" spans="1:14" s="40" customFormat="1" ht="3.95" customHeight="1" outlineLevel="1">
      <c r="A577" s="435"/>
      <c r="B577" s="559"/>
      <c r="C577" s="579"/>
      <c r="D577" s="580"/>
      <c r="E577" s="580"/>
      <c r="F577" s="581"/>
      <c r="G577" s="84"/>
      <c r="H577" s="84"/>
      <c r="I577" s="376"/>
      <c r="J577" s="84"/>
      <c r="K577" s="84"/>
      <c r="L577" s="582"/>
      <c r="M577" s="583"/>
      <c r="N577" s="584"/>
    </row>
    <row r="578" spans="1:14" s="40" customFormat="1" ht="11.1" customHeight="1" outlineLevel="1">
      <c r="A578" s="675" t="s">
        <v>289</v>
      </c>
      <c r="B578" s="29" t="s">
        <v>29</v>
      </c>
      <c r="C578" s="586" t="s">
        <v>419</v>
      </c>
      <c r="D578" s="676" t="s">
        <v>274</v>
      </c>
      <c r="E578" s="679" t="s">
        <v>277</v>
      </c>
      <c r="F578" s="567" t="s">
        <v>30</v>
      </c>
      <c r="G578" s="83">
        <f>SUM(G579:G582)</f>
        <v>193903</v>
      </c>
      <c r="H578" s="83">
        <f>SUM(H579:H582)</f>
        <v>24186</v>
      </c>
      <c r="I578" s="379">
        <f>IF(G578&gt;0,H578/G578*100,"-")</f>
        <v>12.473246932744724</v>
      </c>
      <c r="J578" s="83">
        <f>SUM(J579:J582)</f>
        <v>0</v>
      </c>
      <c r="K578" s="83">
        <f>SUM(K579:K582)</f>
        <v>28097</v>
      </c>
      <c r="L578" s="568">
        <f>SUM(L579:L582)</f>
        <v>24185.62</v>
      </c>
      <c r="M578" s="569">
        <f>IF(K578&gt;0,L578/K578*100,"-")</f>
        <v>86.079011994163082</v>
      </c>
      <c r="N578" s="678" t="s">
        <v>420</v>
      </c>
    </row>
    <row r="579" spans="1:14" s="40" customFormat="1" ht="11.1" customHeight="1" outlineLevel="1">
      <c r="A579" s="675"/>
      <c r="B579" s="29" t="s">
        <v>24</v>
      </c>
      <c r="C579" s="587" t="s">
        <v>258</v>
      </c>
      <c r="D579" s="676"/>
      <c r="E579" s="679"/>
      <c r="F579" s="571" t="s">
        <v>18</v>
      </c>
      <c r="G579" s="80">
        <v>193903</v>
      </c>
      <c r="H579" s="80">
        <f>ROUNDUP(0+L579,0)</f>
        <v>24186</v>
      </c>
      <c r="I579" s="381">
        <f>IF(G579&gt;0,H579/G579*100,"-")</f>
        <v>12.473246932744724</v>
      </c>
      <c r="J579" s="80">
        <v>0</v>
      </c>
      <c r="K579" s="80">
        <v>28097</v>
      </c>
      <c r="L579" s="34">
        <v>24185.62</v>
      </c>
      <c r="M579" s="381">
        <f>IF(K579&gt;0,L579/K579*100,"-")</f>
        <v>86.079011994163082</v>
      </c>
      <c r="N579" s="678"/>
    </row>
    <row r="580" spans="1:14" s="40" customFormat="1" ht="11.1" customHeight="1" outlineLevel="1">
      <c r="A580" s="675"/>
      <c r="B580" s="29"/>
      <c r="C580" s="587"/>
      <c r="D580" s="676"/>
      <c r="E580" s="679"/>
      <c r="F580" s="571" t="s">
        <v>221</v>
      </c>
      <c r="G580" s="80">
        <v>0</v>
      </c>
      <c r="H580" s="80">
        <f>ROUNDUP(0+L580,0)</f>
        <v>0</v>
      </c>
      <c r="I580" s="381" t="str">
        <f t="shared" ref="I580:I581" si="107">IF(G580&gt;0,H580/G580*100,"-")</f>
        <v>-</v>
      </c>
      <c r="J580" s="80">
        <v>0</v>
      </c>
      <c r="K580" s="80">
        <v>0</v>
      </c>
      <c r="L580" s="363">
        <v>0</v>
      </c>
      <c r="M580" s="381" t="str">
        <f t="shared" ref="M580:M581" si="108">IF(K580&gt;0,L580/K580*100,"-")</f>
        <v>-</v>
      </c>
      <c r="N580" s="678"/>
    </row>
    <row r="581" spans="1:14" s="40" customFormat="1" ht="11.1" customHeight="1" outlineLevel="1">
      <c r="A581" s="675"/>
      <c r="B581" s="29"/>
      <c r="C581" s="587"/>
      <c r="D581" s="676"/>
      <c r="E581" s="679"/>
      <c r="F581" s="571" t="s">
        <v>23</v>
      </c>
      <c r="G581" s="80">
        <v>0</v>
      </c>
      <c r="H581" s="80">
        <f>ROUNDUP(0+L581,0)</f>
        <v>0</v>
      </c>
      <c r="I581" s="381" t="str">
        <f t="shared" si="107"/>
        <v>-</v>
      </c>
      <c r="J581" s="80">
        <v>0</v>
      </c>
      <c r="K581" s="80">
        <v>0</v>
      </c>
      <c r="L581" s="363">
        <v>0</v>
      </c>
      <c r="M581" s="381" t="str">
        <f t="shared" si="108"/>
        <v>-</v>
      </c>
      <c r="N581" s="678"/>
    </row>
    <row r="582" spans="1:14" s="40" customFormat="1" ht="11.1" customHeight="1" outlineLevel="1">
      <c r="A582" s="635"/>
      <c r="B582" s="29"/>
      <c r="C582" s="587"/>
      <c r="D582" s="676"/>
      <c r="E582" s="679"/>
      <c r="F582" s="571"/>
      <c r="G582" s="80"/>
      <c r="H582" s="80"/>
      <c r="I582" s="381"/>
      <c r="J582" s="80"/>
      <c r="K582" s="80"/>
      <c r="L582" s="363"/>
      <c r="M582" s="381"/>
      <c r="N582" s="678"/>
    </row>
    <row r="583" spans="1:14" s="40" customFormat="1" ht="3.95" customHeight="1" outlineLevel="1">
      <c r="A583" s="436"/>
      <c r="B583" s="572"/>
      <c r="C583" s="573"/>
      <c r="D583" s="574"/>
      <c r="E583" s="574"/>
      <c r="F583" s="575"/>
      <c r="G583" s="392"/>
      <c r="H583" s="392"/>
      <c r="I583" s="641"/>
      <c r="J583" s="392"/>
      <c r="K583" s="392"/>
      <c r="L583" s="576"/>
      <c r="M583" s="577"/>
      <c r="N583" s="578"/>
    </row>
    <row r="584" spans="1:14" s="40" customFormat="1" ht="3.95" customHeight="1" outlineLevel="1">
      <c r="A584" s="435"/>
      <c r="B584" s="559"/>
      <c r="C584" s="579"/>
      <c r="D584" s="580"/>
      <c r="E584" s="580"/>
      <c r="F584" s="581"/>
      <c r="G584" s="84"/>
      <c r="H584" s="84"/>
      <c r="I584" s="376"/>
      <c r="J584" s="84"/>
      <c r="K584" s="84"/>
      <c r="L584" s="582"/>
      <c r="M584" s="583"/>
      <c r="N584" s="584"/>
    </row>
    <row r="585" spans="1:14" s="40" customFormat="1" ht="11.1" customHeight="1" outlineLevel="1">
      <c r="A585" s="675" t="s">
        <v>291</v>
      </c>
      <c r="B585" s="29" t="s">
        <v>29</v>
      </c>
      <c r="C585" s="655" t="s">
        <v>520</v>
      </c>
      <c r="D585" s="676" t="s">
        <v>274</v>
      </c>
      <c r="E585" s="679" t="s">
        <v>277</v>
      </c>
      <c r="F585" s="567" t="s">
        <v>30</v>
      </c>
      <c r="G585" s="83">
        <f>SUM(G586:G589)</f>
        <v>420000</v>
      </c>
      <c r="H585" s="83">
        <f>SUM(H586:H589)</f>
        <v>217266</v>
      </c>
      <c r="I585" s="379">
        <f>IF(G585&gt;0,H585/G585*100,"-")</f>
        <v>51.73</v>
      </c>
      <c r="J585" s="83">
        <f>SUM(J586:J589)</f>
        <v>0</v>
      </c>
      <c r="K585" s="83">
        <f>SUM(K586:K589)</f>
        <v>220000</v>
      </c>
      <c r="L585" s="568">
        <f>SUM(L586:L589)</f>
        <v>217265.32</v>
      </c>
      <c r="M585" s="569">
        <f>IF(K585&gt;0,L585/K585*100,"-")</f>
        <v>98.756963636363636</v>
      </c>
      <c r="N585" s="678" t="s">
        <v>421</v>
      </c>
    </row>
    <row r="586" spans="1:14" s="40" customFormat="1" ht="24" customHeight="1" outlineLevel="1">
      <c r="A586" s="675"/>
      <c r="B586" s="29"/>
      <c r="C586" s="655"/>
      <c r="D586" s="676"/>
      <c r="E586" s="679"/>
      <c r="F586" s="571" t="s">
        <v>18</v>
      </c>
      <c r="G586" s="80">
        <v>420000</v>
      </c>
      <c r="H586" s="80">
        <f>ROUNDUP(0+L586,0)</f>
        <v>217266</v>
      </c>
      <c r="I586" s="381">
        <f>IF(G586&gt;0,H586/G586*100,"-")</f>
        <v>51.73</v>
      </c>
      <c r="J586" s="80">
        <v>0</v>
      </c>
      <c r="K586" s="80">
        <v>220000</v>
      </c>
      <c r="L586" s="34">
        <v>217265.32</v>
      </c>
      <c r="M586" s="381">
        <f>IF(K586&gt;0,L586/K586*100,"-")</f>
        <v>98.756963636363636</v>
      </c>
      <c r="N586" s="678"/>
    </row>
    <row r="587" spans="1:14" s="40" customFormat="1" ht="11.1" customHeight="1" outlineLevel="1">
      <c r="A587" s="675"/>
      <c r="B587" s="29" t="s">
        <v>24</v>
      </c>
      <c r="C587" s="587" t="s">
        <v>422</v>
      </c>
      <c r="D587" s="676"/>
      <c r="E587" s="679"/>
      <c r="F587" s="571" t="s">
        <v>221</v>
      </c>
      <c r="G587" s="80">
        <v>0</v>
      </c>
      <c r="H587" s="80">
        <f>ROUNDUP(0+L587,0)</f>
        <v>0</v>
      </c>
      <c r="I587" s="381" t="str">
        <f t="shared" ref="I587:I588" si="109">IF(G587&gt;0,H587/G587*100,"-")</f>
        <v>-</v>
      </c>
      <c r="J587" s="80">
        <v>0</v>
      </c>
      <c r="K587" s="80">
        <v>0</v>
      </c>
      <c r="L587" s="363">
        <v>0</v>
      </c>
      <c r="M587" s="381" t="str">
        <f t="shared" ref="M587:M588" si="110">IF(K587&gt;0,L587/K587*100,"-")</f>
        <v>-</v>
      </c>
      <c r="N587" s="678"/>
    </row>
    <row r="588" spans="1:14" s="40" customFormat="1" ht="11.1" customHeight="1" outlineLevel="1">
      <c r="A588" s="675"/>
      <c r="B588" s="29"/>
      <c r="C588" s="587"/>
      <c r="D588" s="676"/>
      <c r="E588" s="679"/>
      <c r="F588" s="571" t="s">
        <v>23</v>
      </c>
      <c r="G588" s="80">
        <v>0</v>
      </c>
      <c r="H588" s="80">
        <f>ROUNDUP(0+L588,0)</f>
        <v>0</v>
      </c>
      <c r="I588" s="381" t="str">
        <f t="shared" si="109"/>
        <v>-</v>
      </c>
      <c r="J588" s="80">
        <v>0</v>
      </c>
      <c r="K588" s="80">
        <v>0</v>
      </c>
      <c r="L588" s="363">
        <v>0</v>
      </c>
      <c r="M588" s="381" t="str">
        <f t="shared" si="110"/>
        <v>-</v>
      </c>
      <c r="N588" s="678"/>
    </row>
    <row r="589" spans="1:14" s="40" customFormat="1" ht="11.1" customHeight="1" outlineLevel="1">
      <c r="A589" s="635"/>
      <c r="B589" s="29"/>
      <c r="C589" s="587"/>
      <c r="D589" s="676"/>
      <c r="E589" s="679"/>
      <c r="F589" s="571"/>
      <c r="G589" s="80"/>
      <c r="H589" s="80"/>
      <c r="I589" s="381"/>
      <c r="J589" s="80"/>
      <c r="K589" s="80"/>
      <c r="L589" s="363"/>
      <c r="M589" s="381"/>
      <c r="N589" s="678"/>
    </row>
    <row r="590" spans="1:14" s="40" customFormat="1" ht="3.95" customHeight="1" outlineLevel="1">
      <c r="A590" s="436"/>
      <c r="B590" s="572"/>
      <c r="C590" s="573"/>
      <c r="D590" s="574"/>
      <c r="E590" s="574"/>
      <c r="F590" s="575"/>
      <c r="G590" s="392"/>
      <c r="H590" s="392"/>
      <c r="I590" s="641"/>
      <c r="J590" s="392"/>
      <c r="K590" s="392"/>
      <c r="L590" s="576"/>
      <c r="M590" s="577"/>
      <c r="N590" s="578"/>
    </row>
    <row r="591" spans="1:14" s="40" customFormat="1" ht="3.95" customHeight="1" outlineLevel="1">
      <c r="A591" s="435"/>
      <c r="B591" s="559"/>
      <c r="C591" s="579"/>
      <c r="D591" s="580"/>
      <c r="E591" s="580"/>
      <c r="F591" s="581"/>
      <c r="G591" s="84"/>
      <c r="H591" s="84"/>
      <c r="I591" s="376"/>
      <c r="J591" s="84"/>
      <c r="K591" s="84"/>
      <c r="L591" s="582"/>
      <c r="M591" s="583"/>
      <c r="N591" s="584"/>
    </row>
    <row r="592" spans="1:14" s="40" customFormat="1" ht="11.1" customHeight="1" outlineLevel="1">
      <c r="A592" s="675" t="s">
        <v>292</v>
      </c>
      <c r="B592" s="29" t="s">
        <v>29</v>
      </c>
      <c r="C592" s="655" t="s">
        <v>521</v>
      </c>
      <c r="D592" s="676" t="s">
        <v>281</v>
      </c>
      <c r="E592" s="677" t="s">
        <v>277</v>
      </c>
      <c r="F592" s="588" t="s">
        <v>30</v>
      </c>
      <c r="G592" s="83">
        <f>SUM(G593:G596)</f>
        <v>1715196</v>
      </c>
      <c r="H592" s="83">
        <f>SUM(H593:H596)</f>
        <v>1257588</v>
      </c>
      <c r="I592" s="379">
        <f>IF(G592&gt;0,H592/G592*100,"-")</f>
        <v>73.320366885183958</v>
      </c>
      <c r="J592" s="83">
        <f>SUM(J593:J596)</f>
        <v>0</v>
      </c>
      <c r="K592" s="83">
        <f>SUM(K593:K596)</f>
        <v>9988</v>
      </c>
      <c r="L592" s="568">
        <f>SUM(L593:L596)</f>
        <v>9379.23</v>
      </c>
      <c r="M592" s="569">
        <f>IF(K592&gt;0,L592/K592*100,"-")</f>
        <v>93.904985983179813</v>
      </c>
      <c r="N592" s="678" t="s">
        <v>423</v>
      </c>
    </row>
    <row r="593" spans="1:14" s="40" customFormat="1" ht="29.25" customHeight="1" outlineLevel="1">
      <c r="A593" s="675"/>
      <c r="B593" s="29"/>
      <c r="C593" s="655"/>
      <c r="D593" s="676"/>
      <c r="E593" s="677"/>
      <c r="F593" s="589" t="s">
        <v>18</v>
      </c>
      <c r="G593" s="80">
        <v>1715196</v>
      </c>
      <c r="H593" s="80">
        <f>ROUNDUP(1248208+L593,0)</f>
        <v>1257588</v>
      </c>
      <c r="I593" s="381">
        <f>IF(G593&gt;0,H593/G593*100,"-")</f>
        <v>73.320366885183958</v>
      </c>
      <c r="J593" s="80">
        <v>0</v>
      </c>
      <c r="K593" s="80">
        <v>9988</v>
      </c>
      <c r="L593" s="34">
        <v>9379.23</v>
      </c>
      <c r="M593" s="381">
        <f>IF(K593&gt;0,L593/K593*100,"-")</f>
        <v>93.904985983179813</v>
      </c>
      <c r="N593" s="678"/>
    </row>
    <row r="594" spans="1:14" s="40" customFormat="1" ht="11.1" customHeight="1" outlineLevel="1">
      <c r="A594" s="675"/>
      <c r="B594" s="29" t="s">
        <v>24</v>
      </c>
      <c r="C594" s="587" t="s">
        <v>258</v>
      </c>
      <c r="D594" s="676"/>
      <c r="E594" s="677"/>
      <c r="F594" s="589" t="s">
        <v>221</v>
      </c>
      <c r="G594" s="80">
        <v>0</v>
      </c>
      <c r="H594" s="80">
        <f>ROUNDUP(0+L594,0)</f>
        <v>0</v>
      </c>
      <c r="I594" s="381" t="str">
        <f t="shared" ref="I594:I595" si="111">IF(G594&gt;0,H594/G594*100,"-")</f>
        <v>-</v>
      </c>
      <c r="J594" s="80">
        <v>0</v>
      </c>
      <c r="K594" s="80">
        <v>0</v>
      </c>
      <c r="L594" s="363">
        <v>0</v>
      </c>
      <c r="M594" s="381" t="str">
        <f t="shared" ref="M594:M595" si="112">IF(K594&gt;0,L594/K594*100,"-")</f>
        <v>-</v>
      </c>
      <c r="N594" s="678"/>
    </row>
    <row r="595" spans="1:14" s="40" customFormat="1" ht="11.1" customHeight="1" outlineLevel="1">
      <c r="A595" s="675"/>
      <c r="B595" s="29"/>
      <c r="C595" s="587"/>
      <c r="D595" s="676"/>
      <c r="E595" s="677"/>
      <c r="F595" s="589" t="s">
        <v>23</v>
      </c>
      <c r="G595" s="80">
        <v>0</v>
      </c>
      <c r="H595" s="80">
        <f>ROUNDUP(0+L595,0)</f>
        <v>0</v>
      </c>
      <c r="I595" s="381" t="str">
        <f t="shared" si="111"/>
        <v>-</v>
      </c>
      <c r="J595" s="80">
        <v>0</v>
      </c>
      <c r="K595" s="80">
        <v>0</v>
      </c>
      <c r="L595" s="363">
        <v>0</v>
      </c>
      <c r="M595" s="381" t="str">
        <f t="shared" si="112"/>
        <v>-</v>
      </c>
      <c r="N595" s="678"/>
    </row>
    <row r="596" spans="1:14" s="40" customFormat="1" ht="11.1" customHeight="1" outlineLevel="1">
      <c r="A596" s="635"/>
      <c r="B596" s="29"/>
      <c r="C596" s="587"/>
      <c r="D596" s="676"/>
      <c r="E596" s="677"/>
      <c r="F596" s="590"/>
      <c r="G596" s="80"/>
      <c r="H596" s="80"/>
      <c r="I596" s="381"/>
      <c r="J596" s="80"/>
      <c r="K596" s="80"/>
      <c r="L596" s="363"/>
      <c r="M596" s="381"/>
      <c r="N596" s="678"/>
    </row>
    <row r="597" spans="1:14" s="40" customFormat="1" ht="3.95" customHeight="1" outlineLevel="1">
      <c r="A597" s="436"/>
      <c r="B597" s="572"/>
      <c r="C597" s="573"/>
      <c r="D597" s="574"/>
      <c r="E597" s="574"/>
      <c r="F597" s="575"/>
      <c r="G597" s="392"/>
      <c r="H597" s="392"/>
      <c r="I597" s="641"/>
      <c r="J597" s="392"/>
      <c r="K597" s="392"/>
      <c r="L597" s="576"/>
      <c r="M597" s="577"/>
      <c r="N597" s="578"/>
    </row>
    <row r="598" spans="1:14" s="40" customFormat="1" ht="3.95" customHeight="1" outlineLevel="1">
      <c r="A598" s="435"/>
      <c r="B598" s="559"/>
      <c r="C598" s="579"/>
      <c r="D598" s="580"/>
      <c r="E598" s="580"/>
      <c r="F598" s="581"/>
      <c r="G598" s="84"/>
      <c r="H598" s="84"/>
      <c r="I598" s="376"/>
      <c r="J598" s="84"/>
      <c r="K598" s="84"/>
      <c r="L598" s="582"/>
      <c r="M598" s="583"/>
      <c r="N598" s="584"/>
    </row>
    <row r="599" spans="1:14" s="40" customFormat="1" ht="11.1" customHeight="1" outlineLevel="1">
      <c r="A599" s="680" t="s">
        <v>295</v>
      </c>
      <c r="B599" s="565" t="s">
        <v>29</v>
      </c>
      <c r="C599" s="683" t="s">
        <v>522</v>
      </c>
      <c r="D599" s="676" t="s">
        <v>287</v>
      </c>
      <c r="E599" s="677" t="s">
        <v>277</v>
      </c>
      <c r="F599" s="588" t="s">
        <v>30</v>
      </c>
      <c r="G599" s="83">
        <f>SUM(G600:G603)</f>
        <v>6483784</v>
      </c>
      <c r="H599" s="83">
        <f>SUM(H600:H603)</f>
        <v>6479879</v>
      </c>
      <c r="I599" s="379">
        <f>IF(G599&gt;0,H599/G599*100,"-")</f>
        <v>99.939772824017581</v>
      </c>
      <c r="J599" s="83">
        <f>SUM(J600:J603)</f>
        <v>6788751</v>
      </c>
      <c r="K599" s="83">
        <f>SUM(K600:K603)</f>
        <v>5955349</v>
      </c>
      <c r="L599" s="568">
        <f>SUM(L600:L603)</f>
        <v>5951443.6699999999</v>
      </c>
      <c r="M599" s="569">
        <f>IF(K599&gt;0,L599/K599*100,"-")</f>
        <v>99.934423154713514</v>
      </c>
      <c r="N599" s="678" t="s">
        <v>424</v>
      </c>
    </row>
    <row r="600" spans="1:14" s="40" customFormat="1" ht="16.5" customHeight="1" outlineLevel="1">
      <c r="A600" s="680"/>
      <c r="B600" s="29"/>
      <c r="C600" s="683"/>
      <c r="D600" s="676"/>
      <c r="E600" s="677"/>
      <c r="F600" s="589" t="s">
        <v>18</v>
      </c>
      <c r="G600" s="80">
        <v>4531804</v>
      </c>
      <c r="H600" s="80">
        <f>ROUNDUP(97934+L600,0)</f>
        <v>4527899</v>
      </c>
      <c r="I600" s="381">
        <f>IF(G600&gt;0,H600/G600*100,"-")</f>
        <v>99.913831224827902</v>
      </c>
      <c r="J600" s="80">
        <v>5398020</v>
      </c>
      <c r="K600" s="80">
        <v>4433870</v>
      </c>
      <c r="L600" s="34">
        <v>4429964.67</v>
      </c>
      <c r="M600" s="381">
        <f>IF(K600&gt;0,L600/K600*100,"-")</f>
        <v>99.911920511877881</v>
      </c>
      <c r="N600" s="678"/>
    </row>
    <row r="601" spans="1:14" s="40" customFormat="1" ht="11.1" customHeight="1" outlineLevel="1">
      <c r="A601" s="680"/>
      <c r="B601" s="565" t="s">
        <v>24</v>
      </c>
      <c r="C601" s="570" t="s">
        <v>258</v>
      </c>
      <c r="D601" s="676"/>
      <c r="E601" s="677"/>
      <c r="F601" s="589" t="s">
        <v>221</v>
      </c>
      <c r="G601" s="80">
        <v>0</v>
      </c>
      <c r="H601" s="80">
        <f>ROUNDUP(0+L601,0)</f>
        <v>0</v>
      </c>
      <c r="I601" s="381" t="str">
        <f t="shared" ref="I601:I602" si="113">IF(G601&gt;0,H601/G601*100,"-")</f>
        <v>-</v>
      </c>
      <c r="J601" s="80">
        <v>0</v>
      </c>
      <c r="K601" s="80">
        <v>0</v>
      </c>
      <c r="L601" s="363">
        <v>0</v>
      </c>
      <c r="M601" s="381" t="str">
        <f t="shared" ref="M601:M602" si="114">IF(K601&gt;0,L601/K601*100,"-")</f>
        <v>-</v>
      </c>
      <c r="N601" s="678"/>
    </row>
    <row r="602" spans="1:14" s="40" customFormat="1" ht="11.1" customHeight="1" outlineLevel="1">
      <c r="A602" s="680"/>
      <c r="B602" s="29"/>
      <c r="C602" s="587"/>
      <c r="D602" s="676"/>
      <c r="E602" s="677"/>
      <c r="F602" s="589" t="s">
        <v>23</v>
      </c>
      <c r="G602" s="80">
        <v>1951980</v>
      </c>
      <c r="H602" s="80">
        <f>ROUNDUP(430501+L602,0)</f>
        <v>1951980</v>
      </c>
      <c r="I602" s="381">
        <f t="shared" si="113"/>
        <v>100</v>
      </c>
      <c r="J602" s="80">
        <v>1390731</v>
      </c>
      <c r="K602" s="80">
        <v>1521479</v>
      </c>
      <c r="L602" s="363">
        <v>1521479</v>
      </c>
      <c r="M602" s="381">
        <f t="shared" si="114"/>
        <v>100</v>
      </c>
      <c r="N602" s="678"/>
    </row>
    <row r="603" spans="1:14" s="40" customFormat="1" ht="17.25" customHeight="1" outlineLevel="1">
      <c r="A603" s="635"/>
      <c r="B603" s="29"/>
      <c r="C603" s="587"/>
      <c r="D603" s="676"/>
      <c r="E603" s="677"/>
      <c r="F603" s="590"/>
      <c r="G603" s="80"/>
      <c r="H603" s="80"/>
      <c r="I603" s="381"/>
      <c r="J603" s="80"/>
      <c r="K603" s="80"/>
      <c r="L603" s="363"/>
      <c r="M603" s="381"/>
      <c r="N603" s="678"/>
    </row>
    <row r="604" spans="1:14" s="40" customFormat="1" ht="3.95" customHeight="1" outlineLevel="1">
      <c r="A604" s="436"/>
      <c r="B604" s="572"/>
      <c r="C604" s="573"/>
      <c r="D604" s="574"/>
      <c r="E604" s="574"/>
      <c r="F604" s="575"/>
      <c r="G604" s="392"/>
      <c r="H604" s="392"/>
      <c r="I604" s="641"/>
      <c r="J604" s="392"/>
      <c r="K604" s="392"/>
      <c r="L604" s="576"/>
      <c r="M604" s="577"/>
      <c r="N604" s="578"/>
    </row>
    <row r="605" spans="1:14" s="40" customFormat="1" ht="3.95" customHeight="1" outlineLevel="1">
      <c r="A605" s="435"/>
      <c r="B605" s="559"/>
      <c r="C605" s="579"/>
      <c r="D605" s="580"/>
      <c r="E605" s="580"/>
      <c r="F605" s="581"/>
      <c r="G605" s="84"/>
      <c r="H605" s="84"/>
      <c r="I605" s="376"/>
      <c r="J605" s="84"/>
      <c r="K605" s="84"/>
      <c r="L605" s="582"/>
      <c r="M605" s="583"/>
      <c r="N605" s="584"/>
    </row>
    <row r="606" spans="1:14" s="40" customFormat="1" ht="11.1" customHeight="1" outlineLevel="1">
      <c r="A606" s="680" t="s">
        <v>297</v>
      </c>
      <c r="B606" s="565" t="s">
        <v>29</v>
      </c>
      <c r="C606" s="684" t="s">
        <v>523</v>
      </c>
      <c r="D606" s="681" t="s">
        <v>245</v>
      </c>
      <c r="E606" s="681" t="s">
        <v>277</v>
      </c>
      <c r="F606" s="567" t="s">
        <v>30</v>
      </c>
      <c r="G606" s="83">
        <f>SUM(G607:G610)</f>
        <v>5714574</v>
      </c>
      <c r="H606" s="83">
        <f>SUM(H607:H610)</f>
        <v>5500359</v>
      </c>
      <c r="I606" s="379">
        <f>IF(G606&gt;0,H606/G606*100,"-")</f>
        <v>96.251426615527251</v>
      </c>
      <c r="J606" s="83">
        <f>SUM(J607:J610)</f>
        <v>0</v>
      </c>
      <c r="K606" s="83">
        <f>SUM(K607:K610)</f>
        <v>0</v>
      </c>
      <c r="L606" s="568">
        <f>SUM(L607:L610)</f>
        <v>0</v>
      </c>
      <c r="M606" s="569" t="str">
        <f>IF(K606&gt;0,L606/K606*100,"-")</f>
        <v>-</v>
      </c>
      <c r="N606" s="682" t="s">
        <v>425</v>
      </c>
    </row>
    <row r="607" spans="1:14" s="40" customFormat="1" ht="11.1" customHeight="1" outlineLevel="1">
      <c r="A607" s="680"/>
      <c r="B607" s="29"/>
      <c r="C607" s="684"/>
      <c r="D607" s="681"/>
      <c r="E607" s="681"/>
      <c r="F607" s="571" t="s">
        <v>18</v>
      </c>
      <c r="G607" s="80">
        <v>112214</v>
      </c>
      <c r="H607" s="80">
        <f>ROUNDUP(112214+L607,0)</f>
        <v>112214</v>
      </c>
      <c r="I607" s="381">
        <f>IF(G607&gt;0,H607/G607*100,"-")</f>
        <v>100</v>
      </c>
      <c r="J607" s="80">
        <v>0</v>
      </c>
      <c r="K607" s="80">
        <v>0</v>
      </c>
      <c r="L607" s="34">
        <v>0</v>
      </c>
      <c r="M607" s="381" t="str">
        <f>IF(K607&gt;0,L607/K607*100,"-")</f>
        <v>-</v>
      </c>
      <c r="N607" s="682"/>
    </row>
    <row r="608" spans="1:14" s="40" customFormat="1" ht="21" customHeight="1" outlineLevel="1">
      <c r="A608" s="680"/>
      <c r="B608" s="29"/>
      <c r="C608" s="684"/>
      <c r="D608" s="681"/>
      <c r="E608" s="681"/>
      <c r="F608" s="571" t="s">
        <v>221</v>
      </c>
      <c r="G608" s="80">
        <v>0</v>
      </c>
      <c r="H608" s="80">
        <f>ROUNDUP(0+L608,0)</f>
        <v>0</v>
      </c>
      <c r="I608" s="381" t="str">
        <f t="shared" ref="I608:I609" si="115">IF(G608&gt;0,H608/G608*100,"-")</f>
        <v>-</v>
      </c>
      <c r="J608" s="80">
        <v>0</v>
      </c>
      <c r="K608" s="80">
        <v>0</v>
      </c>
      <c r="L608" s="363">
        <v>0</v>
      </c>
      <c r="M608" s="381" t="str">
        <f t="shared" ref="M608:M609" si="116">IF(K608&gt;0,L608/K608*100,"-")</f>
        <v>-</v>
      </c>
      <c r="N608" s="682"/>
    </row>
    <row r="609" spans="1:14" s="40" customFormat="1" ht="11.1" customHeight="1" outlineLevel="1">
      <c r="A609" s="680"/>
      <c r="B609" s="29" t="s">
        <v>24</v>
      </c>
      <c r="C609" s="587" t="s">
        <v>284</v>
      </c>
      <c r="D609" s="681"/>
      <c r="E609" s="681"/>
      <c r="F609" s="571" t="s">
        <v>23</v>
      </c>
      <c r="G609" s="80">
        <v>5602360</v>
      </c>
      <c r="H609" s="80">
        <f>ROUNDUP(5388145+L609,0)</f>
        <v>5388145</v>
      </c>
      <c r="I609" s="381">
        <f t="shared" si="115"/>
        <v>96.176343540936315</v>
      </c>
      <c r="J609" s="80">
        <v>0</v>
      </c>
      <c r="K609" s="80">
        <v>0</v>
      </c>
      <c r="L609" s="363">
        <v>0</v>
      </c>
      <c r="M609" s="381" t="str">
        <f t="shared" si="116"/>
        <v>-</v>
      </c>
      <c r="N609" s="682"/>
    </row>
    <row r="610" spans="1:14" s="40" customFormat="1" ht="11.1" customHeight="1" outlineLevel="1">
      <c r="A610" s="680"/>
      <c r="B610" s="29"/>
      <c r="C610" s="585"/>
      <c r="D610" s="681"/>
      <c r="E610" s="681"/>
      <c r="F610" s="571"/>
      <c r="G610" s="80"/>
      <c r="H610" s="80"/>
      <c r="I610" s="381"/>
      <c r="J610" s="80"/>
      <c r="K610" s="80"/>
      <c r="L610" s="363"/>
      <c r="M610" s="381"/>
      <c r="N610" s="682"/>
    </row>
    <row r="611" spans="1:14" s="40" customFormat="1" ht="3.95" customHeight="1" outlineLevel="1">
      <c r="A611" s="436"/>
      <c r="B611" s="572"/>
      <c r="C611" s="573"/>
      <c r="D611" s="574"/>
      <c r="E611" s="574"/>
      <c r="F611" s="575"/>
      <c r="G611" s="392"/>
      <c r="H611" s="392"/>
      <c r="I611" s="641"/>
      <c r="J611" s="392"/>
      <c r="K611" s="392"/>
      <c r="L611" s="576"/>
      <c r="M611" s="577"/>
      <c r="N611" s="578"/>
    </row>
    <row r="612" spans="1:14" s="40" customFormat="1" ht="3.95" customHeight="1" outlineLevel="1">
      <c r="A612" s="435"/>
      <c r="B612" s="559"/>
      <c r="C612" s="579"/>
      <c r="D612" s="580"/>
      <c r="E612" s="580"/>
      <c r="F612" s="581"/>
      <c r="G612" s="84"/>
      <c r="H612" s="84"/>
      <c r="I612" s="376"/>
      <c r="J612" s="84"/>
      <c r="K612" s="84"/>
      <c r="L612" s="582"/>
      <c r="M612" s="583"/>
      <c r="N612" s="584"/>
    </row>
    <row r="613" spans="1:14" s="40" customFormat="1" ht="24.75" customHeight="1" outlineLevel="1">
      <c r="A613" s="680" t="s">
        <v>301</v>
      </c>
      <c r="B613" s="565" t="s">
        <v>29</v>
      </c>
      <c r="C613" s="684" t="s">
        <v>524</v>
      </c>
      <c r="D613" s="676" t="s">
        <v>290</v>
      </c>
      <c r="E613" s="679" t="s">
        <v>277</v>
      </c>
      <c r="F613" s="567" t="s">
        <v>30</v>
      </c>
      <c r="G613" s="83">
        <f>SUM(G614:G617)</f>
        <v>4591128</v>
      </c>
      <c r="H613" s="83">
        <f>SUM(H614:H617)</f>
        <v>4589350</v>
      </c>
      <c r="I613" s="379">
        <f>IF(G613&gt;0,H613/G613*100,"-")</f>
        <v>99.961273133748392</v>
      </c>
      <c r="J613" s="83">
        <f>SUM(J614:J617)</f>
        <v>87000</v>
      </c>
      <c r="K613" s="83">
        <f>SUM(K614:K617)</f>
        <v>98572</v>
      </c>
      <c r="L613" s="568">
        <f>SUM(L614:L617)</f>
        <v>96793.12</v>
      </c>
      <c r="M613" s="569">
        <f>IF(K613&gt;0,L613/K613*100,"-")</f>
        <v>98.195349592176271</v>
      </c>
      <c r="N613" s="678" t="s">
        <v>426</v>
      </c>
    </row>
    <row r="614" spans="1:14" s="40" customFormat="1" ht="11.1" customHeight="1" outlineLevel="1">
      <c r="A614" s="680"/>
      <c r="B614" s="565"/>
      <c r="C614" s="684"/>
      <c r="D614" s="676"/>
      <c r="E614" s="679"/>
      <c r="F614" s="571" t="s">
        <v>18</v>
      </c>
      <c r="G614" s="80">
        <v>4591128</v>
      </c>
      <c r="H614" s="80">
        <f>ROUNDUP(4492556+L614,0)</f>
        <v>4589350</v>
      </c>
      <c r="I614" s="381">
        <f>IF(G614&gt;0,H614/G614*100,"-")</f>
        <v>99.961273133748392</v>
      </c>
      <c r="J614" s="80">
        <v>87000</v>
      </c>
      <c r="K614" s="80">
        <v>98572</v>
      </c>
      <c r="L614" s="34">
        <v>96793.12</v>
      </c>
      <c r="M614" s="381">
        <f>IF(K614&gt;0,L614/K614*100,"-")</f>
        <v>98.195349592176271</v>
      </c>
      <c r="N614" s="678"/>
    </row>
    <row r="615" spans="1:14" s="40" customFormat="1" ht="11.1" customHeight="1" outlineLevel="1">
      <c r="A615" s="680"/>
      <c r="B615" s="565" t="s">
        <v>24</v>
      </c>
      <c r="C615" s="570" t="s">
        <v>258</v>
      </c>
      <c r="D615" s="676"/>
      <c r="E615" s="679"/>
      <c r="F615" s="571" t="s">
        <v>221</v>
      </c>
      <c r="G615" s="80">
        <v>0</v>
      </c>
      <c r="H615" s="80">
        <f>ROUNDUP(0+L615,0)</f>
        <v>0</v>
      </c>
      <c r="I615" s="381" t="str">
        <f t="shared" ref="I615:I616" si="117">IF(G615&gt;0,H615/G615*100,"-")</f>
        <v>-</v>
      </c>
      <c r="J615" s="80">
        <v>0</v>
      </c>
      <c r="K615" s="80">
        <v>0</v>
      </c>
      <c r="L615" s="363">
        <v>0</v>
      </c>
      <c r="M615" s="381" t="str">
        <f t="shared" ref="M615:M616" si="118">IF(K615&gt;0,L615/K615*100,"-")</f>
        <v>-</v>
      </c>
      <c r="N615" s="678"/>
    </row>
    <row r="616" spans="1:14" s="40" customFormat="1" ht="11.1" customHeight="1" outlineLevel="1">
      <c r="A616" s="680"/>
      <c r="B616" s="29"/>
      <c r="C616" s="587"/>
      <c r="D616" s="676"/>
      <c r="E616" s="679"/>
      <c r="F616" s="571" t="s">
        <v>23</v>
      </c>
      <c r="G616" s="80">
        <v>0</v>
      </c>
      <c r="H616" s="80">
        <f>ROUNDUP(0+L616,0)</f>
        <v>0</v>
      </c>
      <c r="I616" s="381" t="str">
        <f t="shared" si="117"/>
        <v>-</v>
      </c>
      <c r="J616" s="80">
        <v>0</v>
      </c>
      <c r="K616" s="80">
        <v>0</v>
      </c>
      <c r="L616" s="363">
        <v>0</v>
      </c>
      <c r="M616" s="381" t="str">
        <f t="shared" si="118"/>
        <v>-</v>
      </c>
      <c r="N616" s="678"/>
    </row>
    <row r="617" spans="1:14" s="40" customFormat="1" ht="11.1" customHeight="1" outlineLevel="1">
      <c r="A617" s="635"/>
      <c r="B617" s="29"/>
      <c r="C617" s="587"/>
      <c r="D617" s="676"/>
      <c r="E617" s="679"/>
      <c r="F617" s="571"/>
      <c r="G617" s="80"/>
      <c r="H617" s="80"/>
      <c r="I617" s="381"/>
      <c r="J617" s="80"/>
      <c r="K617" s="80"/>
      <c r="L617" s="363"/>
      <c r="M617" s="381"/>
      <c r="N617" s="678"/>
    </row>
    <row r="618" spans="1:14" s="40" customFormat="1" ht="3.95" customHeight="1" outlineLevel="1">
      <c r="A618" s="436"/>
      <c r="B618" s="572"/>
      <c r="C618" s="573"/>
      <c r="D618" s="574"/>
      <c r="E618" s="574"/>
      <c r="F618" s="575"/>
      <c r="G618" s="392"/>
      <c r="H618" s="392"/>
      <c r="I618" s="641"/>
      <c r="J618" s="392"/>
      <c r="K618" s="392"/>
      <c r="L618" s="576"/>
      <c r="M618" s="577"/>
      <c r="N618" s="578"/>
    </row>
    <row r="619" spans="1:14" s="40" customFormat="1" ht="3.95" customHeight="1" outlineLevel="1">
      <c r="A619" s="435"/>
      <c r="B619" s="559"/>
      <c r="C619" s="579"/>
      <c r="D619" s="580"/>
      <c r="E619" s="580"/>
      <c r="F619" s="581"/>
      <c r="G619" s="84"/>
      <c r="H619" s="84"/>
      <c r="I619" s="376"/>
      <c r="J619" s="84"/>
      <c r="K619" s="84"/>
      <c r="L619" s="582"/>
      <c r="M619" s="583"/>
      <c r="N619" s="584"/>
    </row>
    <row r="620" spans="1:14" s="40" customFormat="1" ht="45.75" customHeight="1" outlineLevel="1">
      <c r="A620" s="675" t="s">
        <v>304</v>
      </c>
      <c r="B620" s="29" t="s">
        <v>29</v>
      </c>
      <c r="C620" s="655" t="s">
        <v>525</v>
      </c>
      <c r="D620" s="676" t="s">
        <v>427</v>
      </c>
      <c r="E620" s="677" t="s">
        <v>277</v>
      </c>
      <c r="F620" s="588" t="s">
        <v>30</v>
      </c>
      <c r="G620" s="83">
        <f>SUM(G621:G624)</f>
        <v>13463711</v>
      </c>
      <c r="H620" s="83">
        <f>SUM(H621:H624)</f>
        <v>460812</v>
      </c>
      <c r="I620" s="379">
        <f>IF(G620&gt;0,H620/G620*100,"-")</f>
        <v>3.4226224849894655</v>
      </c>
      <c r="J620" s="83">
        <f>SUM(J621:J624)</f>
        <v>0</v>
      </c>
      <c r="K620" s="83">
        <f>SUM(K621:K624)</f>
        <v>5000</v>
      </c>
      <c r="L620" s="568">
        <f>SUM(L621:L624)</f>
        <v>3423.34</v>
      </c>
      <c r="M620" s="569">
        <f>IF(K620&gt;0,L620/K620*100,"-")</f>
        <v>68.466800000000006</v>
      </c>
      <c r="N620" s="678" t="s">
        <v>428</v>
      </c>
    </row>
    <row r="621" spans="1:14" s="40" customFormat="1" ht="13.5" customHeight="1" outlineLevel="1">
      <c r="A621" s="675"/>
      <c r="B621" s="4"/>
      <c r="C621" s="655"/>
      <c r="D621" s="676"/>
      <c r="E621" s="677"/>
      <c r="F621" s="589" t="s">
        <v>18</v>
      </c>
      <c r="G621" s="80">
        <v>13463711</v>
      </c>
      <c r="H621" s="80">
        <f>ROUNDUP(457388+L621,0)</f>
        <v>460812</v>
      </c>
      <c r="I621" s="381">
        <f>IF(G621&gt;0,H621/G621*100,"-")</f>
        <v>3.4226224849894655</v>
      </c>
      <c r="J621" s="80">
        <v>0</v>
      </c>
      <c r="K621" s="80">
        <v>5000</v>
      </c>
      <c r="L621" s="34">
        <v>3423.34</v>
      </c>
      <c r="M621" s="381">
        <f>IF(K621&gt;0,L621/K621*100,"-")</f>
        <v>68.466800000000006</v>
      </c>
      <c r="N621" s="678"/>
    </row>
    <row r="622" spans="1:14" s="40" customFormat="1" ht="18" customHeight="1" outlineLevel="1">
      <c r="A622" s="675"/>
      <c r="B622" s="29"/>
      <c r="C622" s="586"/>
      <c r="D622" s="676"/>
      <c r="E622" s="677"/>
      <c r="F622" s="589" t="s">
        <v>221</v>
      </c>
      <c r="G622" s="80">
        <v>0</v>
      </c>
      <c r="H622" s="80">
        <f>ROUNDUP(0+L622,0)</f>
        <v>0</v>
      </c>
      <c r="I622" s="381" t="str">
        <f t="shared" ref="I622:I623" si="119">IF(G622&gt;0,H622/G622*100,"-")</f>
        <v>-</v>
      </c>
      <c r="J622" s="80">
        <v>0</v>
      </c>
      <c r="K622" s="80">
        <v>0</v>
      </c>
      <c r="L622" s="363">
        <v>0</v>
      </c>
      <c r="M622" s="381" t="str">
        <f t="shared" ref="M622:M623" si="120">IF(K622&gt;0,L622/K622*100,"-")</f>
        <v>-</v>
      </c>
      <c r="N622" s="678"/>
    </row>
    <row r="623" spans="1:14" s="40" customFormat="1" ht="11.1" customHeight="1" outlineLevel="1">
      <c r="A623" s="675"/>
      <c r="B623" s="29" t="s">
        <v>24</v>
      </c>
      <c r="C623" s="587" t="s">
        <v>258</v>
      </c>
      <c r="D623" s="676"/>
      <c r="E623" s="677"/>
      <c r="F623" s="589" t="s">
        <v>23</v>
      </c>
      <c r="G623" s="80">
        <v>0</v>
      </c>
      <c r="H623" s="80">
        <f>ROUNDUP(0+L623,0)</f>
        <v>0</v>
      </c>
      <c r="I623" s="381" t="str">
        <f t="shared" si="119"/>
        <v>-</v>
      </c>
      <c r="J623" s="80">
        <v>0</v>
      </c>
      <c r="K623" s="80">
        <v>0</v>
      </c>
      <c r="L623" s="363">
        <v>0</v>
      </c>
      <c r="M623" s="381" t="str">
        <f t="shared" si="120"/>
        <v>-</v>
      </c>
      <c r="N623" s="678"/>
    </row>
    <row r="624" spans="1:14" s="40" customFormat="1" ht="11.1" customHeight="1" outlineLevel="1">
      <c r="A624" s="635"/>
      <c r="B624" s="29"/>
      <c r="C624" s="587"/>
      <c r="D624" s="676"/>
      <c r="E624" s="677"/>
      <c r="F624" s="590"/>
      <c r="G624" s="80"/>
      <c r="H624" s="80"/>
      <c r="I624" s="381"/>
      <c r="J624" s="80"/>
      <c r="K624" s="80"/>
      <c r="L624" s="363"/>
      <c r="M624" s="381"/>
      <c r="N624" s="678"/>
    </row>
    <row r="625" spans="1:14" s="40" customFormat="1" ht="3.95" customHeight="1" outlineLevel="1">
      <c r="A625" s="436"/>
      <c r="B625" s="572"/>
      <c r="C625" s="573"/>
      <c r="D625" s="574"/>
      <c r="E625" s="574"/>
      <c r="F625" s="575"/>
      <c r="G625" s="392"/>
      <c r="H625" s="392"/>
      <c r="I625" s="641"/>
      <c r="J625" s="392"/>
      <c r="K625" s="392"/>
      <c r="L625" s="576"/>
      <c r="M625" s="577"/>
      <c r="N625" s="578"/>
    </row>
    <row r="626" spans="1:14" s="40" customFormat="1" ht="3.95" customHeight="1" outlineLevel="1">
      <c r="A626" s="435"/>
      <c r="B626" s="559"/>
      <c r="C626" s="579"/>
      <c r="D626" s="580"/>
      <c r="E626" s="580"/>
      <c r="F626" s="581"/>
      <c r="G626" s="84"/>
      <c r="H626" s="84"/>
      <c r="I626" s="376"/>
      <c r="J626" s="84"/>
      <c r="K626" s="84"/>
      <c r="L626" s="582"/>
      <c r="M626" s="583"/>
      <c r="N626" s="584"/>
    </row>
    <row r="627" spans="1:14" s="40" customFormat="1" ht="11.1" customHeight="1" outlineLevel="1">
      <c r="A627" s="675" t="s">
        <v>308</v>
      </c>
      <c r="B627" s="29" t="s">
        <v>29</v>
      </c>
      <c r="C627" s="586" t="s">
        <v>429</v>
      </c>
      <c r="D627" s="676" t="s">
        <v>274</v>
      </c>
      <c r="E627" s="679" t="s">
        <v>277</v>
      </c>
      <c r="F627" s="567" t="s">
        <v>30</v>
      </c>
      <c r="G627" s="83">
        <f>SUM(G628:G631)</f>
        <v>1930000</v>
      </c>
      <c r="H627" s="83">
        <f>SUM(H628:H631)</f>
        <v>21065</v>
      </c>
      <c r="I627" s="379">
        <f>IF(G627&gt;0,H627/G627*100,"-")</f>
        <v>1.0914507772020725</v>
      </c>
      <c r="J627" s="83">
        <f>SUM(J628:J631)</f>
        <v>0</v>
      </c>
      <c r="K627" s="83">
        <f>SUM(K628:K631)</f>
        <v>30000</v>
      </c>
      <c r="L627" s="568">
        <f>SUM(L628:L631)</f>
        <v>21064.9</v>
      </c>
      <c r="M627" s="569">
        <f>IF(K627&gt;0,L627/K627*100,"-")</f>
        <v>70.216333333333338</v>
      </c>
      <c r="N627" s="678" t="s">
        <v>430</v>
      </c>
    </row>
    <row r="628" spans="1:14" s="40" customFormat="1" ht="11.1" customHeight="1" outlineLevel="1">
      <c r="A628" s="675"/>
      <c r="B628" s="29" t="s">
        <v>24</v>
      </c>
      <c r="C628" s="587" t="s">
        <v>431</v>
      </c>
      <c r="D628" s="676"/>
      <c r="E628" s="679"/>
      <c r="F628" s="571" t="s">
        <v>18</v>
      </c>
      <c r="G628" s="80">
        <v>1930000</v>
      </c>
      <c r="H628" s="80">
        <f t="shared" ref="H628:H629" si="121">ROUNDUP(0+L628,0)</f>
        <v>21065</v>
      </c>
      <c r="I628" s="381">
        <f>IF(G628&gt;0,H628/G628*100,"-")</f>
        <v>1.0914507772020725</v>
      </c>
      <c r="J628" s="80">
        <v>0</v>
      </c>
      <c r="K628" s="80">
        <v>30000</v>
      </c>
      <c r="L628" s="34">
        <v>21064.9</v>
      </c>
      <c r="M628" s="381">
        <f>IF(K628&gt;0,L628/K628*100,"-")</f>
        <v>70.216333333333338</v>
      </c>
      <c r="N628" s="678"/>
    </row>
    <row r="629" spans="1:14" s="40" customFormat="1" ht="11.1" customHeight="1" outlineLevel="1">
      <c r="A629" s="675"/>
      <c r="B629" s="29"/>
      <c r="C629" s="586"/>
      <c r="D629" s="676"/>
      <c r="E629" s="679"/>
      <c r="F629" s="571" t="s">
        <v>221</v>
      </c>
      <c r="G629" s="80">
        <v>0</v>
      </c>
      <c r="H629" s="80">
        <f t="shared" si="121"/>
        <v>0</v>
      </c>
      <c r="I629" s="381" t="str">
        <f t="shared" ref="I629:I630" si="122">IF(G629&gt;0,H629/G629*100,"-")</f>
        <v>-</v>
      </c>
      <c r="J629" s="80">
        <v>0</v>
      </c>
      <c r="K629" s="80">
        <v>0</v>
      </c>
      <c r="L629" s="363">
        <v>0</v>
      </c>
      <c r="M629" s="381" t="str">
        <f t="shared" ref="M629:M630" si="123">IF(K629&gt;0,L629/K629*100,"-")</f>
        <v>-</v>
      </c>
      <c r="N629" s="678"/>
    </row>
    <row r="630" spans="1:14" s="40" customFormat="1" ht="11.1" customHeight="1" outlineLevel="1">
      <c r="A630" s="675"/>
      <c r="B630" s="4"/>
      <c r="C630" s="586"/>
      <c r="D630" s="676"/>
      <c r="E630" s="679"/>
      <c r="F630" s="571" t="s">
        <v>23</v>
      </c>
      <c r="G630" s="80">
        <v>0</v>
      </c>
      <c r="H630" s="80">
        <f>ROUNDUP(0+L630,0)</f>
        <v>0</v>
      </c>
      <c r="I630" s="381" t="str">
        <f t="shared" si="122"/>
        <v>-</v>
      </c>
      <c r="J630" s="80">
        <v>0</v>
      </c>
      <c r="K630" s="80">
        <v>0</v>
      </c>
      <c r="L630" s="363">
        <v>0</v>
      </c>
      <c r="M630" s="381" t="str">
        <f t="shared" si="123"/>
        <v>-</v>
      </c>
      <c r="N630" s="678"/>
    </row>
    <row r="631" spans="1:14" s="40" customFormat="1" ht="18.75" customHeight="1" outlineLevel="1">
      <c r="A631" s="635"/>
      <c r="B631" s="29"/>
      <c r="C631" s="586"/>
      <c r="D631" s="676"/>
      <c r="E631" s="679"/>
      <c r="F631" s="571"/>
      <c r="G631" s="80"/>
      <c r="H631" s="80"/>
      <c r="I631" s="381"/>
      <c r="J631" s="80"/>
      <c r="K631" s="80"/>
      <c r="L631" s="363"/>
      <c r="M631" s="381"/>
      <c r="N631" s="678"/>
    </row>
    <row r="632" spans="1:14" s="40" customFormat="1" ht="11.25" customHeight="1" outlineLevel="1">
      <c r="A632" s="436"/>
      <c r="B632" s="572"/>
      <c r="C632" s="573"/>
      <c r="D632" s="574"/>
      <c r="E632" s="574"/>
      <c r="F632" s="575"/>
      <c r="G632" s="392"/>
      <c r="H632" s="392"/>
      <c r="I632" s="641"/>
      <c r="J632" s="392"/>
      <c r="K632" s="392"/>
      <c r="L632" s="576"/>
      <c r="M632" s="577"/>
      <c r="N632" s="578"/>
    </row>
    <row r="633" spans="1:14" s="40" customFormat="1" ht="3.95" customHeight="1" outlineLevel="1">
      <c r="A633" s="435"/>
      <c r="B633" s="559"/>
      <c r="C633" s="579"/>
      <c r="D633" s="580"/>
      <c r="E633" s="580"/>
      <c r="F633" s="581"/>
      <c r="G633" s="84"/>
      <c r="H633" s="84"/>
      <c r="I633" s="376"/>
      <c r="J633" s="84"/>
      <c r="K633" s="84"/>
      <c r="L633" s="582"/>
      <c r="M633" s="583"/>
      <c r="N633" s="584"/>
    </row>
    <row r="634" spans="1:14" s="40" customFormat="1" ht="11.1" customHeight="1" outlineLevel="1">
      <c r="A634" s="675" t="s">
        <v>311</v>
      </c>
      <c r="B634" s="29" t="s">
        <v>29</v>
      </c>
      <c r="C634" s="586" t="s">
        <v>293</v>
      </c>
      <c r="D634" s="676" t="s">
        <v>294</v>
      </c>
      <c r="E634" s="679" t="s">
        <v>277</v>
      </c>
      <c r="F634" s="567" t="s">
        <v>30</v>
      </c>
      <c r="G634" s="83">
        <f>SUM(G635:G638)</f>
        <v>5450182</v>
      </c>
      <c r="H634" s="83">
        <f>SUM(H635:H638)</f>
        <v>5448590</v>
      </c>
      <c r="I634" s="379">
        <f>IF(G634&gt;0,H634/G634*100,"-")</f>
        <v>99.970789966280023</v>
      </c>
      <c r="J634" s="83">
        <f>SUM(J635:J638)</f>
        <v>527148</v>
      </c>
      <c r="K634" s="83">
        <f>SUM(K635:K638)</f>
        <v>663806</v>
      </c>
      <c r="L634" s="568">
        <f>SUM(L635:L638)</f>
        <v>662213.31000000006</v>
      </c>
      <c r="M634" s="569">
        <f>IF(K634&gt;0,L634/K634*100,"-")</f>
        <v>99.760066947270744</v>
      </c>
      <c r="N634" s="678" t="s">
        <v>432</v>
      </c>
    </row>
    <row r="635" spans="1:14" s="40" customFormat="1" outlineLevel="1">
      <c r="A635" s="675"/>
      <c r="B635" s="29" t="s">
        <v>24</v>
      </c>
      <c r="C635" s="587" t="s">
        <v>258</v>
      </c>
      <c r="D635" s="676"/>
      <c r="E635" s="679"/>
      <c r="F635" s="571" t="s">
        <v>18</v>
      </c>
      <c r="G635" s="80">
        <v>4020338</v>
      </c>
      <c r="H635" s="80">
        <f>ROUNDUP(3356532+L635,0)</f>
        <v>4018746</v>
      </c>
      <c r="I635" s="381">
        <f>IF(G635&gt;0,H635/G635*100,"-")</f>
        <v>99.960401339389875</v>
      </c>
      <c r="J635" s="80">
        <v>527148</v>
      </c>
      <c r="K635" s="80">
        <v>663806</v>
      </c>
      <c r="L635" s="34">
        <v>662213.31000000006</v>
      </c>
      <c r="M635" s="381">
        <f>IF(K635&gt;0,L635/K635*100,"-")</f>
        <v>99.760066947270744</v>
      </c>
      <c r="N635" s="678"/>
    </row>
    <row r="636" spans="1:14" s="40" customFormat="1" ht="11.1" customHeight="1" outlineLevel="1">
      <c r="A636" s="675"/>
      <c r="B636" s="29"/>
      <c r="C636" s="586"/>
      <c r="D636" s="676"/>
      <c r="E636" s="679"/>
      <c r="F636" s="571" t="s">
        <v>221</v>
      </c>
      <c r="G636" s="80">
        <v>1429844</v>
      </c>
      <c r="H636" s="80">
        <f>ROUNDUP(1429844+L636,0)</f>
        <v>1429844</v>
      </c>
      <c r="I636" s="381">
        <f t="shared" ref="I636:I637" si="124">IF(G636&gt;0,H636/G636*100,"-")</f>
        <v>100</v>
      </c>
      <c r="J636" s="80">
        <v>0</v>
      </c>
      <c r="K636" s="80">
        <v>0</v>
      </c>
      <c r="L636" s="363">
        <v>0</v>
      </c>
      <c r="M636" s="381" t="str">
        <f t="shared" ref="M636:M637" si="125">IF(K636&gt;0,L636/K636*100,"-")</f>
        <v>-</v>
      </c>
      <c r="N636" s="678"/>
    </row>
    <row r="637" spans="1:14" s="40" customFormat="1" ht="11.1" customHeight="1" outlineLevel="1">
      <c r="A637" s="675"/>
      <c r="B637" s="4"/>
      <c r="C637" s="586"/>
      <c r="D637" s="676"/>
      <c r="E637" s="679"/>
      <c r="F637" s="571" t="s">
        <v>23</v>
      </c>
      <c r="G637" s="80">
        <v>0</v>
      </c>
      <c r="H637" s="80">
        <f>ROUNDUP(0+L637,0)</f>
        <v>0</v>
      </c>
      <c r="I637" s="381" t="str">
        <f t="shared" si="124"/>
        <v>-</v>
      </c>
      <c r="J637" s="80">
        <v>0</v>
      </c>
      <c r="K637" s="80">
        <v>0</v>
      </c>
      <c r="L637" s="363">
        <v>0</v>
      </c>
      <c r="M637" s="381" t="str">
        <f t="shared" si="125"/>
        <v>-</v>
      </c>
      <c r="N637" s="678"/>
    </row>
    <row r="638" spans="1:14" s="40" customFormat="1" ht="15" customHeight="1" outlineLevel="1">
      <c r="A638" s="635"/>
      <c r="B638" s="29"/>
      <c r="C638" s="586"/>
      <c r="D638" s="676"/>
      <c r="E638" s="679"/>
      <c r="F638" s="571"/>
      <c r="G638" s="80"/>
      <c r="H638" s="80"/>
      <c r="I638" s="381"/>
      <c r="J638" s="80"/>
      <c r="K638" s="80"/>
      <c r="L638" s="363"/>
      <c r="M638" s="381"/>
      <c r="N638" s="678"/>
    </row>
    <row r="639" spans="1:14" s="40" customFormat="1" ht="3.95" customHeight="1" outlineLevel="1">
      <c r="A639" s="436"/>
      <c r="B639" s="572"/>
      <c r="C639" s="573"/>
      <c r="D639" s="574"/>
      <c r="E639" s="574"/>
      <c r="F639" s="575"/>
      <c r="G639" s="392"/>
      <c r="H639" s="392"/>
      <c r="I639" s="641"/>
      <c r="J639" s="392"/>
      <c r="K639" s="392"/>
      <c r="L639" s="576"/>
      <c r="M639" s="577"/>
      <c r="N639" s="578"/>
    </row>
    <row r="640" spans="1:14" s="40" customFormat="1" ht="3.95" customHeight="1" outlineLevel="1">
      <c r="A640" s="435"/>
      <c r="B640" s="559"/>
      <c r="C640" s="579"/>
      <c r="D640" s="580"/>
      <c r="E640" s="580"/>
      <c r="F640" s="581"/>
      <c r="G640" s="84"/>
      <c r="H640" s="84"/>
      <c r="I640" s="376"/>
      <c r="J640" s="84"/>
      <c r="K640" s="84"/>
      <c r="L640" s="582"/>
      <c r="M640" s="583"/>
      <c r="N640" s="584"/>
    </row>
    <row r="641" spans="1:14" s="40" customFormat="1" ht="11.1" customHeight="1" outlineLevel="1">
      <c r="A641" s="675" t="s">
        <v>315</v>
      </c>
      <c r="B641" s="29" t="s">
        <v>29</v>
      </c>
      <c r="C641" s="586" t="s">
        <v>433</v>
      </c>
      <c r="D641" s="676" t="s">
        <v>434</v>
      </c>
      <c r="E641" s="679" t="s">
        <v>277</v>
      </c>
      <c r="F641" s="567" t="s">
        <v>30</v>
      </c>
      <c r="G641" s="83">
        <f>SUM(G642:G645)</f>
        <v>7574628</v>
      </c>
      <c r="H641" s="83">
        <f>SUM(H642:H645)</f>
        <v>104428</v>
      </c>
      <c r="I641" s="379">
        <f>IF(G641&gt;0,H641/G641*100,"-")</f>
        <v>1.3786551629994239</v>
      </c>
      <c r="J641" s="83">
        <f>SUM(J642:J645)</f>
        <v>0</v>
      </c>
      <c r="K641" s="83">
        <f>SUM(K642:K645)</f>
        <v>0</v>
      </c>
      <c r="L641" s="568">
        <f>SUM(L642:L645)</f>
        <v>0</v>
      </c>
      <c r="M641" s="569" t="str">
        <f>IF(K641&gt;0,L641/K641*100,"-")</f>
        <v>-</v>
      </c>
      <c r="N641" s="678" t="s">
        <v>392</v>
      </c>
    </row>
    <row r="642" spans="1:14" s="40" customFormat="1" ht="11.1" customHeight="1" outlineLevel="1">
      <c r="A642" s="675"/>
      <c r="B642" s="29" t="s">
        <v>24</v>
      </c>
      <c r="C642" s="587" t="s">
        <v>258</v>
      </c>
      <c r="D642" s="676"/>
      <c r="E642" s="679"/>
      <c r="F642" s="571" t="s">
        <v>18</v>
      </c>
      <c r="G642" s="80">
        <v>7574628</v>
      </c>
      <c r="H642" s="80">
        <f>ROUNDUP(104428+L642,0)</f>
        <v>104428</v>
      </c>
      <c r="I642" s="381">
        <f>IF(G642&gt;0,H642/G642*100,"-")</f>
        <v>1.3786551629994239</v>
      </c>
      <c r="J642" s="80">
        <v>0</v>
      </c>
      <c r="K642" s="80">
        <v>0</v>
      </c>
      <c r="L642" s="34">
        <v>0</v>
      </c>
      <c r="M642" s="381" t="str">
        <f>IF(K642&gt;0,L642/K642*100,"-")</f>
        <v>-</v>
      </c>
      <c r="N642" s="678"/>
    </row>
    <row r="643" spans="1:14" s="40" customFormat="1" ht="11.1" customHeight="1" outlineLevel="1">
      <c r="A643" s="675"/>
      <c r="B643" s="29"/>
      <c r="C643" s="586"/>
      <c r="D643" s="676"/>
      <c r="E643" s="679"/>
      <c r="F643" s="571" t="s">
        <v>221</v>
      </c>
      <c r="G643" s="80">
        <v>0</v>
      </c>
      <c r="H643" s="80">
        <f>ROUNDUP(0+L643,0)</f>
        <v>0</v>
      </c>
      <c r="I643" s="381" t="str">
        <f t="shared" ref="I643:I644" si="126">IF(G643&gt;0,H643/G643*100,"-")</f>
        <v>-</v>
      </c>
      <c r="J643" s="80">
        <v>0</v>
      </c>
      <c r="K643" s="80">
        <v>0</v>
      </c>
      <c r="L643" s="363">
        <v>0</v>
      </c>
      <c r="M643" s="381" t="str">
        <f t="shared" ref="M643:M644" si="127">IF(K643&gt;0,L643/K643*100,"-")</f>
        <v>-</v>
      </c>
      <c r="N643" s="678"/>
    </row>
    <row r="644" spans="1:14" s="40" customFormat="1" ht="11.1" customHeight="1" outlineLevel="1">
      <c r="A644" s="675"/>
      <c r="B644" s="4"/>
      <c r="C644" s="586"/>
      <c r="D644" s="676"/>
      <c r="E644" s="679"/>
      <c r="F644" s="571" t="s">
        <v>23</v>
      </c>
      <c r="G644" s="80">
        <v>0</v>
      </c>
      <c r="H644" s="80">
        <f>ROUNDUP(0+L644,0)</f>
        <v>0</v>
      </c>
      <c r="I644" s="381" t="str">
        <f t="shared" si="126"/>
        <v>-</v>
      </c>
      <c r="J644" s="80">
        <v>0</v>
      </c>
      <c r="K644" s="80">
        <v>0</v>
      </c>
      <c r="L644" s="363">
        <v>0</v>
      </c>
      <c r="M644" s="381" t="str">
        <f t="shared" si="127"/>
        <v>-</v>
      </c>
      <c r="N644" s="678"/>
    </row>
    <row r="645" spans="1:14" s="40" customFormat="1" ht="11.1" customHeight="1" outlineLevel="1">
      <c r="A645" s="635"/>
      <c r="B645" s="29"/>
      <c r="C645" s="586"/>
      <c r="D645" s="676"/>
      <c r="E645" s="679"/>
      <c r="F645" s="571"/>
      <c r="G645" s="80"/>
      <c r="H645" s="80"/>
      <c r="I645" s="381"/>
      <c r="J645" s="80"/>
      <c r="K645" s="80"/>
      <c r="L645" s="363"/>
      <c r="M645" s="381"/>
      <c r="N645" s="678"/>
    </row>
    <row r="646" spans="1:14" s="40" customFormat="1" ht="3.95" customHeight="1" outlineLevel="1">
      <c r="A646" s="436"/>
      <c r="B646" s="572"/>
      <c r="C646" s="573"/>
      <c r="D646" s="574"/>
      <c r="E646" s="574"/>
      <c r="F646" s="575"/>
      <c r="G646" s="392"/>
      <c r="H646" s="392"/>
      <c r="I646" s="641"/>
      <c r="J646" s="392"/>
      <c r="K646" s="392"/>
      <c r="L646" s="576"/>
      <c r="M646" s="577"/>
      <c r="N646" s="578"/>
    </row>
    <row r="647" spans="1:14" s="40" customFormat="1" ht="3.95" customHeight="1" outlineLevel="1">
      <c r="A647" s="435"/>
      <c r="B647" s="559"/>
      <c r="C647" s="579"/>
      <c r="D647" s="580"/>
      <c r="E647" s="580"/>
      <c r="F647" s="581"/>
      <c r="G647" s="84"/>
      <c r="H647" s="84"/>
      <c r="I647" s="376"/>
      <c r="J647" s="84"/>
      <c r="K647" s="84"/>
      <c r="L647" s="582"/>
      <c r="M647" s="583"/>
      <c r="N647" s="584"/>
    </row>
    <row r="648" spans="1:14" s="40" customFormat="1" ht="11.1" customHeight="1" outlineLevel="1">
      <c r="A648" s="675" t="s">
        <v>322</v>
      </c>
      <c r="B648" s="29" t="s">
        <v>29</v>
      </c>
      <c r="C648" s="655" t="s">
        <v>526</v>
      </c>
      <c r="D648" s="676" t="s">
        <v>274</v>
      </c>
      <c r="E648" s="679" t="s">
        <v>296</v>
      </c>
      <c r="F648" s="567" t="s">
        <v>30</v>
      </c>
      <c r="G648" s="83">
        <f>SUM(G649:G652)</f>
        <v>430000</v>
      </c>
      <c r="H648" s="83">
        <f>SUM(H649:H652)</f>
        <v>0</v>
      </c>
      <c r="I648" s="379">
        <f>IF(G648&gt;0,H648/G648*100,"-")</f>
        <v>0</v>
      </c>
      <c r="J648" s="83">
        <f>SUM(J649:J652)</f>
        <v>0</v>
      </c>
      <c r="K648" s="83">
        <f>SUM(K649:K652)</f>
        <v>10000</v>
      </c>
      <c r="L648" s="568">
        <f>SUM(L649:L652)</f>
        <v>0</v>
      </c>
      <c r="M648" s="569">
        <f>IF(K648&gt;0,L648/K648*100,"-")</f>
        <v>0</v>
      </c>
      <c r="N648" s="678" t="s">
        <v>435</v>
      </c>
    </row>
    <row r="649" spans="1:14" s="40" customFormat="1" ht="11.1" customHeight="1" outlineLevel="1">
      <c r="A649" s="675"/>
      <c r="B649" s="29"/>
      <c r="C649" s="655"/>
      <c r="D649" s="676"/>
      <c r="E649" s="679"/>
      <c r="F649" s="571" t="s">
        <v>18</v>
      </c>
      <c r="G649" s="80">
        <v>430000</v>
      </c>
      <c r="H649" s="80">
        <f>ROUNDUP(0+L649,0)</f>
        <v>0</v>
      </c>
      <c r="I649" s="381">
        <f>IF(G649&gt;0,H649/G649*100,"-")</f>
        <v>0</v>
      </c>
      <c r="J649" s="80">
        <v>0</v>
      </c>
      <c r="K649" s="80">
        <v>10000</v>
      </c>
      <c r="L649" s="34">
        <v>0</v>
      </c>
      <c r="M649" s="381">
        <f>IF(K649&gt;0,L649/K649*100,"-")</f>
        <v>0</v>
      </c>
      <c r="N649" s="678"/>
    </row>
    <row r="650" spans="1:14" s="40" customFormat="1" ht="11.1" customHeight="1" outlineLevel="1">
      <c r="A650" s="675"/>
      <c r="B650" s="29" t="s">
        <v>24</v>
      </c>
      <c r="C650" s="587" t="s">
        <v>258</v>
      </c>
      <c r="D650" s="676"/>
      <c r="E650" s="679"/>
      <c r="F650" s="571" t="s">
        <v>221</v>
      </c>
      <c r="G650" s="80">
        <v>0</v>
      </c>
      <c r="H650" s="80">
        <f>ROUNDUP(0+L650,0)</f>
        <v>0</v>
      </c>
      <c r="I650" s="381" t="str">
        <f t="shared" ref="I650:I651" si="128">IF(G650&gt;0,H650/G650*100,"-")</f>
        <v>-</v>
      </c>
      <c r="J650" s="80">
        <v>0</v>
      </c>
      <c r="K650" s="80">
        <v>0</v>
      </c>
      <c r="L650" s="363">
        <v>0</v>
      </c>
      <c r="M650" s="381" t="str">
        <f t="shared" ref="M650:M651" si="129">IF(K650&gt;0,L650/K650*100,"-")</f>
        <v>-</v>
      </c>
      <c r="N650" s="678"/>
    </row>
    <row r="651" spans="1:14" s="40" customFormat="1" ht="11.1" customHeight="1" outlineLevel="1">
      <c r="A651" s="675"/>
      <c r="B651" s="4"/>
      <c r="C651" s="586"/>
      <c r="D651" s="676"/>
      <c r="E651" s="679"/>
      <c r="F651" s="571" t="s">
        <v>23</v>
      </c>
      <c r="G651" s="80">
        <v>0</v>
      </c>
      <c r="H651" s="80">
        <f>ROUNDUP(0+L651,0)</f>
        <v>0</v>
      </c>
      <c r="I651" s="381" t="str">
        <f t="shared" si="128"/>
        <v>-</v>
      </c>
      <c r="J651" s="80">
        <v>0</v>
      </c>
      <c r="K651" s="80">
        <v>0</v>
      </c>
      <c r="L651" s="363">
        <v>0</v>
      </c>
      <c r="M651" s="381" t="str">
        <f t="shared" si="129"/>
        <v>-</v>
      </c>
      <c r="N651" s="678"/>
    </row>
    <row r="652" spans="1:14" s="40" customFormat="1" ht="11.1" customHeight="1" outlineLevel="1">
      <c r="A652" s="635"/>
      <c r="B652" s="29"/>
      <c r="C652" s="586"/>
      <c r="D652" s="676"/>
      <c r="E652" s="679"/>
      <c r="F652" s="571"/>
      <c r="G652" s="80"/>
      <c r="H652" s="80"/>
      <c r="I652" s="381"/>
      <c r="J652" s="80"/>
      <c r="K652" s="80"/>
      <c r="L652" s="363"/>
      <c r="M652" s="381"/>
      <c r="N652" s="678"/>
    </row>
    <row r="653" spans="1:14" s="40" customFormat="1" ht="3.95" customHeight="1" outlineLevel="1">
      <c r="A653" s="436"/>
      <c r="B653" s="572"/>
      <c r="C653" s="573"/>
      <c r="D653" s="574"/>
      <c r="E653" s="574"/>
      <c r="F653" s="575"/>
      <c r="G653" s="392"/>
      <c r="H653" s="392"/>
      <c r="I653" s="641"/>
      <c r="J653" s="392"/>
      <c r="K653" s="392"/>
      <c r="L653" s="576"/>
      <c r="M653" s="577"/>
      <c r="N653" s="578"/>
    </row>
    <row r="654" spans="1:14" s="40" customFormat="1" ht="3.95" customHeight="1" outlineLevel="1">
      <c r="A654" s="435"/>
      <c r="B654" s="559"/>
      <c r="C654" s="579"/>
      <c r="D654" s="580"/>
      <c r="E654" s="580"/>
      <c r="F654" s="581"/>
      <c r="G654" s="84"/>
      <c r="H654" s="84"/>
      <c r="I654" s="376"/>
      <c r="J654" s="84"/>
      <c r="K654" s="84"/>
      <c r="L654" s="582"/>
      <c r="M654" s="583"/>
      <c r="N654" s="584"/>
    </row>
    <row r="655" spans="1:14" s="40" customFormat="1" ht="17.25" customHeight="1" outlineLevel="1">
      <c r="A655" s="675" t="s">
        <v>325</v>
      </c>
      <c r="B655" s="29" t="s">
        <v>29</v>
      </c>
      <c r="C655" s="655" t="s">
        <v>527</v>
      </c>
      <c r="D655" s="676" t="s">
        <v>264</v>
      </c>
      <c r="E655" s="679" t="s">
        <v>296</v>
      </c>
      <c r="F655" s="567" t="s">
        <v>30</v>
      </c>
      <c r="G655" s="83">
        <f>SUM(G656:G659)</f>
        <v>147100</v>
      </c>
      <c r="H655" s="83">
        <f>SUM(H656:H659)</f>
        <v>146476</v>
      </c>
      <c r="I655" s="379">
        <f>IF(G655&gt;0,H655/G655*100,"-")</f>
        <v>99.575798776342623</v>
      </c>
      <c r="J655" s="83">
        <f>SUM(J656:J659)</f>
        <v>270000</v>
      </c>
      <c r="K655" s="83">
        <f>SUM(K656:K659)</f>
        <v>147100</v>
      </c>
      <c r="L655" s="568">
        <f>SUM(L656:L659)</f>
        <v>146475.4</v>
      </c>
      <c r="M655" s="569">
        <f>IF(K655&gt;0,L655/K655*100,"-")</f>
        <v>99.575390890550636</v>
      </c>
      <c r="N655" s="678" t="s">
        <v>436</v>
      </c>
    </row>
    <row r="656" spans="1:14" s="40" customFormat="1" ht="18" customHeight="1" outlineLevel="1">
      <c r="A656" s="675"/>
      <c r="B656" s="29"/>
      <c r="C656" s="655"/>
      <c r="D656" s="676"/>
      <c r="E656" s="679"/>
      <c r="F656" s="571" t="s">
        <v>18</v>
      </c>
      <c r="G656" s="80">
        <v>147100</v>
      </c>
      <c r="H656" s="80">
        <f>ROUNDUP(0+L656,0)</f>
        <v>146476</v>
      </c>
      <c r="I656" s="381">
        <f>IF(G656&gt;0,H656/G656*100,"-")</f>
        <v>99.575798776342623</v>
      </c>
      <c r="J656" s="80">
        <v>270000</v>
      </c>
      <c r="K656" s="80">
        <v>147100</v>
      </c>
      <c r="L656" s="34">
        <v>146475.4</v>
      </c>
      <c r="M656" s="381">
        <f>IF(K656&gt;0,L656/K656*100,"-")</f>
        <v>99.575390890550636</v>
      </c>
      <c r="N656" s="678"/>
    </row>
    <row r="657" spans="1:14" s="40" customFormat="1" outlineLevel="1">
      <c r="A657" s="675"/>
      <c r="B657" s="29" t="s">
        <v>24</v>
      </c>
      <c r="C657" s="587" t="s">
        <v>258</v>
      </c>
      <c r="D657" s="676"/>
      <c r="E657" s="679"/>
      <c r="F657" s="571" t="s">
        <v>221</v>
      </c>
      <c r="G657" s="80">
        <v>0</v>
      </c>
      <c r="H657" s="80">
        <f>ROUNDUP(0+L657,0)</f>
        <v>0</v>
      </c>
      <c r="I657" s="381" t="str">
        <f t="shared" ref="I657:I658" si="130">IF(G657&gt;0,H657/G657*100,"-")</f>
        <v>-</v>
      </c>
      <c r="J657" s="80">
        <v>0</v>
      </c>
      <c r="K657" s="80">
        <v>0</v>
      </c>
      <c r="L657" s="363">
        <v>0</v>
      </c>
      <c r="M657" s="381" t="str">
        <f t="shared" ref="M657:M658" si="131">IF(K657&gt;0,L657/K657*100,"-")</f>
        <v>-</v>
      </c>
      <c r="N657" s="678"/>
    </row>
    <row r="658" spans="1:14" s="40" customFormat="1" ht="11.1" customHeight="1" outlineLevel="1">
      <c r="A658" s="675"/>
      <c r="B658" s="4"/>
      <c r="C658" s="586"/>
      <c r="D658" s="676"/>
      <c r="E658" s="679"/>
      <c r="F658" s="571" t="s">
        <v>23</v>
      </c>
      <c r="G658" s="80">
        <v>0</v>
      </c>
      <c r="H658" s="80">
        <f>ROUNDUP(0+L658,0)</f>
        <v>0</v>
      </c>
      <c r="I658" s="381" t="str">
        <f t="shared" si="130"/>
        <v>-</v>
      </c>
      <c r="J658" s="80">
        <v>0</v>
      </c>
      <c r="K658" s="80">
        <v>0</v>
      </c>
      <c r="L658" s="363">
        <v>0</v>
      </c>
      <c r="M658" s="381" t="str">
        <f t="shared" si="131"/>
        <v>-</v>
      </c>
      <c r="N658" s="678"/>
    </row>
    <row r="659" spans="1:14" s="40" customFormat="1" ht="3" customHeight="1" outlineLevel="1">
      <c r="A659" s="635"/>
      <c r="B659" s="29"/>
      <c r="C659" s="586"/>
      <c r="D659" s="676"/>
      <c r="E659" s="679"/>
      <c r="F659" s="571"/>
      <c r="G659" s="80"/>
      <c r="H659" s="80"/>
      <c r="I659" s="381"/>
      <c r="J659" s="80"/>
      <c r="K659" s="80"/>
      <c r="L659" s="363"/>
      <c r="M659" s="381"/>
      <c r="N659" s="678"/>
    </row>
    <row r="660" spans="1:14" s="40" customFormat="1" ht="3.95" customHeight="1" outlineLevel="1">
      <c r="A660" s="436"/>
      <c r="B660" s="572"/>
      <c r="C660" s="573"/>
      <c r="D660" s="574"/>
      <c r="E660" s="574"/>
      <c r="F660" s="575"/>
      <c r="G660" s="392"/>
      <c r="H660" s="392"/>
      <c r="I660" s="641"/>
      <c r="J660" s="392"/>
      <c r="K660" s="392"/>
      <c r="L660" s="576"/>
      <c r="M660" s="577"/>
      <c r="N660" s="578"/>
    </row>
    <row r="661" spans="1:14" s="40" customFormat="1" ht="3.95" customHeight="1" outlineLevel="1">
      <c r="A661" s="434"/>
      <c r="B661" s="26"/>
      <c r="C661" s="591"/>
      <c r="D661" s="592"/>
      <c r="E661" s="592"/>
      <c r="F661" s="640"/>
      <c r="G661" s="540"/>
      <c r="H661" s="540"/>
      <c r="I661" s="376"/>
      <c r="J661" s="540"/>
      <c r="K661" s="84"/>
      <c r="L661" s="479"/>
      <c r="M661" s="28"/>
      <c r="N661" s="541"/>
    </row>
    <row r="662" spans="1:14" s="40" customFormat="1" ht="21" customHeight="1" outlineLevel="1">
      <c r="A662" s="660" t="s">
        <v>328</v>
      </c>
      <c r="B662" s="29" t="s">
        <v>29</v>
      </c>
      <c r="C662" s="655" t="s">
        <v>528</v>
      </c>
      <c r="D662" s="667" t="s">
        <v>437</v>
      </c>
      <c r="E662" s="667"/>
      <c r="F662" s="593" t="s">
        <v>30</v>
      </c>
      <c r="G662" s="83">
        <f>SUM(G663:G666)</f>
        <v>19321741</v>
      </c>
      <c r="H662" s="83">
        <f>SUM(H663:H666)</f>
        <v>8019636</v>
      </c>
      <c r="I662" s="379">
        <f>IF(G662&gt;0,H662/G662*100,"-")</f>
        <v>41.505762860603504</v>
      </c>
      <c r="J662" s="83">
        <f>SUM(J663:J666)</f>
        <v>3820000</v>
      </c>
      <c r="K662" s="83">
        <f>SUM(K663:K666)</f>
        <v>4607968</v>
      </c>
      <c r="L662" s="568">
        <f>SUM(L663:L666)</f>
        <v>3756286.77</v>
      </c>
      <c r="M662" s="569">
        <f>IF(K662&gt;0,L662/K662*100,"-")</f>
        <v>81.517206065667125</v>
      </c>
      <c r="N662" s="790" t="s">
        <v>438</v>
      </c>
    </row>
    <row r="663" spans="1:14" s="40" customFormat="1" ht="11.1" customHeight="1" outlineLevel="1">
      <c r="A663" s="660"/>
      <c r="B663" s="29"/>
      <c r="C663" s="655"/>
      <c r="D663" s="667"/>
      <c r="E663" s="667"/>
      <c r="F663" s="571" t="s">
        <v>18</v>
      </c>
      <c r="G663" s="80">
        <f>G668+G673</f>
        <v>19321741</v>
      </c>
      <c r="H663" s="80">
        <f>H668+H673</f>
        <v>8019636</v>
      </c>
      <c r="I663" s="381">
        <f>IF(G663&gt;0,H663/G663*100,"-")</f>
        <v>41.505762860603504</v>
      </c>
      <c r="J663" s="80">
        <f t="shared" ref="J663:L665" si="132">J668+J673</f>
        <v>3820000</v>
      </c>
      <c r="K663" s="80">
        <f t="shared" si="132"/>
        <v>4607968</v>
      </c>
      <c r="L663" s="34">
        <f t="shared" si="132"/>
        <v>3756286.77</v>
      </c>
      <c r="M663" s="33">
        <f>IF(K663&gt;0,L663/K663*100,"-")</f>
        <v>81.517206065667125</v>
      </c>
      <c r="N663" s="790"/>
    </row>
    <row r="664" spans="1:14" s="40" customFormat="1" ht="20.25" customHeight="1" outlineLevel="1">
      <c r="A664" s="660"/>
      <c r="B664" s="29"/>
      <c r="C664" s="655"/>
      <c r="D664" s="667"/>
      <c r="E664" s="667"/>
      <c r="F664" s="571" t="s">
        <v>221</v>
      </c>
      <c r="G664" s="80">
        <f t="shared" ref="G664:H665" si="133">G669+G674</f>
        <v>0</v>
      </c>
      <c r="H664" s="80">
        <f t="shared" si="133"/>
        <v>0</v>
      </c>
      <c r="I664" s="381" t="str">
        <f t="shared" ref="I664:I665" si="134">IF(G664&gt;0,H664/G664*100,"-")</f>
        <v>-</v>
      </c>
      <c r="J664" s="80">
        <f t="shared" si="132"/>
        <v>0</v>
      </c>
      <c r="K664" s="80">
        <f t="shared" si="132"/>
        <v>0</v>
      </c>
      <c r="L664" s="34">
        <f t="shared" si="132"/>
        <v>0</v>
      </c>
      <c r="M664" s="33" t="str">
        <f t="shared" ref="M664:M665" si="135">IF(K664&gt;0,L664/K664*100,"-")</f>
        <v>-</v>
      </c>
      <c r="N664" s="790"/>
    </row>
    <row r="665" spans="1:14" s="40" customFormat="1" ht="23.25" customHeight="1" outlineLevel="1">
      <c r="A665" s="660"/>
      <c r="B665" s="29"/>
      <c r="C665" s="655"/>
      <c r="D665" s="667"/>
      <c r="E665" s="667"/>
      <c r="F665" s="571" t="s">
        <v>23</v>
      </c>
      <c r="G665" s="80">
        <f t="shared" si="133"/>
        <v>0</v>
      </c>
      <c r="H665" s="80">
        <f t="shared" si="133"/>
        <v>0</v>
      </c>
      <c r="I665" s="381" t="str">
        <f t="shared" si="134"/>
        <v>-</v>
      </c>
      <c r="J665" s="80">
        <f t="shared" si="132"/>
        <v>0</v>
      </c>
      <c r="K665" s="80">
        <f t="shared" si="132"/>
        <v>0</v>
      </c>
      <c r="L665" s="34">
        <f t="shared" si="132"/>
        <v>0</v>
      </c>
      <c r="M665" s="33" t="str">
        <f t="shared" si="135"/>
        <v>-</v>
      </c>
      <c r="N665" s="790"/>
    </row>
    <row r="666" spans="1:14" s="40" customFormat="1" outlineLevel="1">
      <c r="A666" s="632"/>
      <c r="B666" s="29" t="s">
        <v>298</v>
      </c>
      <c r="C666" s="586" t="s">
        <v>258</v>
      </c>
      <c r="D666" s="667"/>
      <c r="E666" s="633"/>
      <c r="F666" s="594"/>
      <c r="G666" s="80"/>
      <c r="H666" s="80"/>
      <c r="I666" s="381"/>
      <c r="J666" s="80"/>
      <c r="K666" s="80"/>
      <c r="L666" s="34"/>
      <c r="M666" s="33"/>
      <c r="N666" s="790"/>
    </row>
    <row r="667" spans="1:14" s="40" customFormat="1" ht="12.75" customHeight="1" outlineLevel="1">
      <c r="A667" s="632"/>
      <c r="B667" s="29"/>
      <c r="C667" s="586"/>
      <c r="D667" s="633"/>
      <c r="E667" s="633"/>
      <c r="F667" s="594"/>
      <c r="G667" s="380"/>
      <c r="H667" s="380"/>
      <c r="I667" s="595"/>
      <c r="J667" s="380"/>
      <c r="K667" s="80"/>
      <c r="L667" s="363"/>
      <c r="M667" s="33"/>
      <c r="N667" s="790"/>
    </row>
    <row r="668" spans="1:14" s="40" customFormat="1" ht="10.5" customHeight="1" outlineLevel="1">
      <c r="A668" s="632"/>
      <c r="B668" s="29"/>
      <c r="C668" s="586"/>
      <c r="D668" s="633"/>
      <c r="E668" s="674" t="s">
        <v>299</v>
      </c>
      <c r="F668" s="596" t="s">
        <v>18</v>
      </c>
      <c r="G668" s="544">
        <v>18771741</v>
      </c>
      <c r="H668" s="544">
        <f>ROUNDUP(4263349+L668,0)</f>
        <v>7469636</v>
      </c>
      <c r="I668" s="597">
        <f>IF(G668&gt;0,H668/G668*100,"-")</f>
        <v>39.791919140584774</v>
      </c>
      <c r="J668" s="544">
        <v>3820000</v>
      </c>
      <c r="K668" s="544">
        <v>4057968</v>
      </c>
      <c r="L668" s="546">
        <v>3206286.77</v>
      </c>
      <c r="M668" s="545">
        <f>IF(K668&gt;0,L668/K668*100,"-")</f>
        <v>79.012125526864679</v>
      </c>
      <c r="N668" s="790"/>
    </row>
    <row r="669" spans="1:14" s="40" customFormat="1" ht="10.5" customHeight="1" outlineLevel="1">
      <c r="A669" s="632"/>
      <c r="B669" s="29"/>
      <c r="C669" s="586"/>
      <c r="D669" s="633"/>
      <c r="E669" s="674"/>
      <c r="F669" s="596" t="s">
        <v>221</v>
      </c>
      <c r="G669" s="544">
        <v>0</v>
      </c>
      <c r="H669" s="544">
        <f>ROUNDUP(0+L669,0)</f>
        <v>0</v>
      </c>
      <c r="I669" s="597" t="str">
        <f t="shared" ref="I669:I670" si="136">IF(G669&gt;0,H669/G669*100,"-")</f>
        <v>-</v>
      </c>
      <c r="J669" s="544">
        <v>0</v>
      </c>
      <c r="K669" s="544">
        <v>0</v>
      </c>
      <c r="L669" s="547">
        <v>0</v>
      </c>
      <c r="M669" s="545" t="str">
        <f t="shared" ref="M669:M670" si="137">IF(K669&gt;0,L669/K669*100,"-")</f>
        <v>-</v>
      </c>
      <c r="N669" s="790"/>
    </row>
    <row r="670" spans="1:14" s="40" customFormat="1" ht="10.5" customHeight="1" outlineLevel="1">
      <c r="A670" s="632"/>
      <c r="B670" s="29"/>
      <c r="C670" s="586"/>
      <c r="D670" s="633"/>
      <c r="E670" s="674"/>
      <c r="F670" s="596" t="s">
        <v>23</v>
      </c>
      <c r="G670" s="544">
        <v>0</v>
      </c>
      <c r="H670" s="544">
        <f>ROUNDUP(0+L670,0)</f>
        <v>0</v>
      </c>
      <c r="I670" s="597" t="str">
        <f t="shared" si="136"/>
        <v>-</v>
      </c>
      <c r="J670" s="544">
        <v>0</v>
      </c>
      <c r="K670" s="544">
        <v>0</v>
      </c>
      <c r="L670" s="547">
        <v>0</v>
      </c>
      <c r="M670" s="545" t="str">
        <f t="shared" si="137"/>
        <v>-</v>
      </c>
      <c r="N670" s="790"/>
    </row>
    <row r="671" spans="1:14" s="40" customFormat="1" ht="6.75" customHeight="1" outlineLevel="1">
      <c r="A671" s="632"/>
      <c r="B671" s="29"/>
      <c r="C671" s="586"/>
      <c r="D671" s="598"/>
      <c r="E671" s="674"/>
      <c r="F671" s="599"/>
      <c r="G671" s="544"/>
      <c r="H671" s="544"/>
      <c r="I671" s="597"/>
      <c r="J671" s="544"/>
      <c r="K671" s="544"/>
      <c r="L671" s="547"/>
      <c r="M671" s="545"/>
      <c r="N671" s="790"/>
    </row>
    <row r="672" spans="1:14" s="40" customFormat="1" ht="11.25" customHeight="1" outlineLevel="1">
      <c r="A672" s="632"/>
      <c r="B672" s="29"/>
      <c r="C672" s="586"/>
      <c r="D672" s="681"/>
      <c r="E672" s="600"/>
      <c r="F672" s="599"/>
      <c r="G672" s="550"/>
      <c r="H672" s="550"/>
      <c r="I672" s="601"/>
      <c r="J672" s="550"/>
      <c r="K672" s="544"/>
      <c r="L672" s="547"/>
      <c r="M672" s="545"/>
      <c r="N672" s="790"/>
    </row>
    <row r="673" spans="1:14" s="40" customFormat="1" ht="10.5" customHeight="1" outlineLevel="1">
      <c r="A673" s="632"/>
      <c r="B673" s="29"/>
      <c r="C673" s="586"/>
      <c r="D673" s="681"/>
      <c r="E673" s="791" t="s">
        <v>234</v>
      </c>
      <c r="F673" s="596" t="s">
        <v>18</v>
      </c>
      <c r="G673" s="544">
        <v>550000</v>
      </c>
      <c r="H673" s="544">
        <f>ROUNDUP(0+L673,0)</f>
        <v>550000</v>
      </c>
      <c r="I673" s="597">
        <f>IF(G673&gt;0,H673/G673*100,"-")</f>
        <v>100</v>
      </c>
      <c r="J673" s="544">
        <v>0</v>
      </c>
      <c r="K673" s="544">
        <v>550000</v>
      </c>
      <c r="L673" s="546">
        <v>550000</v>
      </c>
      <c r="M673" s="545">
        <f>IF(K673&gt;0,L673/K673*100,"-")</f>
        <v>100</v>
      </c>
      <c r="N673" s="790"/>
    </row>
    <row r="674" spans="1:14" s="40" customFormat="1" ht="10.5" customHeight="1" outlineLevel="1">
      <c r="A674" s="632"/>
      <c r="B674" s="29"/>
      <c r="C674" s="586"/>
      <c r="D674" s="681"/>
      <c r="E674" s="791"/>
      <c r="F674" s="596" t="s">
        <v>221</v>
      </c>
      <c r="G674" s="544">
        <v>0</v>
      </c>
      <c r="H674" s="544">
        <f>ROUNDUP(0+L674,0)</f>
        <v>0</v>
      </c>
      <c r="I674" s="597" t="str">
        <f t="shared" ref="I674:I675" si="138">IF(G674&gt;0,H674/G674*100,"-")</f>
        <v>-</v>
      </c>
      <c r="J674" s="544">
        <v>0</v>
      </c>
      <c r="K674" s="544">
        <v>0</v>
      </c>
      <c r="L674" s="547">
        <v>0</v>
      </c>
      <c r="M674" s="545" t="str">
        <f t="shared" ref="M674:M675" si="139">IF(K674&gt;0,L674/K674*100,"-")</f>
        <v>-</v>
      </c>
      <c r="N674" s="790"/>
    </row>
    <row r="675" spans="1:14" s="40" customFormat="1" ht="10.5" customHeight="1" outlineLevel="1">
      <c r="A675" s="632"/>
      <c r="B675" s="29"/>
      <c r="C675" s="586"/>
      <c r="D675" s="681"/>
      <c r="E675" s="791"/>
      <c r="F675" s="596" t="s">
        <v>23</v>
      </c>
      <c r="G675" s="544">
        <v>0</v>
      </c>
      <c r="H675" s="544">
        <f>ROUNDUP(0+L675,0)</f>
        <v>0</v>
      </c>
      <c r="I675" s="597" t="str">
        <f t="shared" si="138"/>
        <v>-</v>
      </c>
      <c r="J675" s="544">
        <v>0</v>
      </c>
      <c r="K675" s="544">
        <v>0</v>
      </c>
      <c r="L675" s="547">
        <v>0</v>
      </c>
      <c r="M675" s="545" t="str">
        <f t="shared" si="139"/>
        <v>-</v>
      </c>
      <c r="N675" s="790"/>
    </row>
    <row r="676" spans="1:14" s="40" customFormat="1" ht="3.75" customHeight="1" outlineLevel="1">
      <c r="A676" s="632"/>
      <c r="B676" s="29"/>
      <c r="C676" s="586"/>
      <c r="D676" s="681"/>
      <c r="E676" s="791"/>
      <c r="F676" s="599"/>
      <c r="G676" s="544"/>
      <c r="H676" s="544"/>
      <c r="I676" s="597"/>
      <c r="J676" s="544"/>
      <c r="K676" s="544"/>
      <c r="L676" s="547"/>
      <c r="M676" s="545"/>
      <c r="N676" s="790"/>
    </row>
    <row r="677" spans="1:14" s="40" customFormat="1" ht="3.95" customHeight="1" outlineLevel="1">
      <c r="A677" s="632"/>
      <c r="B677" s="36"/>
      <c r="C677" s="602"/>
      <c r="D677" s="681"/>
      <c r="E677" s="603"/>
      <c r="F677" s="375"/>
      <c r="G677" s="538"/>
      <c r="H677" s="538"/>
      <c r="I677" s="375"/>
      <c r="J677" s="538"/>
      <c r="K677" s="392"/>
      <c r="L677" s="362"/>
      <c r="M677" s="38"/>
      <c r="N677" s="604"/>
    </row>
    <row r="678" spans="1:14" s="40" customFormat="1" ht="0.75" customHeight="1">
      <c r="A678" s="437"/>
      <c r="B678" s="605"/>
      <c r="C678" s="606"/>
      <c r="D678" s="437"/>
      <c r="E678" s="437"/>
      <c r="F678" s="605"/>
      <c r="G678" s="607"/>
      <c r="H678" s="607"/>
      <c r="I678" s="605"/>
      <c r="J678" s="607"/>
      <c r="K678" s="608"/>
      <c r="L678" s="609"/>
      <c r="M678" s="610"/>
      <c r="N678" s="611"/>
    </row>
    <row r="679" spans="1:14" s="40" customFormat="1" ht="3.95" customHeight="1">
      <c r="A679" s="652"/>
      <c r="B679" s="651"/>
      <c r="C679" s="612"/>
      <c r="D679" s="652"/>
      <c r="E679" s="652"/>
      <c r="F679" s="651"/>
      <c r="G679" s="613"/>
      <c r="H679" s="613"/>
      <c r="I679" s="651"/>
      <c r="J679" s="613"/>
      <c r="K679" s="535"/>
      <c r="L679" s="614"/>
      <c r="M679" s="653"/>
      <c r="N679" s="521"/>
    </row>
    <row r="680" spans="1:14" s="40" customFormat="1" ht="11.25" customHeight="1">
      <c r="A680" s="5" t="s">
        <v>130</v>
      </c>
      <c r="B680" s="658" t="s">
        <v>300</v>
      </c>
      <c r="C680" s="659"/>
      <c r="D680" s="6"/>
      <c r="E680" s="6"/>
      <c r="F680" s="7"/>
      <c r="G680" s="73">
        <f>SUM(G681:G684)</f>
        <v>34282064</v>
      </c>
      <c r="H680" s="73">
        <f>SUM(H681:H684)</f>
        <v>30081985</v>
      </c>
      <c r="I680" s="9">
        <f>IF(G680&gt;0,H680/G680*100,"-")</f>
        <v>87.748465203261972</v>
      </c>
      <c r="J680" s="73">
        <f>SUM(J681:J684)</f>
        <v>3628000</v>
      </c>
      <c r="K680" s="73">
        <f>SUM(K681:K684)</f>
        <v>3628000</v>
      </c>
      <c r="L680" s="8">
        <f>SUM(L681:L684)</f>
        <v>1335920.07</v>
      </c>
      <c r="M680" s="9">
        <f>IF(K680&gt;0,L680/K680*100,"-")</f>
        <v>36.822493660418964</v>
      </c>
      <c r="N680" s="521"/>
    </row>
    <row r="681" spans="1:14" s="40" customFormat="1" ht="11.25" customHeight="1">
      <c r="A681" s="7"/>
      <c r="B681" s="10"/>
      <c r="C681" s="522"/>
      <c r="D681" s="6"/>
      <c r="E681" s="6"/>
      <c r="F681" s="11" t="s">
        <v>18</v>
      </c>
      <c r="G681" s="74">
        <f t="shared" ref="G681:H683" si="140">G695+G688</f>
        <v>34282064</v>
      </c>
      <c r="H681" s="74">
        <f t="shared" si="140"/>
        <v>30081985</v>
      </c>
      <c r="I681" s="13">
        <f>IF(G681&gt;0,H681/G681*100,"-")</f>
        <v>87.748465203261972</v>
      </c>
      <c r="J681" s="74">
        <f t="shared" ref="J681:L683" si="141">J695+J688</f>
        <v>3628000</v>
      </c>
      <c r="K681" s="74">
        <f t="shared" si="141"/>
        <v>3628000</v>
      </c>
      <c r="L681" s="12">
        <f t="shared" si="141"/>
        <v>1335920.07</v>
      </c>
      <c r="M681" s="13">
        <f>IF(K681&gt;0,L681/K681*100,"-")</f>
        <v>36.822493660418964</v>
      </c>
      <c r="N681" s="521"/>
    </row>
    <row r="682" spans="1:14" s="40" customFormat="1" ht="11.25" customHeight="1">
      <c r="A682" s="7"/>
      <c r="B682" s="10"/>
      <c r="C682" s="522"/>
      <c r="D682" s="6"/>
      <c r="E682" s="6"/>
      <c r="F682" s="11" t="s">
        <v>221</v>
      </c>
      <c r="G682" s="74">
        <f t="shared" si="140"/>
        <v>0</v>
      </c>
      <c r="H682" s="74">
        <f t="shared" si="140"/>
        <v>0</v>
      </c>
      <c r="I682" s="13" t="str">
        <f t="shared" ref="I682:I683" si="142">IF(G682&gt;0,H682/G682*100,"-")</f>
        <v>-</v>
      </c>
      <c r="J682" s="74">
        <f t="shared" si="141"/>
        <v>0</v>
      </c>
      <c r="K682" s="74">
        <f t="shared" si="141"/>
        <v>0</v>
      </c>
      <c r="L682" s="12">
        <f t="shared" si="141"/>
        <v>0</v>
      </c>
      <c r="M682" s="13" t="str">
        <f t="shared" ref="M682:M683" si="143">IF(K682&gt;0,L682/K682*100,"-")</f>
        <v>-</v>
      </c>
      <c r="N682" s="521"/>
    </row>
    <row r="683" spans="1:14" s="40" customFormat="1" ht="11.25" customHeight="1">
      <c r="A683" s="7"/>
      <c r="B683" s="10"/>
      <c r="C683" s="522"/>
      <c r="D683" s="6"/>
      <c r="E683" s="6"/>
      <c r="F683" s="11" t="s">
        <v>23</v>
      </c>
      <c r="G683" s="74">
        <f t="shared" si="140"/>
        <v>0</v>
      </c>
      <c r="H683" s="74">
        <f t="shared" si="140"/>
        <v>0</v>
      </c>
      <c r="I683" s="13" t="str">
        <f t="shared" si="142"/>
        <v>-</v>
      </c>
      <c r="J683" s="74">
        <f t="shared" si="141"/>
        <v>0</v>
      </c>
      <c r="K683" s="74">
        <f t="shared" si="141"/>
        <v>0</v>
      </c>
      <c r="L683" s="12">
        <f t="shared" si="141"/>
        <v>0</v>
      </c>
      <c r="M683" s="13" t="str">
        <f t="shared" si="143"/>
        <v>-</v>
      </c>
      <c r="N683" s="521"/>
    </row>
    <row r="684" spans="1:14" s="40" customFormat="1" ht="11.25" customHeight="1">
      <c r="A684" s="7"/>
      <c r="B684" s="10"/>
      <c r="C684" s="522"/>
      <c r="D684" s="6"/>
      <c r="E684" s="6"/>
      <c r="F684" s="11"/>
      <c r="G684" s="74"/>
      <c r="H684" s="74"/>
      <c r="I684" s="13"/>
      <c r="J684" s="74"/>
      <c r="K684" s="74"/>
      <c r="L684" s="12"/>
      <c r="M684" s="13"/>
      <c r="N684" s="521"/>
    </row>
    <row r="685" spans="1:14" s="40" customFormat="1" ht="3.95" customHeight="1">
      <c r="A685" s="20"/>
      <c r="B685" s="21"/>
      <c r="C685" s="523"/>
      <c r="D685" s="22"/>
      <c r="E685" s="22"/>
      <c r="F685" s="20"/>
      <c r="G685" s="75"/>
      <c r="H685" s="75"/>
      <c r="I685" s="24"/>
      <c r="J685" s="75"/>
      <c r="K685" s="75"/>
      <c r="L685" s="23"/>
      <c r="M685" s="24"/>
      <c r="N685" s="524"/>
    </row>
    <row r="686" spans="1:14" s="40" customFormat="1" ht="3.95" customHeight="1" outlineLevel="1">
      <c r="A686" s="434"/>
      <c r="B686" s="26"/>
      <c r="C686" s="525"/>
      <c r="D686" s="639"/>
      <c r="E686" s="639"/>
      <c r="F686" s="26"/>
      <c r="G686" s="77"/>
      <c r="H686" s="77"/>
      <c r="I686" s="28"/>
      <c r="J686" s="77"/>
      <c r="K686" s="76"/>
      <c r="L686" s="407"/>
      <c r="M686" s="28"/>
      <c r="N686" s="555"/>
    </row>
    <row r="687" spans="1:14" s="40" customFormat="1" ht="24" customHeight="1" outlineLevel="1">
      <c r="A687" s="660" t="s">
        <v>329</v>
      </c>
      <c r="B687" s="29" t="s">
        <v>29</v>
      </c>
      <c r="C687" s="527" t="s">
        <v>302</v>
      </c>
      <c r="D687" s="661" t="s">
        <v>245</v>
      </c>
      <c r="E687" s="662" t="s">
        <v>303</v>
      </c>
      <c r="F687" s="30" t="s">
        <v>30</v>
      </c>
      <c r="G687" s="83">
        <f>SUM(G688:G691)</f>
        <v>25189473</v>
      </c>
      <c r="H687" s="83">
        <f>SUM(H688:H691)</f>
        <v>23023014</v>
      </c>
      <c r="I687" s="379">
        <f>IF(G687&gt;0,H687/G687*100,"-")</f>
        <v>91.399347656062517</v>
      </c>
      <c r="J687" s="83">
        <f>SUM(J688:J691)</f>
        <v>1628000</v>
      </c>
      <c r="K687" s="83">
        <f>SUM(K688:K691)</f>
        <v>1628000</v>
      </c>
      <c r="L687" s="568">
        <f>SUM(L688:L691)</f>
        <v>369540.07</v>
      </c>
      <c r="M687" s="569">
        <f>IF(K687&gt;0,L687/K687*100,"-")</f>
        <v>22.699021498771501</v>
      </c>
      <c r="N687" s="663" t="s">
        <v>439</v>
      </c>
    </row>
    <row r="688" spans="1:14" s="40" customFormat="1" outlineLevel="1">
      <c r="A688" s="660"/>
      <c r="B688" s="29" t="s">
        <v>24</v>
      </c>
      <c r="C688" s="657" t="s">
        <v>548</v>
      </c>
      <c r="D688" s="661"/>
      <c r="E688" s="662"/>
      <c r="F688" s="31" t="s">
        <v>18</v>
      </c>
      <c r="G688" s="79">
        <v>25189473</v>
      </c>
      <c r="H688" s="80">
        <f>ROUNDUP(22653473+L688,0)</f>
        <v>23023014</v>
      </c>
      <c r="I688" s="33">
        <f>IF(G688&gt;0,H688/G688*100,"-")</f>
        <v>91.399347656062517</v>
      </c>
      <c r="J688" s="79">
        <v>1628000</v>
      </c>
      <c r="K688" s="79">
        <v>1628000</v>
      </c>
      <c r="L688" s="34">
        <v>369540.07</v>
      </c>
      <c r="M688" s="33">
        <f>IF(K688&gt;0,L688/K688*100,"-")</f>
        <v>22.699021498771501</v>
      </c>
      <c r="N688" s="663"/>
    </row>
    <row r="689" spans="1:14" s="40" customFormat="1" ht="11.1" customHeight="1" outlineLevel="1">
      <c r="A689" s="660"/>
      <c r="B689" s="29"/>
      <c r="C689" s="657"/>
      <c r="D689" s="661"/>
      <c r="E689" s="662"/>
      <c r="F689" s="31" t="s">
        <v>221</v>
      </c>
      <c r="G689" s="79">
        <v>0</v>
      </c>
      <c r="H689" s="79">
        <f>ROUNDUP(0+L689,0)</f>
        <v>0</v>
      </c>
      <c r="I689" s="33" t="str">
        <f t="shared" ref="I689:I690" si="144">IF(G689&gt;0,H689/G689*100,"-")</f>
        <v>-</v>
      </c>
      <c r="J689" s="79">
        <v>0</v>
      </c>
      <c r="K689" s="79">
        <v>0</v>
      </c>
      <c r="L689" s="363">
        <v>0</v>
      </c>
      <c r="M689" s="33" t="str">
        <f t="shared" ref="M689:M690" si="145">IF(K689&gt;0,L689/K689*100,"-")</f>
        <v>-</v>
      </c>
      <c r="N689" s="663"/>
    </row>
    <row r="690" spans="1:14" s="40" customFormat="1" ht="11.1" customHeight="1" outlineLevel="1">
      <c r="A690" s="660"/>
      <c r="B690" s="29"/>
      <c r="C690" s="657"/>
      <c r="D690" s="661"/>
      <c r="E690" s="662"/>
      <c r="F690" s="31" t="s">
        <v>23</v>
      </c>
      <c r="G690" s="79">
        <v>0</v>
      </c>
      <c r="H690" s="79">
        <f>ROUNDUP(0+L690,0)</f>
        <v>0</v>
      </c>
      <c r="I690" s="33" t="str">
        <f t="shared" si="144"/>
        <v>-</v>
      </c>
      <c r="J690" s="79">
        <v>0</v>
      </c>
      <c r="K690" s="79">
        <v>0</v>
      </c>
      <c r="L690" s="363">
        <v>0</v>
      </c>
      <c r="M690" s="33" t="str">
        <f t="shared" si="145"/>
        <v>-</v>
      </c>
      <c r="N690" s="663"/>
    </row>
    <row r="691" spans="1:14" s="40" customFormat="1" ht="11.1" customHeight="1" outlineLevel="1">
      <c r="A691" s="632"/>
      <c r="B691" s="29"/>
      <c r="C691" s="657"/>
      <c r="D691" s="661"/>
      <c r="E691" s="662"/>
      <c r="F691" s="53"/>
      <c r="G691" s="79"/>
      <c r="H691" s="79"/>
      <c r="I691" s="33"/>
      <c r="J691" s="79"/>
      <c r="K691" s="79"/>
      <c r="L691" s="363"/>
      <c r="M691" s="33"/>
      <c r="N691" s="663"/>
    </row>
    <row r="692" spans="1:14" s="40" customFormat="1" ht="3.95" customHeight="1" outlineLevel="1">
      <c r="A692" s="62"/>
      <c r="B692" s="36"/>
      <c r="C692" s="615"/>
      <c r="D692" s="638"/>
      <c r="E692" s="638"/>
      <c r="F692" s="36"/>
      <c r="G692" s="137"/>
      <c r="H692" s="137"/>
      <c r="I692" s="36"/>
      <c r="J692" s="137"/>
      <c r="K692" s="81"/>
      <c r="L692" s="37"/>
      <c r="M692" s="616"/>
      <c r="N692" s="530"/>
    </row>
    <row r="693" spans="1:14" s="40" customFormat="1" ht="3.95" customHeight="1" outlineLevel="1">
      <c r="A693" s="434"/>
      <c r="B693" s="26"/>
      <c r="C693" s="525"/>
      <c r="D693" s="639"/>
      <c r="E693" s="639"/>
      <c r="F693" s="26"/>
      <c r="G693" s="77"/>
      <c r="H693" s="77"/>
      <c r="I693" s="28"/>
      <c r="J693" s="77"/>
      <c r="K693" s="76"/>
      <c r="L693" s="407"/>
      <c r="M693" s="28"/>
      <c r="N693" s="555"/>
    </row>
    <row r="694" spans="1:14" s="40" customFormat="1" ht="11.1" customHeight="1" outlineLevel="1">
      <c r="A694" s="660" t="s">
        <v>331</v>
      </c>
      <c r="B694" s="29" t="s">
        <v>29</v>
      </c>
      <c r="C694" s="527" t="s">
        <v>305</v>
      </c>
      <c r="D694" s="661" t="s">
        <v>245</v>
      </c>
      <c r="E694" s="662" t="s">
        <v>306</v>
      </c>
      <c r="F694" s="30" t="s">
        <v>30</v>
      </c>
      <c r="G694" s="83">
        <f>SUM(G695:G698)</f>
        <v>9092591</v>
      </c>
      <c r="H694" s="83">
        <f>SUM(H695:H698)</f>
        <v>7058971</v>
      </c>
      <c r="I694" s="379">
        <f>IF(G694&gt;0,H694/G694*100,"-")</f>
        <v>77.634317874849984</v>
      </c>
      <c r="J694" s="83">
        <f>SUM(J695:J698)</f>
        <v>2000000</v>
      </c>
      <c r="K694" s="83">
        <f>SUM(K695:K698)</f>
        <v>2000000</v>
      </c>
      <c r="L694" s="568">
        <f>SUM(L695:L698)</f>
        <v>966380</v>
      </c>
      <c r="M694" s="569">
        <f>IF(K694&gt;0,L694/K694*100,"-")</f>
        <v>48.319000000000003</v>
      </c>
      <c r="N694" s="663" t="s">
        <v>440</v>
      </c>
    </row>
    <row r="695" spans="1:14" s="40" customFormat="1" outlineLevel="1">
      <c r="A695" s="660"/>
      <c r="B695" s="29" t="s">
        <v>24</v>
      </c>
      <c r="C695" s="528" t="s">
        <v>278</v>
      </c>
      <c r="D695" s="661"/>
      <c r="E695" s="662"/>
      <c r="F695" s="31" t="s">
        <v>18</v>
      </c>
      <c r="G695" s="79">
        <v>9092591</v>
      </c>
      <c r="H695" s="79">
        <f>ROUNDUP(6092591+L695,0)</f>
        <v>7058971</v>
      </c>
      <c r="I695" s="33">
        <f>IF(G695&gt;0,H695/G695*100,"-")</f>
        <v>77.634317874849984</v>
      </c>
      <c r="J695" s="79">
        <v>2000000</v>
      </c>
      <c r="K695" s="79">
        <v>2000000</v>
      </c>
      <c r="L695" s="34">
        <v>966380</v>
      </c>
      <c r="M695" s="33">
        <f>IF(K695&gt;0,L695/K695*100,"-")</f>
        <v>48.319000000000003</v>
      </c>
      <c r="N695" s="663"/>
    </row>
    <row r="696" spans="1:14" s="40" customFormat="1" ht="11.1" customHeight="1" outlineLevel="1">
      <c r="A696" s="660"/>
      <c r="B696" s="29"/>
      <c r="C696" s="528"/>
      <c r="D696" s="661"/>
      <c r="E696" s="662"/>
      <c r="F696" s="31" t="s">
        <v>221</v>
      </c>
      <c r="G696" s="79">
        <v>0</v>
      </c>
      <c r="H696" s="79">
        <f>ROUNDUP(0+L696,0)</f>
        <v>0</v>
      </c>
      <c r="I696" s="33" t="str">
        <f t="shared" ref="I696:I697" si="146">IF(G696&gt;0,H696/G696*100,"-")</f>
        <v>-</v>
      </c>
      <c r="J696" s="79">
        <v>0</v>
      </c>
      <c r="K696" s="79">
        <v>0</v>
      </c>
      <c r="L696" s="363">
        <v>0</v>
      </c>
      <c r="M696" s="33" t="str">
        <f t="shared" ref="M696:M697" si="147">IF(K696&gt;0,L696/K696*100,"-")</f>
        <v>-</v>
      </c>
      <c r="N696" s="663"/>
    </row>
    <row r="697" spans="1:14" s="40" customFormat="1" ht="11.1" customHeight="1" outlineLevel="1">
      <c r="A697" s="660"/>
      <c r="B697" s="29"/>
      <c r="C697" s="528"/>
      <c r="D697" s="661"/>
      <c r="E697" s="662"/>
      <c r="F697" s="31" t="s">
        <v>23</v>
      </c>
      <c r="G697" s="79">
        <v>0</v>
      </c>
      <c r="H697" s="79">
        <f>ROUNDUP(0+L697,0)</f>
        <v>0</v>
      </c>
      <c r="I697" s="33" t="str">
        <f t="shared" si="146"/>
        <v>-</v>
      </c>
      <c r="J697" s="79">
        <v>0</v>
      </c>
      <c r="K697" s="79">
        <v>0</v>
      </c>
      <c r="L697" s="363">
        <v>0</v>
      </c>
      <c r="M697" s="33" t="str">
        <f t="shared" si="147"/>
        <v>-</v>
      </c>
      <c r="N697" s="663"/>
    </row>
    <row r="698" spans="1:14" s="40" customFormat="1" ht="11.1" customHeight="1" outlineLevel="1">
      <c r="A698" s="632"/>
      <c r="B698" s="29"/>
      <c r="C698" s="528"/>
      <c r="D698" s="661"/>
      <c r="E698" s="662"/>
      <c r="F698" s="53"/>
      <c r="G698" s="79"/>
      <c r="H698" s="79"/>
      <c r="I698" s="33"/>
      <c r="J698" s="79"/>
      <c r="K698" s="79"/>
      <c r="L698" s="363"/>
      <c r="M698" s="33"/>
      <c r="N698" s="663"/>
    </row>
    <row r="699" spans="1:14" s="40" customFormat="1" ht="3.95" customHeight="1" outlineLevel="1">
      <c r="A699" s="62"/>
      <c r="B699" s="36"/>
      <c r="C699" s="615"/>
      <c r="D699" s="638"/>
      <c r="E699" s="638"/>
      <c r="F699" s="36"/>
      <c r="G699" s="137"/>
      <c r="H699" s="137"/>
      <c r="I699" s="36"/>
      <c r="J699" s="137"/>
      <c r="K699" s="81"/>
      <c r="L699" s="37"/>
      <c r="M699" s="616"/>
      <c r="N699" s="530"/>
    </row>
    <row r="700" spans="1:14" s="40" customFormat="1" ht="3.95" customHeight="1">
      <c r="A700" s="437"/>
      <c r="B700" s="605"/>
      <c r="C700" s="606"/>
      <c r="D700" s="437"/>
      <c r="E700" s="437"/>
      <c r="F700" s="605"/>
      <c r="G700" s="607"/>
      <c r="H700" s="607"/>
      <c r="I700" s="605"/>
      <c r="J700" s="607"/>
      <c r="K700" s="608"/>
      <c r="L700" s="609"/>
      <c r="M700" s="610"/>
      <c r="N700" s="520"/>
    </row>
    <row r="701" spans="1:14" s="40" customFormat="1" ht="11.25" customHeight="1">
      <c r="A701" s="5" t="s">
        <v>133</v>
      </c>
      <c r="B701" s="658" t="s">
        <v>307</v>
      </c>
      <c r="C701" s="659"/>
      <c r="D701" s="6"/>
      <c r="E701" s="6"/>
      <c r="F701" s="7"/>
      <c r="G701" s="73">
        <f>SUM(G702:G705)</f>
        <v>83152311</v>
      </c>
      <c r="H701" s="73">
        <f>SUM(H702:H705)</f>
        <v>15099688</v>
      </c>
      <c r="I701" s="9">
        <f>IF(G701&gt;0,H701/G701*100,"-")</f>
        <v>18.159071970952194</v>
      </c>
      <c r="J701" s="73">
        <f>SUM(J702:J705)</f>
        <v>9523052</v>
      </c>
      <c r="K701" s="73">
        <f>SUM(K702:K705)</f>
        <v>11270589</v>
      </c>
      <c r="L701" s="8">
        <f>SUM(L702:L705)</f>
        <v>11026836.279999997</v>
      </c>
      <c r="M701" s="9">
        <f>IF(K701&gt;0,L701/K701*100,"-")</f>
        <v>97.837267244861806</v>
      </c>
      <c r="N701" s="521"/>
    </row>
    <row r="702" spans="1:14" s="40" customFormat="1" ht="11.25" customHeight="1">
      <c r="A702" s="7"/>
      <c r="B702" s="10"/>
      <c r="C702" s="522"/>
      <c r="D702" s="6"/>
      <c r="E702" s="6"/>
      <c r="F702" s="11" t="s">
        <v>18</v>
      </c>
      <c r="G702" s="74">
        <f>G709+G726+G733+G740+G747+G754+G761+G768+G775+G782+G789+G796+G803+G810+G817+G824+G831+G838+G845+G852+G859+G866+G873+G880+G887+G894+G901</f>
        <v>80028691</v>
      </c>
      <c r="H702" s="74">
        <f>H709+H726+H733+H740+H747+H754+H761+H768+H775+H782+H789+H796+H803+H810+H817+H824+H831+H838+H845+H852+H859+H866+H873+H880+H887+H894+H901</f>
        <v>12375620</v>
      </c>
      <c r="I702" s="13">
        <f>IF(G702&gt;0,H702/G702*100,"-")</f>
        <v>15.46397903721804</v>
      </c>
      <c r="J702" s="74">
        <f>J709+J726+J733+J740+J747+J754+J761+J768+J775+J782+J789+J796+J803+J810+J817+J824+J831+J838+J845+J852+J859+J866+J873+J880+J887+J894+J901</f>
        <v>9423500</v>
      </c>
      <c r="K702" s="74">
        <f>K709+K726+K733+K740+K747+K754+K761+K768+K775+K782+K789+K796+K803+K810+K817+K824+K831+K838+K845+K852+K859+K866+K873+K880+K887+K894+K901</f>
        <v>8446969</v>
      </c>
      <c r="L702" s="12">
        <f>L709+L726+L733+L740+L747+L754+L761+L768+L775+L782+L789+L796+L803+L810+L817+L824+L831+L838+L845+L852+L859+L866+L873+L880+L887+L894+L901</f>
        <v>8302768.2799999975</v>
      </c>
      <c r="M702" s="13">
        <f>IF(K702&gt;0,L702/K702*100,"-")</f>
        <v>98.292870259142632</v>
      </c>
      <c r="N702" s="521"/>
    </row>
    <row r="703" spans="1:14" s="40" customFormat="1" ht="11.25" customHeight="1">
      <c r="A703" s="7"/>
      <c r="B703" s="10"/>
      <c r="C703" s="522"/>
      <c r="D703" s="6"/>
      <c r="E703" s="6"/>
      <c r="F703" s="11" t="s">
        <v>221</v>
      </c>
      <c r="G703" s="74">
        <f t="shared" ref="G703:H704" si="148">G710+G727+G734+G741+G748+G755+G762+G769+G776+G783+G790+G797+G804+G811+G818+G825+G832+G839+G846+G853+G860+G867+G874+G881+G888+G895+G902</f>
        <v>2549068</v>
      </c>
      <c r="H703" s="74">
        <f t="shared" si="148"/>
        <v>2549068</v>
      </c>
      <c r="I703" s="13">
        <f t="shared" ref="I703:I704" si="149">IF(G703&gt;0,H703/G703*100,"-")</f>
        <v>100</v>
      </c>
      <c r="J703" s="74">
        <f t="shared" ref="J703:L704" si="150">J710+J727+J734+J741+J748+J755+J762+J769+J776+J783+J790+J797+J804+J811+J818+J825+J832+J839+J846+J853+J860+J867+J874+J881+J888+J895+J902</f>
        <v>0</v>
      </c>
      <c r="K703" s="74">
        <f t="shared" si="150"/>
        <v>2549068</v>
      </c>
      <c r="L703" s="12">
        <f t="shared" si="150"/>
        <v>2549068</v>
      </c>
      <c r="M703" s="13">
        <f t="shared" ref="M703:M704" si="151">IF(K703&gt;0,L703/K703*100,"-")</f>
        <v>100</v>
      </c>
      <c r="N703" s="521"/>
    </row>
    <row r="704" spans="1:14" s="40" customFormat="1" ht="11.25" customHeight="1">
      <c r="A704" s="7"/>
      <c r="B704" s="10"/>
      <c r="C704" s="522"/>
      <c r="D704" s="6"/>
      <c r="E704" s="6"/>
      <c r="F704" s="11" t="s">
        <v>23</v>
      </c>
      <c r="G704" s="74">
        <f t="shared" si="148"/>
        <v>574552</v>
      </c>
      <c r="H704" s="74">
        <f t="shared" si="148"/>
        <v>175000</v>
      </c>
      <c r="I704" s="13">
        <f t="shared" si="149"/>
        <v>30.458513763767247</v>
      </c>
      <c r="J704" s="74">
        <f t="shared" si="150"/>
        <v>99552</v>
      </c>
      <c r="K704" s="74">
        <f t="shared" si="150"/>
        <v>274552</v>
      </c>
      <c r="L704" s="12">
        <f t="shared" si="150"/>
        <v>175000</v>
      </c>
      <c r="M704" s="13">
        <f t="shared" si="151"/>
        <v>63.740202220344408</v>
      </c>
      <c r="N704" s="521"/>
    </row>
    <row r="705" spans="1:14" s="40" customFormat="1" ht="11.25" customHeight="1">
      <c r="A705" s="7"/>
      <c r="B705" s="10"/>
      <c r="C705" s="522"/>
      <c r="D705" s="6"/>
      <c r="E705" s="6"/>
      <c r="F705" s="11"/>
      <c r="G705" s="74"/>
      <c r="H705" s="74"/>
      <c r="I705" s="13"/>
      <c r="J705" s="74"/>
      <c r="K705" s="74"/>
      <c r="L705" s="12"/>
      <c r="M705" s="13"/>
      <c r="N705" s="521"/>
    </row>
    <row r="706" spans="1:14" s="40" customFormat="1" ht="3.95" customHeight="1">
      <c r="A706" s="20"/>
      <c r="B706" s="21"/>
      <c r="C706" s="523"/>
      <c r="D706" s="22"/>
      <c r="E706" s="22"/>
      <c r="F706" s="20"/>
      <c r="G706" s="74"/>
      <c r="H706" s="74"/>
      <c r="I706" s="24"/>
      <c r="J706" s="74"/>
      <c r="K706" s="75"/>
      <c r="L706" s="23"/>
      <c r="M706" s="24"/>
      <c r="N706" s="524"/>
    </row>
    <row r="707" spans="1:14" s="40" customFormat="1" ht="3.95" customHeight="1" outlineLevel="1">
      <c r="A707" s="434"/>
      <c r="B707" s="26"/>
      <c r="C707" s="525"/>
      <c r="D707" s="553"/>
      <c r="E707" s="553"/>
      <c r="F707" s="26"/>
      <c r="G707" s="77"/>
      <c r="H707" s="77"/>
      <c r="I707" s="28"/>
      <c r="J707" s="77"/>
      <c r="K707" s="76"/>
      <c r="L707" s="407"/>
      <c r="M707" s="28"/>
      <c r="N707" s="541"/>
    </row>
    <row r="708" spans="1:14" s="40" customFormat="1" ht="27.75" customHeight="1" outlineLevel="1">
      <c r="A708" s="660" t="s">
        <v>334</v>
      </c>
      <c r="B708" s="29" t="s">
        <v>29</v>
      </c>
      <c r="C708" s="586" t="s">
        <v>529</v>
      </c>
      <c r="D708" s="667" t="s">
        <v>247</v>
      </c>
      <c r="E708" s="667"/>
      <c r="F708" s="593" t="s">
        <v>30</v>
      </c>
      <c r="G708" s="83">
        <f>SUM(G709:G712)</f>
        <v>2424727</v>
      </c>
      <c r="H708" s="83">
        <f>SUM(H709:H712)</f>
        <v>2424537</v>
      </c>
      <c r="I708" s="379">
        <f>IF(G708&gt;0,H708/G708*100,"-")</f>
        <v>99.992164066305207</v>
      </c>
      <c r="J708" s="83">
        <f>SUM(J709:J712)</f>
        <v>1500000</v>
      </c>
      <c r="K708" s="83">
        <f>SUM(K709:K712)</f>
        <v>2415707</v>
      </c>
      <c r="L708" s="58">
        <f>SUM(L709:L712)</f>
        <v>2415516.9</v>
      </c>
      <c r="M708" s="15">
        <f>IF(K708&gt;0,L708/K708*100,"-")</f>
        <v>99.992130668164634</v>
      </c>
      <c r="N708" s="663" t="s">
        <v>441</v>
      </c>
    </row>
    <row r="709" spans="1:14" s="40" customFormat="1" ht="11.1" customHeight="1" outlineLevel="1">
      <c r="A709" s="660"/>
      <c r="B709" s="29"/>
      <c r="C709" s="617"/>
      <c r="D709" s="667"/>
      <c r="E709" s="667"/>
      <c r="F709" s="571" t="s">
        <v>18</v>
      </c>
      <c r="G709" s="80">
        <f>G714+G719</f>
        <v>2424727</v>
      </c>
      <c r="H709" s="80">
        <f>H714+H719</f>
        <v>2424537</v>
      </c>
      <c r="I709" s="381">
        <f>IF(G709&gt;0,H709/G709*100,"-")</f>
        <v>99.992164066305207</v>
      </c>
      <c r="J709" s="80">
        <f t="shared" ref="J709:L711" si="152">J714+J719</f>
        <v>1500000</v>
      </c>
      <c r="K709" s="80">
        <f t="shared" si="152"/>
        <v>2415707</v>
      </c>
      <c r="L709" s="34">
        <f t="shared" si="152"/>
        <v>2415516.9</v>
      </c>
      <c r="M709" s="33">
        <f>IF(K709&gt;0,L709/K709*100,"-")</f>
        <v>99.992130668164634</v>
      </c>
      <c r="N709" s="663"/>
    </row>
    <row r="710" spans="1:14" s="40" customFormat="1" ht="22.5" outlineLevel="1">
      <c r="A710" s="660"/>
      <c r="B710" s="29" t="s">
        <v>298</v>
      </c>
      <c r="C710" s="617" t="s">
        <v>309</v>
      </c>
      <c r="D710" s="667"/>
      <c r="E710" s="667"/>
      <c r="F710" s="571" t="s">
        <v>221</v>
      </c>
      <c r="G710" s="80">
        <f t="shared" ref="G710:H711" si="153">G715+G720</f>
        <v>0</v>
      </c>
      <c r="H710" s="80">
        <f t="shared" si="153"/>
        <v>0</v>
      </c>
      <c r="I710" s="381" t="str">
        <f t="shared" ref="I710:I711" si="154">IF(G710&gt;0,H710/G710*100,"-")</f>
        <v>-</v>
      </c>
      <c r="J710" s="80">
        <f t="shared" si="152"/>
        <v>0</v>
      </c>
      <c r="K710" s="80">
        <f t="shared" si="152"/>
        <v>0</v>
      </c>
      <c r="L710" s="34">
        <f t="shared" si="152"/>
        <v>0</v>
      </c>
      <c r="M710" s="33" t="str">
        <f t="shared" ref="M710:M711" si="155">IF(K710&gt;0,L710/K710*100,"-")</f>
        <v>-</v>
      </c>
      <c r="N710" s="663"/>
    </row>
    <row r="711" spans="1:14" s="40" customFormat="1" ht="11.1" customHeight="1" outlineLevel="1">
      <c r="A711" s="660"/>
      <c r="B711" s="29"/>
      <c r="C711" s="617"/>
      <c r="D711" s="667"/>
      <c r="E711" s="667"/>
      <c r="F711" s="571" t="s">
        <v>23</v>
      </c>
      <c r="G711" s="80">
        <f t="shared" si="153"/>
        <v>0</v>
      </c>
      <c r="H711" s="80">
        <f t="shared" si="153"/>
        <v>0</v>
      </c>
      <c r="I711" s="381" t="str">
        <f t="shared" si="154"/>
        <v>-</v>
      </c>
      <c r="J711" s="80">
        <f t="shared" si="152"/>
        <v>0</v>
      </c>
      <c r="K711" s="80">
        <f t="shared" si="152"/>
        <v>0</v>
      </c>
      <c r="L711" s="34">
        <f t="shared" si="152"/>
        <v>0</v>
      </c>
      <c r="M711" s="33" t="str">
        <f t="shared" si="155"/>
        <v>-</v>
      </c>
      <c r="N711" s="663"/>
    </row>
    <row r="712" spans="1:14" s="40" customFormat="1" ht="11.1" customHeight="1" outlineLevel="1">
      <c r="A712" s="632"/>
      <c r="B712" s="29"/>
      <c r="C712" s="617"/>
      <c r="D712" s="667"/>
      <c r="E712" s="633"/>
      <c r="F712" s="594"/>
      <c r="G712" s="80"/>
      <c r="H712" s="80"/>
      <c r="I712" s="381"/>
      <c r="J712" s="80"/>
      <c r="K712" s="80"/>
      <c r="L712" s="34"/>
      <c r="M712" s="33"/>
      <c r="N712" s="663"/>
    </row>
    <row r="713" spans="1:14" s="40" customFormat="1" ht="6.95" customHeight="1" outlineLevel="1">
      <c r="A713" s="632"/>
      <c r="B713" s="29"/>
      <c r="C713" s="586"/>
      <c r="D713" s="633"/>
      <c r="E713" s="633"/>
      <c r="F713" s="594"/>
      <c r="G713" s="380"/>
      <c r="H713" s="380"/>
      <c r="I713" s="595"/>
      <c r="J713" s="380"/>
      <c r="K713" s="80"/>
      <c r="L713" s="363"/>
      <c r="M713" s="33"/>
      <c r="N713" s="663"/>
    </row>
    <row r="714" spans="1:14" s="40" customFormat="1" ht="10.5" customHeight="1" outlineLevel="1">
      <c r="A714" s="632"/>
      <c r="B714" s="29"/>
      <c r="C714" s="586"/>
      <c r="D714" s="633"/>
      <c r="E714" s="674" t="s">
        <v>310</v>
      </c>
      <c r="F714" s="596" t="s">
        <v>18</v>
      </c>
      <c r="G714" s="544">
        <v>1424727</v>
      </c>
      <c r="H714" s="544">
        <f>ROUNDUP(9020+L714,0)</f>
        <v>1424537</v>
      </c>
      <c r="I714" s="597">
        <f>IF(G714&gt;0,H714/G714*100,"-")</f>
        <v>99.986664111791242</v>
      </c>
      <c r="J714" s="544">
        <v>1500000</v>
      </c>
      <c r="K714" s="544">
        <v>1415707</v>
      </c>
      <c r="L714" s="546">
        <v>1415516.9</v>
      </c>
      <c r="M714" s="545">
        <f>IF(K714&gt;0,L714/K714*100,"-")</f>
        <v>99.986572080239753</v>
      </c>
      <c r="N714" s="663"/>
    </row>
    <row r="715" spans="1:14" s="40" customFormat="1" ht="10.5" customHeight="1" outlineLevel="1">
      <c r="A715" s="632"/>
      <c r="B715" s="29"/>
      <c r="C715" s="586"/>
      <c r="D715" s="633"/>
      <c r="E715" s="674"/>
      <c r="F715" s="596" t="s">
        <v>221</v>
      </c>
      <c r="G715" s="544">
        <v>0</v>
      </c>
      <c r="H715" s="544">
        <f>ROUNDUP(0+L715,0)</f>
        <v>0</v>
      </c>
      <c r="I715" s="597" t="str">
        <f t="shared" ref="I715:I716" si="156">IF(G715&gt;0,H715/G715*100,"-")</f>
        <v>-</v>
      </c>
      <c r="J715" s="544">
        <v>0</v>
      </c>
      <c r="K715" s="544">
        <v>0</v>
      </c>
      <c r="L715" s="547">
        <v>0</v>
      </c>
      <c r="M715" s="545" t="str">
        <f t="shared" ref="M715:M716" si="157">IF(K715&gt;0,L715/K715*100,"-")</f>
        <v>-</v>
      </c>
      <c r="N715" s="663"/>
    </row>
    <row r="716" spans="1:14" s="40" customFormat="1" ht="10.5" customHeight="1" outlineLevel="1">
      <c r="A716" s="632"/>
      <c r="B716" s="29"/>
      <c r="C716" s="586"/>
      <c r="D716" s="633"/>
      <c r="E716" s="674"/>
      <c r="F716" s="596" t="s">
        <v>23</v>
      </c>
      <c r="G716" s="544">
        <v>0</v>
      </c>
      <c r="H716" s="544">
        <f>ROUNDUP(0+L716,0)</f>
        <v>0</v>
      </c>
      <c r="I716" s="597" t="str">
        <f t="shared" si="156"/>
        <v>-</v>
      </c>
      <c r="J716" s="544">
        <v>0</v>
      </c>
      <c r="K716" s="544">
        <v>0</v>
      </c>
      <c r="L716" s="547">
        <v>0</v>
      </c>
      <c r="M716" s="545" t="str">
        <f t="shared" si="157"/>
        <v>-</v>
      </c>
      <c r="N716" s="663"/>
    </row>
    <row r="717" spans="1:14" s="40" customFormat="1" ht="10.5" customHeight="1" outlineLevel="1">
      <c r="A717" s="632"/>
      <c r="B717" s="29"/>
      <c r="C717" s="586"/>
      <c r="D717" s="633"/>
      <c r="E717" s="674"/>
      <c r="F717" s="599"/>
      <c r="G717" s="544"/>
      <c r="H717" s="544"/>
      <c r="I717" s="597"/>
      <c r="J717" s="544"/>
      <c r="K717" s="544"/>
      <c r="L717" s="547"/>
      <c r="M717" s="545"/>
      <c r="N717" s="663"/>
    </row>
    <row r="718" spans="1:14" s="40" customFormat="1" ht="6.95" customHeight="1" outlineLevel="1">
      <c r="A718" s="632"/>
      <c r="B718" s="29"/>
      <c r="C718" s="586"/>
      <c r="D718" s="633"/>
      <c r="E718" s="633"/>
      <c r="F718" s="599"/>
      <c r="G718" s="550"/>
      <c r="H718" s="550"/>
      <c r="I718" s="601"/>
      <c r="J718" s="550"/>
      <c r="K718" s="544"/>
      <c r="L718" s="547"/>
      <c r="M718" s="545"/>
      <c r="N718" s="663"/>
    </row>
    <row r="719" spans="1:14" s="40" customFormat="1" ht="10.5" customHeight="1" outlineLevel="1">
      <c r="A719" s="632"/>
      <c r="B719" s="29"/>
      <c r="C719" s="586"/>
      <c r="D719" s="633"/>
      <c r="E719" s="674" t="s">
        <v>234</v>
      </c>
      <c r="F719" s="596" t="s">
        <v>18</v>
      </c>
      <c r="G719" s="544">
        <v>1000000</v>
      </c>
      <c r="H719" s="544">
        <f>ROUNDUP(0+L719,0)</f>
        <v>1000000</v>
      </c>
      <c r="I719" s="597">
        <f>IF(G719&gt;0,H719/G719*100,"-")</f>
        <v>100</v>
      </c>
      <c r="J719" s="544">
        <v>0</v>
      </c>
      <c r="K719" s="544">
        <v>1000000</v>
      </c>
      <c r="L719" s="546">
        <v>1000000</v>
      </c>
      <c r="M719" s="545">
        <f>IF(K719&gt;0,L719/K719*100,"-")</f>
        <v>100</v>
      </c>
      <c r="N719" s="663"/>
    </row>
    <row r="720" spans="1:14" s="40" customFormat="1" ht="10.5" customHeight="1" outlineLevel="1">
      <c r="A720" s="632"/>
      <c r="B720" s="29"/>
      <c r="C720" s="586"/>
      <c r="D720" s="633"/>
      <c r="E720" s="674"/>
      <c r="F720" s="596" t="s">
        <v>221</v>
      </c>
      <c r="G720" s="544">
        <v>0</v>
      </c>
      <c r="H720" s="544">
        <f>ROUNDUP(0+L720,0)</f>
        <v>0</v>
      </c>
      <c r="I720" s="597" t="str">
        <f t="shared" ref="I720:I721" si="158">IF(G720&gt;0,H720/G720*100,"-")</f>
        <v>-</v>
      </c>
      <c r="J720" s="544">
        <v>0</v>
      </c>
      <c r="K720" s="544">
        <v>0</v>
      </c>
      <c r="L720" s="547">
        <v>0</v>
      </c>
      <c r="M720" s="545" t="str">
        <f t="shared" ref="M720:M721" si="159">IF(K720&gt;0,L720/K720*100,"-")</f>
        <v>-</v>
      </c>
      <c r="N720" s="663"/>
    </row>
    <row r="721" spans="1:14" s="40" customFormat="1" ht="10.5" customHeight="1" outlineLevel="1">
      <c r="A721" s="632"/>
      <c r="B721" s="29"/>
      <c r="C721" s="586"/>
      <c r="D721" s="633"/>
      <c r="E721" s="674"/>
      <c r="F721" s="596" t="s">
        <v>23</v>
      </c>
      <c r="G721" s="544">
        <v>0</v>
      </c>
      <c r="H721" s="544">
        <f>ROUNDUP(0+L721,0)</f>
        <v>0</v>
      </c>
      <c r="I721" s="597" t="str">
        <f t="shared" si="158"/>
        <v>-</v>
      </c>
      <c r="J721" s="544">
        <v>0</v>
      </c>
      <c r="K721" s="544">
        <v>0</v>
      </c>
      <c r="L721" s="547">
        <v>0</v>
      </c>
      <c r="M721" s="545" t="str">
        <f t="shared" si="159"/>
        <v>-</v>
      </c>
      <c r="N721" s="663"/>
    </row>
    <row r="722" spans="1:14" s="40" customFormat="1" ht="10.5" customHeight="1" outlineLevel="1">
      <c r="A722" s="632"/>
      <c r="B722" s="29"/>
      <c r="C722" s="586"/>
      <c r="D722" s="633"/>
      <c r="E722" s="674"/>
      <c r="F722" s="599"/>
      <c r="G722" s="544"/>
      <c r="H722" s="544"/>
      <c r="I722" s="597"/>
      <c r="J722" s="544"/>
      <c r="K722" s="544"/>
      <c r="L722" s="547"/>
      <c r="M722" s="545"/>
      <c r="N722" s="663"/>
    </row>
    <row r="723" spans="1:14" s="40" customFormat="1" ht="3.95" customHeight="1" outlineLevel="1">
      <c r="A723" s="632"/>
      <c r="B723" s="36"/>
      <c r="C723" s="602"/>
      <c r="D723" s="633"/>
      <c r="E723" s="633"/>
      <c r="F723" s="375"/>
      <c r="G723" s="538"/>
      <c r="H723" s="538"/>
      <c r="I723" s="375"/>
      <c r="J723" s="538"/>
      <c r="K723" s="392"/>
      <c r="L723" s="37"/>
      <c r="M723" s="38"/>
      <c r="N723" s="664"/>
    </row>
    <row r="724" spans="1:14" s="40" customFormat="1" ht="3.95" customHeight="1" outlineLevel="1">
      <c r="A724" s="434"/>
      <c r="B724" s="26"/>
      <c r="C724" s="591"/>
      <c r="D724" s="637"/>
      <c r="E724" s="637"/>
      <c r="F724" s="640"/>
      <c r="G724" s="540"/>
      <c r="H724" s="540"/>
      <c r="I724" s="376"/>
      <c r="J724" s="540"/>
      <c r="K724" s="84"/>
      <c r="L724" s="407"/>
      <c r="M724" s="28"/>
      <c r="N724" s="557"/>
    </row>
    <row r="725" spans="1:14" s="40" customFormat="1" ht="11.45" customHeight="1" outlineLevel="1">
      <c r="A725" s="660" t="s">
        <v>339</v>
      </c>
      <c r="B725" s="29" t="s">
        <v>29</v>
      </c>
      <c r="C725" s="656" t="s">
        <v>530</v>
      </c>
      <c r="D725" s="667" t="s">
        <v>312</v>
      </c>
      <c r="E725" s="667" t="s">
        <v>313</v>
      </c>
      <c r="F725" s="593" t="s">
        <v>30</v>
      </c>
      <c r="G725" s="83">
        <f>SUM(G726:G729)</f>
        <v>4671354</v>
      </c>
      <c r="H725" s="83">
        <f>SUM(H726:H729)</f>
        <v>2653752</v>
      </c>
      <c r="I725" s="379">
        <f>IF(G725&gt;0,H725/G725*100,"-")</f>
        <v>56.809053649113295</v>
      </c>
      <c r="J725" s="83">
        <f>SUM(J726:J729)</f>
        <v>2700000</v>
      </c>
      <c r="K725" s="83">
        <f>SUM(K726:K729)</f>
        <v>2543508</v>
      </c>
      <c r="L725" s="58">
        <f>SUM(L726:L729)</f>
        <v>2525905.2200000002</v>
      </c>
      <c r="M725" s="15">
        <f>IF(K725&gt;0,L725/K725*100,"-")</f>
        <v>99.307932980749428</v>
      </c>
      <c r="N725" s="663" t="s">
        <v>442</v>
      </c>
    </row>
    <row r="726" spans="1:14" s="40" customFormat="1" ht="11.45" customHeight="1" outlineLevel="1">
      <c r="A726" s="660"/>
      <c r="B726" s="29"/>
      <c r="C726" s="656"/>
      <c r="D726" s="667"/>
      <c r="E726" s="667"/>
      <c r="F726" s="571" t="s">
        <v>18</v>
      </c>
      <c r="G726" s="80">
        <v>4671354</v>
      </c>
      <c r="H726" s="80">
        <f>ROUNDUP(127846+L726,0)</f>
        <v>2653752</v>
      </c>
      <c r="I726" s="381">
        <f>IF(G726&gt;0,H726/G726*100,"-")</f>
        <v>56.809053649113295</v>
      </c>
      <c r="J726" s="80">
        <v>2700000</v>
      </c>
      <c r="K726" s="80">
        <v>2543508</v>
      </c>
      <c r="L726" s="34">
        <v>2525905.2200000002</v>
      </c>
      <c r="M726" s="33">
        <f>IF(K726&gt;0,L726/K726*100,"-")</f>
        <v>99.307932980749428</v>
      </c>
      <c r="N726" s="663"/>
    </row>
    <row r="727" spans="1:14" s="40" customFormat="1" ht="22.5" outlineLevel="1">
      <c r="A727" s="660"/>
      <c r="B727" s="29" t="s">
        <v>24</v>
      </c>
      <c r="C727" s="619" t="s">
        <v>314</v>
      </c>
      <c r="D727" s="667"/>
      <c r="E727" s="667"/>
      <c r="F727" s="571" t="s">
        <v>221</v>
      </c>
      <c r="G727" s="80">
        <v>0</v>
      </c>
      <c r="H727" s="80">
        <f>ROUNDUP(0+L727,0)</f>
        <v>0</v>
      </c>
      <c r="I727" s="381" t="str">
        <f t="shared" ref="I727:I728" si="160">IF(G727&gt;0,H727/G727*100,"-")</f>
        <v>-</v>
      </c>
      <c r="J727" s="80">
        <v>0</v>
      </c>
      <c r="K727" s="80">
        <v>0</v>
      </c>
      <c r="L727" s="363">
        <v>0</v>
      </c>
      <c r="M727" s="33" t="str">
        <f t="shared" ref="M727:M728" si="161">IF(K727&gt;0,L727/K727*100,"-")</f>
        <v>-</v>
      </c>
      <c r="N727" s="663"/>
    </row>
    <row r="728" spans="1:14" s="40" customFormat="1" ht="11.45" customHeight="1" outlineLevel="1">
      <c r="A728" s="660"/>
      <c r="B728" s="187"/>
      <c r="C728" s="586"/>
      <c r="D728" s="667"/>
      <c r="E728" s="667"/>
      <c r="F728" s="571" t="s">
        <v>23</v>
      </c>
      <c r="G728" s="80">
        <v>0</v>
      </c>
      <c r="H728" s="80">
        <f>ROUNDUP(0+L728,0)</f>
        <v>0</v>
      </c>
      <c r="I728" s="381" t="str">
        <f t="shared" si="160"/>
        <v>-</v>
      </c>
      <c r="J728" s="80">
        <v>0</v>
      </c>
      <c r="K728" s="80">
        <v>0</v>
      </c>
      <c r="L728" s="363">
        <v>0</v>
      </c>
      <c r="M728" s="33" t="str">
        <f t="shared" si="161"/>
        <v>-</v>
      </c>
      <c r="N728" s="663"/>
    </row>
    <row r="729" spans="1:14" s="40" customFormat="1" ht="11.45" customHeight="1" outlineLevel="1">
      <c r="A729" s="632"/>
      <c r="B729" s="187"/>
      <c r="C729" s="586"/>
      <c r="D729" s="667"/>
      <c r="E729" s="667"/>
      <c r="F729" s="594"/>
      <c r="G729" s="80"/>
      <c r="H729" s="80"/>
      <c r="I729" s="381"/>
      <c r="J729" s="80"/>
      <c r="K729" s="80"/>
      <c r="L729" s="363"/>
      <c r="M729" s="33"/>
      <c r="N729" s="663"/>
    </row>
    <row r="730" spans="1:14" s="40" customFormat="1" ht="3.95" customHeight="1" outlineLevel="1">
      <c r="A730" s="62"/>
      <c r="B730" s="36"/>
      <c r="C730" s="602"/>
      <c r="D730" s="620"/>
      <c r="E730" s="620"/>
      <c r="F730" s="375"/>
      <c r="G730" s="538"/>
      <c r="H730" s="538"/>
      <c r="I730" s="375"/>
      <c r="J730" s="538"/>
      <c r="K730" s="392"/>
      <c r="L730" s="37"/>
      <c r="M730" s="38"/>
      <c r="N730" s="647"/>
    </row>
    <row r="731" spans="1:14" s="40" customFormat="1" ht="3.95" customHeight="1" outlineLevel="1">
      <c r="A731" s="434"/>
      <c r="B731" s="26"/>
      <c r="C731" s="591"/>
      <c r="D731" s="637"/>
      <c r="E731" s="637"/>
      <c r="F731" s="640"/>
      <c r="G731" s="540"/>
      <c r="H731" s="540"/>
      <c r="I731" s="376"/>
      <c r="J731" s="540"/>
      <c r="K731" s="84"/>
      <c r="L731" s="407"/>
      <c r="M731" s="28"/>
      <c r="N731" s="557"/>
    </row>
    <row r="732" spans="1:14" s="40" customFormat="1" ht="23.25" customHeight="1" outlineLevel="1">
      <c r="A732" s="660" t="s">
        <v>341</v>
      </c>
      <c r="B732" s="29" t="s">
        <v>29</v>
      </c>
      <c r="C732" s="618" t="s">
        <v>316</v>
      </c>
      <c r="D732" s="667" t="s">
        <v>410</v>
      </c>
      <c r="E732" s="667" t="s">
        <v>318</v>
      </c>
      <c r="F732" s="593" t="s">
        <v>30</v>
      </c>
      <c r="G732" s="83">
        <f>SUM(G733:G736)</f>
        <v>23355293</v>
      </c>
      <c r="H732" s="83">
        <f>SUM(H733:H736)</f>
        <v>355293</v>
      </c>
      <c r="I732" s="379">
        <f>IF(G732&gt;0,H732/G732*100,"-")</f>
        <v>1.5212525914361255</v>
      </c>
      <c r="J732" s="83">
        <f>SUM(J733:J736)</f>
        <v>0</v>
      </c>
      <c r="K732" s="83">
        <f>SUM(K733:K736)</f>
        <v>0</v>
      </c>
      <c r="L732" s="58">
        <f>SUM(L733:L736)</f>
        <v>0</v>
      </c>
      <c r="M732" s="15" t="str">
        <f>IF(K732&gt;0,L732/K732*100,"-")</f>
        <v>-</v>
      </c>
      <c r="N732" s="663" t="s">
        <v>319</v>
      </c>
    </row>
    <row r="733" spans="1:14" s="40" customFormat="1" ht="11.45" customHeight="1" outlineLevel="1">
      <c r="A733" s="660"/>
      <c r="B733" s="29" t="s">
        <v>24</v>
      </c>
      <c r="C733" s="617" t="s">
        <v>320</v>
      </c>
      <c r="D733" s="667"/>
      <c r="E733" s="667"/>
      <c r="F733" s="571" t="s">
        <v>18</v>
      </c>
      <c r="G733" s="80">
        <v>23355293</v>
      </c>
      <c r="H733" s="80">
        <f>ROUNDUP(355293+L733,0)</f>
        <v>355293</v>
      </c>
      <c r="I733" s="381">
        <f>IF(G733&gt;0,H733/G733*100,"-")</f>
        <v>1.5212525914361255</v>
      </c>
      <c r="J733" s="80">
        <v>0</v>
      </c>
      <c r="K733" s="80">
        <v>0</v>
      </c>
      <c r="L733" s="34">
        <v>0</v>
      </c>
      <c r="M733" s="33" t="str">
        <f>IF(K733&gt;0,L733/K733*100,"-")</f>
        <v>-</v>
      </c>
      <c r="N733" s="663"/>
    </row>
    <row r="734" spans="1:14" s="40" customFormat="1" ht="11.45" customHeight="1" outlineLevel="1">
      <c r="A734" s="660"/>
      <c r="B734" s="29"/>
      <c r="C734" s="586" t="s">
        <v>321</v>
      </c>
      <c r="D734" s="667"/>
      <c r="E734" s="667"/>
      <c r="F734" s="571" t="s">
        <v>221</v>
      </c>
      <c r="G734" s="80">
        <v>0</v>
      </c>
      <c r="H734" s="80">
        <f>ROUNDUP(0+L734,0)</f>
        <v>0</v>
      </c>
      <c r="I734" s="381" t="str">
        <f t="shared" ref="I734:I735" si="162">IF(G734&gt;0,H734/G734*100,"-")</f>
        <v>-</v>
      </c>
      <c r="J734" s="80">
        <v>0</v>
      </c>
      <c r="K734" s="80">
        <v>0</v>
      </c>
      <c r="L734" s="363">
        <v>0</v>
      </c>
      <c r="M734" s="33" t="str">
        <f t="shared" ref="M734:M735" si="163">IF(K734&gt;0,L734/K734*100,"-")</f>
        <v>-</v>
      </c>
      <c r="N734" s="663"/>
    </row>
    <row r="735" spans="1:14" s="40" customFormat="1" ht="11.45" customHeight="1" outlineLevel="1">
      <c r="A735" s="660"/>
      <c r="B735" s="187"/>
      <c r="C735" s="586"/>
      <c r="D735" s="667"/>
      <c r="E735" s="667"/>
      <c r="F735" s="571" t="s">
        <v>23</v>
      </c>
      <c r="G735" s="80">
        <v>0</v>
      </c>
      <c r="H735" s="80">
        <f>ROUNDUP(0+L735,0)</f>
        <v>0</v>
      </c>
      <c r="I735" s="381" t="str">
        <f t="shared" si="162"/>
        <v>-</v>
      </c>
      <c r="J735" s="80">
        <v>0</v>
      </c>
      <c r="K735" s="80">
        <v>0</v>
      </c>
      <c r="L735" s="363">
        <v>0</v>
      </c>
      <c r="M735" s="33" t="str">
        <f t="shared" si="163"/>
        <v>-</v>
      </c>
      <c r="N735" s="663"/>
    </row>
    <row r="736" spans="1:14" s="40" customFormat="1" ht="22.5" customHeight="1" outlineLevel="1">
      <c r="A736" s="632"/>
      <c r="B736" s="187"/>
      <c r="C736" s="586"/>
      <c r="D736" s="667"/>
      <c r="E736" s="667"/>
      <c r="F736" s="594"/>
      <c r="G736" s="80"/>
      <c r="H736" s="80"/>
      <c r="I736" s="381"/>
      <c r="J736" s="80"/>
      <c r="K736" s="80"/>
      <c r="L736" s="363"/>
      <c r="M736" s="33"/>
      <c r="N736" s="663"/>
    </row>
    <row r="737" spans="1:14" s="40" customFormat="1" ht="3.95" customHeight="1" outlineLevel="1">
      <c r="A737" s="62"/>
      <c r="B737" s="36"/>
      <c r="C737" s="602"/>
      <c r="D737" s="620"/>
      <c r="E737" s="620"/>
      <c r="F737" s="375"/>
      <c r="G737" s="538"/>
      <c r="H737" s="538"/>
      <c r="I737" s="375"/>
      <c r="J737" s="538"/>
      <c r="K737" s="392"/>
      <c r="L737" s="37"/>
      <c r="M737" s="38"/>
      <c r="N737" s="647"/>
    </row>
    <row r="738" spans="1:14" s="40" customFormat="1" ht="3.75" customHeight="1" outlineLevel="1">
      <c r="A738" s="434"/>
      <c r="B738" s="26"/>
      <c r="C738" s="591"/>
      <c r="D738" s="637"/>
      <c r="E738" s="637"/>
      <c r="F738" s="640"/>
      <c r="G738" s="540"/>
      <c r="H738" s="540"/>
      <c r="I738" s="376"/>
      <c r="J738" s="540"/>
      <c r="K738" s="84"/>
      <c r="L738" s="407"/>
      <c r="M738" s="28"/>
      <c r="N738" s="557"/>
    </row>
    <row r="739" spans="1:14" s="40" customFormat="1" ht="23.25" customHeight="1" outlineLevel="1">
      <c r="A739" s="660" t="s">
        <v>343</v>
      </c>
      <c r="B739" s="29" t="s">
        <v>29</v>
      </c>
      <c r="C739" s="618" t="s">
        <v>323</v>
      </c>
      <c r="D739" s="667" t="s">
        <v>443</v>
      </c>
      <c r="E739" s="667" t="s">
        <v>313</v>
      </c>
      <c r="F739" s="593" t="s">
        <v>30</v>
      </c>
      <c r="G739" s="83">
        <f>SUM(G740:G743)</f>
        <v>2645967</v>
      </c>
      <c r="H739" s="83">
        <f>SUM(H740:H743)</f>
        <v>206197</v>
      </c>
      <c r="I739" s="379">
        <f>IF(G739&gt;0,H739/G739*100,"-")</f>
        <v>7.7928787471650249</v>
      </c>
      <c r="J739" s="83">
        <f>SUM(J740:J743)</f>
        <v>0</v>
      </c>
      <c r="K739" s="83">
        <f>SUM(K740:K743)</f>
        <v>0</v>
      </c>
      <c r="L739" s="58">
        <f>SUM(L740:L743)</f>
        <v>0</v>
      </c>
      <c r="M739" s="15" t="str">
        <f>IF(K739&gt;0,L739/K739*100,"-")</f>
        <v>-</v>
      </c>
      <c r="N739" s="663" t="s">
        <v>324</v>
      </c>
    </row>
    <row r="740" spans="1:14" s="40" customFormat="1" ht="22.5" outlineLevel="1">
      <c r="A740" s="660"/>
      <c r="B740" s="29" t="s">
        <v>24</v>
      </c>
      <c r="C740" s="617" t="s">
        <v>314</v>
      </c>
      <c r="D740" s="667"/>
      <c r="E740" s="667"/>
      <c r="F740" s="571" t="s">
        <v>18</v>
      </c>
      <c r="G740" s="80">
        <v>2645967</v>
      </c>
      <c r="H740" s="80">
        <f>ROUNDUP(206196.63+L740,0)</f>
        <v>206197</v>
      </c>
      <c r="I740" s="381">
        <f>IF(G740&gt;0,H740/G740*100,"-")</f>
        <v>7.7928787471650249</v>
      </c>
      <c r="J740" s="80">
        <v>0</v>
      </c>
      <c r="K740" s="80">
        <v>0</v>
      </c>
      <c r="L740" s="34">
        <v>0</v>
      </c>
      <c r="M740" s="33" t="str">
        <f>IF(K740&gt;0,L740/K740*100,"-")</f>
        <v>-</v>
      </c>
      <c r="N740" s="663"/>
    </row>
    <row r="741" spans="1:14" s="40" customFormat="1" ht="11.45" customHeight="1" outlineLevel="1">
      <c r="A741" s="660"/>
      <c r="B741" s="29"/>
      <c r="C741" s="619"/>
      <c r="D741" s="667"/>
      <c r="E741" s="667"/>
      <c r="F741" s="571" t="s">
        <v>221</v>
      </c>
      <c r="G741" s="80">
        <v>0</v>
      </c>
      <c r="H741" s="80">
        <f>ROUNDUP(0+L741,0)</f>
        <v>0</v>
      </c>
      <c r="I741" s="381" t="str">
        <f t="shared" ref="I741:I742" si="164">IF(G741&gt;0,H741/G741*100,"-")</f>
        <v>-</v>
      </c>
      <c r="J741" s="80">
        <v>0</v>
      </c>
      <c r="K741" s="80">
        <v>0</v>
      </c>
      <c r="L741" s="363">
        <v>0</v>
      </c>
      <c r="M741" s="33" t="str">
        <f t="shared" ref="M741:M742" si="165">IF(K741&gt;0,L741/K741*100,"-")</f>
        <v>-</v>
      </c>
      <c r="N741" s="663"/>
    </row>
    <row r="742" spans="1:14" s="40" customFormat="1" ht="11.45" customHeight="1" outlineLevel="1">
      <c r="A742" s="660"/>
      <c r="B742" s="187"/>
      <c r="C742" s="586"/>
      <c r="D742" s="667"/>
      <c r="E742" s="667"/>
      <c r="F742" s="571" t="s">
        <v>23</v>
      </c>
      <c r="G742" s="80">
        <v>0</v>
      </c>
      <c r="H742" s="80">
        <f>ROUNDUP(0+L742,0)</f>
        <v>0</v>
      </c>
      <c r="I742" s="381" t="str">
        <f t="shared" si="164"/>
        <v>-</v>
      </c>
      <c r="J742" s="80">
        <v>0</v>
      </c>
      <c r="K742" s="80">
        <v>0</v>
      </c>
      <c r="L742" s="363">
        <v>0</v>
      </c>
      <c r="M742" s="33" t="str">
        <f t="shared" si="165"/>
        <v>-</v>
      </c>
      <c r="N742" s="663"/>
    </row>
    <row r="743" spans="1:14" s="40" customFormat="1" ht="18" customHeight="1" outlineLevel="1">
      <c r="A743" s="632"/>
      <c r="B743" s="187"/>
      <c r="C743" s="586"/>
      <c r="D743" s="667"/>
      <c r="E743" s="667"/>
      <c r="F743" s="594"/>
      <c r="G743" s="80"/>
      <c r="H743" s="80"/>
      <c r="I743" s="381"/>
      <c r="J743" s="80"/>
      <c r="K743" s="80"/>
      <c r="L743" s="363"/>
      <c r="M743" s="33"/>
      <c r="N743" s="663"/>
    </row>
    <row r="744" spans="1:14" s="40" customFormat="1" ht="3.95" customHeight="1" outlineLevel="1">
      <c r="A744" s="62"/>
      <c r="B744" s="36"/>
      <c r="C744" s="602"/>
      <c r="D744" s="620"/>
      <c r="E744" s="620"/>
      <c r="F744" s="375"/>
      <c r="G744" s="538"/>
      <c r="H744" s="538"/>
      <c r="I744" s="375"/>
      <c r="J744" s="538"/>
      <c r="K744" s="392"/>
      <c r="L744" s="37"/>
      <c r="M744" s="38"/>
      <c r="N744" s="647"/>
    </row>
    <row r="745" spans="1:14" s="40" customFormat="1" ht="3.95" customHeight="1" outlineLevel="1">
      <c r="A745" s="434"/>
      <c r="B745" s="26"/>
      <c r="C745" s="591"/>
      <c r="D745" s="637"/>
      <c r="E745" s="637"/>
      <c r="F745" s="640"/>
      <c r="G745" s="540"/>
      <c r="H745" s="540"/>
      <c r="I745" s="376"/>
      <c r="J745" s="540"/>
      <c r="K745" s="84"/>
      <c r="L745" s="407"/>
      <c r="M745" s="28"/>
      <c r="N745" s="557"/>
    </row>
    <row r="746" spans="1:14" s="40" customFormat="1" ht="19.5" customHeight="1" outlineLevel="1">
      <c r="A746" s="660" t="s">
        <v>346</v>
      </c>
      <c r="B746" s="29" t="s">
        <v>29</v>
      </c>
      <c r="C746" s="656" t="s">
        <v>531</v>
      </c>
      <c r="D746" s="667" t="s">
        <v>264</v>
      </c>
      <c r="E746" s="667" t="s">
        <v>326</v>
      </c>
      <c r="F746" s="593" t="s">
        <v>30</v>
      </c>
      <c r="G746" s="83">
        <f>SUM(G747:G750)</f>
        <v>2483734</v>
      </c>
      <c r="H746" s="83">
        <f>SUM(H747:H750)</f>
        <v>2469481</v>
      </c>
      <c r="I746" s="379">
        <f>IF(G746&gt;0,H746/G746*100,"-")</f>
        <v>99.426146278144117</v>
      </c>
      <c r="J746" s="83">
        <f>SUM(J747:J750)</f>
        <v>0</v>
      </c>
      <c r="K746" s="83">
        <f>SUM(K747:K750)</f>
        <v>2446964</v>
      </c>
      <c r="L746" s="58">
        <f>SUM(L747:L750)</f>
        <v>2432710.1</v>
      </c>
      <c r="M746" s="15">
        <f>IF(K746&gt;0,L746/K746*100,"-")</f>
        <v>99.417486321825749</v>
      </c>
      <c r="N746" s="663" t="s">
        <v>444</v>
      </c>
    </row>
    <row r="747" spans="1:14" s="40" customFormat="1" ht="24.75" customHeight="1" outlineLevel="1">
      <c r="A747" s="660"/>
      <c r="B747" s="29"/>
      <c r="C747" s="656"/>
      <c r="D747" s="667"/>
      <c r="E747" s="667"/>
      <c r="F747" s="571" t="s">
        <v>18</v>
      </c>
      <c r="G747" s="80">
        <v>674955</v>
      </c>
      <c r="H747" s="80">
        <f>ROUNDUP(36770+L747,0)</f>
        <v>660702</v>
      </c>
      <c r="I747" s="381">
        <f>IF(G747&gt;0,H747/G747*100,"-")</f>
        <v>97.888303664688763</v>
      </c>
      <c r="J747" s="80">
        <v>0</v>
      </c>
      <c r="K747" s="80">
        <v>638185</v>
      </c>
      <c r="L747" s="34">
        <v>623931.1</v>
      </c>
      <c r="M747" s="33">
        <f>IF(K747&gt;0,L747/K747*100,"-")</f>
        <v>97.766494041696376</v>
      </c>
      <c r="N747" s="663"/>
    </row>
    <row r="748" spans="1:14" s="40" customFormat="1" ht="22.5" outlineLevel="1">
      <c r="A748" s="660"/>
      <c r="B748" s="29" t="s">
        <v>24</v>
      </c>
      <c r="C748" s="619" t="s">
        <v>327</v>
      </c>
      <c r="D748" s="667"/>
      <c r="E748" s="667"/>
      <c r="F748" s="571" t="s">
        <v>221</v>
      </c>
      <c r="G748" s="80">
        <v>1808779</v>
      </c>
      <c r="H748" s="80">
        <f>ROUNDUP(0+L748,0)</f>
        <v>1808779</v>
      </c>
      <c r="I748" s="381">
        <f t="shared" ref="I748:I749" si="166">IF(G748&gt;0,H748/G748*100,"-")</f>
        <v>100</v>
      </c>
      <c r="J748" s="80">
        <v>0</v>
      </c>
      <c r="K748" s="80">
        <v>1808779</v>
      </c>
      <c r="L748" s="363">
        <v>1808779</v>
      </c>
      <c r="M748" s="33">
        <f t="shared" ref="M748:M749" si="167">IF(K748&gt;0,L748/K748*100,"-")</f>
        <v>100</v>
      </c>
      <c r="N748" s="663"/>
    </row>
    <row r="749" spans="1:14" s="40" customFormat="1" ht="11.45" customHeight="1" outlineLevel="1">
      <c r="A749" s="660"/>
      <c r="B749" s="187"/>
      <c r="C749" s="586"/>
      <c r="D749" s="667"/>
      <c r="E749" s="667"/>
      <c r="F749" s="571" t="s">
        <v>23</v>
      </c>
      <c r="G749" s="80">
        <v>0</v>
      </c>
      <c r="H749" s="80">
        <f>ROUNDUP(0+L749,0)</f>
        <v>0</v>
      </c>
      <c r="I749" s="381" t="str">
        <f t="shared" si="166"/>
        <v>-</v>
      </c>
      <c r="J749" s="80">
        <v>0</v>
      </c>
      <c r="K749" s="80">
        <v>0</v>
      </c>
      <c r="L749" s="363">
        <v>0</v>
      </c>
      <c r="M749" s="33" t="str">
        <f t="shared" si="167"/>
        <v>-</v>
      </c>
      <c r="N749" s="663"/>
    </row>
    <row r="750" spans="1:14" s="40" customFormat="1" ht="17.25" customHeight="1" outlineLevel="1">
      <c r="A750" s="632"/>
      <c r="B750" s="187"/>
      <c r="C750" s="586"/>
      <c r="D750" s="667"/>
      <c r="E750" s="667"/>
      <c r="F750" s="594"/>
      <c r="G750" s="80"/>
      <c r="H750" s="80"/>
      <c r="I750" s="381"/>
      <c r="J750" s="80"/>
      <c r="K750" s="80"/>
      <c r="L750" s="363"/>
      <c r="M750" s="33"/>
      <c r="N750" s="663"/>
    </row>
    <row r="751" spans="1:14" s="40" customFormat="1" ht="3.95" customHeight="1" outlineLevel="1">
      <c r="A751" s="62"/>
      <c r="B751" s="36"/>
      <c r="C751" s="602"/>
      <c r="D751" s="620"/>
      <c r="E751" s="620"/>
      <c r="F751" s="375"/>
      <c r="G751" s="538"/>
      <c r="H751" s="538"/>
      <c r="I751" s="375"/>
      <c r="J751" s="538"/>
      <c r="K751" s="392"/>
      <c r="L751" s="37"/>
      <c r="M751" s="38"/>
      <c r="N751" s="647"/>
    </row>
    <row r="752" spans="1:14" s="40" customFormat="1" ht="3.95" customHeight="1" outlineLevel="1">
      <c r="A752" s="434"/>
      <c r="B752" s="26"/>
      <c r="C752" s="591"/>
      <c r="D752" s="637"/>
      <c r="E752" s="637"/>
      <c r="F752" s="640"/>
      <c r="G752" s="540"/>
      <c r="H752" s="540"/>
      <c r="I752" s="376"/>
      <c r="J752" s="540"/>
      <c r="K752" s="84"/>
      <c r="L752" s="407"/>
      <c r="M752" s="28"/>
      <c r="N752" s="557"/>
    </row>
    <row r="753" spans="1:14" s="40" customFormat="1" ht="11.45" customHeight="1" outlineLevel="1">
      <c r="A753" s="660" t="s">
        <v>347</v>
      </c>
      <c r="B753" s="29" t="s">
        <v>29</v>
      </c>
      <c r="C753" s="656" t="s">
        <v>532</v>
      </c>
      <c r="D753" s="667" t="s">
        <v>274</v>
      </c>
      <c r="E753" s="667" t="s">
        <v>326</v>
      </c>
      <c r="F753" s="593" t="s">
        <v>30</v>
      </c>
      <c r="G753" s="83">
        <f>SUM(G754:G757)</f>
        <v>401000</v>
      </c>
      <c r="H753" s="83">
        <f>SUM(H754:H757)</f>
        <v>31737</v>
      </c>
      <c r="I753" s="379">
        <f>IF(G753&gt;0,H753/G753*100,"-")</f>
        <v>7.9144638403990024</v>
      </c>
      <c r="J753" s="83">
        <f>SUM(J754:J757)</f>
        <v>0</v>
      </c>
      <c r="K753" s="83">
        <f>SUM(K754:K757)</f>
        <v>36000</v>
      </c>
      <c r="L753" s="58">
        <f>SUM(L754:L757)</f>
        <v>31736.81</v>
      </c>
      <c r="M753" s="15">
        <f>IF(K753&gt;0,L753/K753*100,"-")</f>
        <v>88.157805555555555</v>
      </c>
      <c r="N753" s="663" t="s">
        <v>445</v>
      </c>
    </row>
    <row r="754" spans="1:14" s="40" customFormat="1" ht="11.45" customHeight="1" outlineLevel="1">
      <c r="A754" s="660"/>
      <c r="B754" s="29"/>
      <c r="C754" s="656"/>
      <c r="D754" s="667"/>
      <c r="E754" s="667"/>
      <c r="F754" s="571" t="s">
        <v>18</v>
      </c>
      <c r="G754" s="80">
        <v>401000</v>
      </c>
      <c r="H754" s="80">
        <f>ROUNDUP(0+L754,0)</f>
        <v>31737</v>
      </c>
      <c r="I754" s="381">
        <f>IF(G754&gt;0,H754/G754*100,"-")</f>
        <v>7.9144638403990024</v>
      </c>
      <c r="J754" s="80">
        <v>0</v>
      </c>
      <c r="K754" s="80">
        <v>36000</v>
      </c>
      <c r="L754" s="34">
        <v>31736.81</v>
      </c>
      <c r="M754" s="33">
        <f>IF(K754&gt;0,L754/K754*100,"-")</f>
        <v>88.157805555555555</v>
      </c>
      <c r="N754" s="663"/>
    </row>
    <row r="755" spans="1:14" s="40" customFormat="1" outlineLevel="1">
      <c r="A755" s="660"/>
      <c r="B755" s="29" t="s">
        <v>24</v>
      </c>
      <c r="C755" s="619" t="s">
        <v>446</v>
      </c>
      <c r="D755" s="667"/>
      <c r="E755" s="667"/>
      <c r="F755" s="571" t="s">
        <v>221</v>
      </c>
      <c r="G755" s="80">
        <v>0</v>
      </c>
      <c r="H755" s="80">
        <f>ROUNDUP(0+L755,0)</f>
        <v>0</v>
      </c>
      <c r="I755" s="381" t="str">
        <f t="shared" ref="I755:I756" si="168">IF(G755&gt;0,H755/G755*100,"-")</f>
        <v>-</v>
      </c>
      <c r="J755" s="80">
        <v>0</v>
      </c>
      <c r="K755" s="80">
        <v>0</v>
      </c>
      <c r="L755" s="363">
        <v>0</v>
      </c>
      <c r="M755" s="33" t="str">
        <f t="shared" ref="M755:M756" si="169">IF(K755&gt;0,L755/K755*100,"-")</f>
        <v>-</v>
      </c>
      <c r="N755" s="663"/>
    </row>
    <row r="756" spans="1:14" s="40" customFormat="1" ht="11.1" customHeight="1" outlineLevel="1">
      <c r="A756" s="660"/>
      <c r="B756" s="187"/>
      <c r="C756" s="586"/>
      <c r="D756" s="667"/>
      <c r="E756" s="667"/>
      <c r="F756" s="571" t="s">
        <v>23</v>
      </c>
      <c r="G756" s="80">
        <v>0</v>
      </c>
      <c r="H756" s="80">
        <f>ROUNDUP(0+L756,0)</f>
        <v>0</v>
      </c>
      <c r="I756" s="381" t="str">
        <f t="shared" si="168"/>
        <v>-</v>
      </c>
      <c r="J756" s="80">
        <v>0</v>
      </c>
      <c r="K756" s="80">
        <v>0</v>
      </c>
      <c r="L756" s="363">
        <v>0</v>
      </c>
      <c r="M756" s="33" t="str">
        <f t="shared" si="169"/>
        <v>-</v>
      </c>
      <c r="N756" s="663"/>
    </row>
    <row r="757" spans="1:14" s="40" customFormat="1" ht="11.1" customHeight="1" outlineLevel="1">
      <c r="A757" s="632"/>
      <c r="B757" s="187"/>
      <c r="C757" s="586"/>
      <c r="D757" s="667"/>
      <c r="E757" s="667"/>
      <c r="F757" s="594"/>
      <c r="G757" s="80"/>
      <c r="H757" s="80"/>
      <c r="I757" s="381"/>
      <c r="J757" s="80"/>
      <c r="K757" s="80"/>
      <c r="L757" s="363"/>
      <c r="M757" s="33"/>
      <c r="N757" s="663"/>
    </row>
    <row r="758" spans="1:14" s="40" customFormat="1" ht="3.95" customHeight="1" outlineLevel="1">
      <c r="A758" s="62"/>
      <c r="B758" s="36"/>
      <c r="C758" s="602"/>
      <c r="D758" s="620"/>
      <c r="E758" s="620"/>
      <c r="F758" s="375"/>
      <c r="G758" s="538"/>
      <c r="H758" s="538"/>
      <c r="I758" s="375"/>
      <c r="J758" s="538"/>
      <c r="K758" s="392"/>
      <c r="L758" s="37"/>
      <c r="M758" s="38"/>
      <c r="N758" s="647"/>
    </row>
    <row r="759" spans="1:14" s="40" customFormat="1" ht="3.95" customHeight="1" outlineLevel="1">
      <c r="A759" s="434"/>
      <c r="B759" s="26"/>
      <c r="C759" s="591"/>
      <c r="D759" s="637"/>
      <c r="E759" s="637"/>
      <c r="F759" s="640"/>
      <c r="G759" s="540"/>
      <c r="H759" s="540"/>
      <c r="I759" s="376"/>
      <c r="J759" s="540"/>
      <c r="K759" s="84"/>
      <c r="L759" s="407"/>
      <c r="M759" s="28"/>
      <c r="N759" s="557"/>
    </row>
    <row r="760" spans="1:14" s="40" customFormat="1" ht="11.45" customHeight="1" outlineLevel="1">
      <c r="A760" s="660" t="s">
        <v>348</v>
      </c>
      <c r="B760" s="29" t="s">
        <v>29</v>
      </c>
      <c r="C760" s="656" t="s">
        <v>533</v>
      </c>
      <c r="D760" s="673" t="s">
        <v>264</v>
      </c>
      <c r="E760" s="667" t="s">
        <v>330</v>
      </c>
      <c r="F760" s="593" t="s">
        <v>30</v>
      </c>
      <c r="G760" s="83">
        <f>SUM(G761:G764)</f>
        <v>1229425</v>
      </c>
      <c r="H760" s="83">
        <f>SUM(H761:H764)</f>
        <v>1222645</v>
      </c>
      <c r="I760" s="379">
        <f>IF(G760&gt;0,H760/G760*100,"-")</f>
        <v>99.448522683368239</v>
      </c>
      <c r="J760" s="83">
        <f>SUM(J761:J764)</f>
        <v>0</v>
      </c>
      <c r="K760" s="83">
        <f>SUM(K761:K764)</f>
        <v>1204948</v>
      </c>
      <c r="L760" s="58">
        <f>SUM(L761:L764)</f>
        <v>1198167.72</v>
      </c>
      <c r="M760" s="15">
        <f>IF(K760&gt;0,L760/K760*100,"-")</f>
        <v>99.437296879201426</v>
      </c>
      <c r="N760" s="663" t="s">
        <v>444</v>
      </c>
    </row>
    <row r="761" spans="1:14" s="40" customFormat="1" ht="11.45" customHeight="1" outlineLevel="1">
      <c r="A761" s="660"/>
      <c r="B761" s="29"/>
      <c r="C761" s="656"/>
      <c r="D761" s="673"/>
      <c r="E761" s="667"/>
      <c r="F761" s="571" t="s">
        <v>18</v>
      </c>
      <c r="G761" s="80">
        <v>489136</v>
      </c>
      <c r="H761" s="80">
        <f>ROUNDUP(24477+L761,0)</f>
        <v>482356</v>
      </c>
      <c r="I761" s="381">
        <f>IF(G761&gt;0,H761/G761*100,"-")</f>
        <v>98.613882437604261</v>
      </c>
      <c r="J761" s="80">
        <v>0</v>
      </c>
      <c r="K761" s="80">
        <v>464659</v>
      </c>
      <c r="L761" s="34">
        <v>457878.72</v>
      </c>
      <c r="M761" s="33">
        <f>IF(K761&gt;0,L761/K761*100,"-")</f>
        <v>98.540805192625129</v>
      </c>
      <c r="N761" s="663"/>
    </row>
    <row r="762" spans="1:14" s="40" customFormat="1" ht="22.5" outlineLevel="1">
      <c r="A762" s="660"/>
      <c r="B762" s="29" t="s">
        <v>24</v>
      </c>
      <c r="C762" s="619" t="s">
        <v>327</v>
      </c>
      <c r="D762" s="673"/>
      <c r="E762" s="667"/>
      <c r="F762" s="571" t="s">
        <v>221</v>
      </c>
      <c r="G762" s="80">
        <v>740289</v>
      </c>
      <c r="H762" s="80">
        <f>ROUNDUP(0+L762,0)</f>
        <v>740289</v>
      </c>
      <c r="I762" s="381">
        <f t="shared" ref="I762:I763" si="170">IF(G762&gt;0,H762/G762*100,"-")</f>
        <v>100</v>
      </c>
      <c r="J762" s="80">
        <v>0</v>
      </c>
      <c r="K762" s="80">
        <v>740289</v>
      </c>
      <c r="L762" s="363">
        <v>740289</v>
      </c>
      <c r="M762" s="33">
        <f t="shared" ref="M762:M763" si="171">IF(K762&gt;0,L762/K762*100,"-")</f>
        <v>100</v>
      </c>
      <c r="N762" s="663"/>
    </row>
    <row r="763" spans="1:14" s="40" customFormat="1" ht="11.45" customHeight="1" outlineLevel="1">
      <c r="A763" s="660"/>
      <c r="B763" s="187"/>
      <c r="C763" s="586"/>
      <c r="D763" s="673"/>
      <c r="E763" s="667"/>
      <c r="F763" s="571" t="s">
        <v>23</v>
      </c>
      <c r="G763" s="80">
        <v>0</v>
      </c>
      <c r="H763" s="80">
        <f>ROUNDUP(0+L763,0)</f>
        <v>0</v>
      </c>
      <c r="I763" s="381" t="str">
        <f t="shared" si="170"/>
        <v>-</v>
      </c>
      <c r="J763" s="80">
        <v>0</v>
      </c>
      <c r="K763" s="80">
        <v>0</v>
      </c>
      <c r="L763" s="363">
        <v>0</v>
      </c>
      <c r="M763" s="33" t="str">
        <f t="shared" si="171"/>
        <v>-</v>
      </c>
      <c r="N763" s="663"/>
    </row>
    <row r="764" spans="1:14" s="40" customFormat="1" ht="11.45" customHeight="1" outlineLevel="1">
      <c r="A764" s="632"/>
      <c r="B764" s="187"/>
      <c r="C764" s="586"/>
      <c r="D764" s="673"/>
      <c r="E764" s="667"/>
      <c r="F764" s="594"/>
      <c r="G764" s="80"/>
      <c r="H764" s="80"/>
      <c r="I764" s="381"/>
      <c r="J764" s="80"/>
      <c r="K764" s="80"/>
      <c r="L764" s="363"/>
      <c r="M764" s="33"/>
      <c r="N764" s="663"/>
    </row>
    <row r="765" spans="1:14" s="40" customFormat="1" ht="3.95" customHeight="1" outlineLevel="1">
      <c r="A765" s="62"/>
      <c r="B765" s="36"/>
      <c r="C765" s="602"/>
      <c r="D765" s="620"/>
      <c r="E765" s="620"/>
      <c r="F765" s="375"/>
      <c r="G765" s="538"/>
      <c r="H765" s="538"/>
      <c r="I765" s="375"/>
      <c r="J765" s="538"/>
      <c r="K765" s="392"/>
      <c r="L765" s="37"/>
      <c r="M765" s="38"/>
      <c r="N765" s="647"/>
    </row>
    <row r="766" spans="1:14" s="40" customFormat="1" ht="3.95" customHeight="1" outlineLevel="1">
      <c r="A766" s="434"/>
      <c r="B766" s="26"/>
      <c r="C766" s="591"/>
      <c r="D766" s="637"/>
      <c r="E766" s="637"/>
      <c r="F766" s="640"/>
      <c r="G766" s="540"/>
      <c r="H766" s="540"/>
      <c r="I766" s="376"/>
      <c r="J766" s="540"/>
      <c r="K766" s="84"/>
      <c r="L766" s="407"/>
      <c r="M766" s="28"/>
      <c r="N766" s="557"/>
    </row>
    <row r="767" spans="1:14" s="40" customFormat="1" ht="11.45" customHeight="1" outlineLevel="1">
      <c r="A767" s="660" t="s">
        <v>350</v>
      </c>
      <c r="B767" s="29" t="s">
        <v>29</v>
      </c>
      <c r="C767" s="655" t="s">
        <v>534</v>
      </c>
      <c r="D767" s="667" t="s">
        <v>264</v>
      </c>
      <c r="E767" s="667" t="s">
        <v>332</v>
      </c>
      <c r="F767" s="593" t="s">
        <v>30</v>
      </c>
      <c r="G767" s="83">
        <f>SUM(G768:G771)</f>
        <v>1078430</v>
      </c>
      <c r="H767" s="83">
        <f>SUM(H768:H771)</f>
        <v>1077453</v>
      </c>
      <c r="I767" s="379">
        <f>IF(G767&gt;0,H767/G767*100,"-")</f>
        <v>99.909405339243165</v>
      </c>
      <c r="J767" s="83">
        <f>SUM(J768:J771)</f>
        <v>800000</v>
      </c>
      <c r="K767" s="83">
        <f>SUM(K768:K771)</f>
        <v>1025354</v>
      </c>
      <c r="L767" s="58">
        <f>SUM(L768:L771)</f>
        <v>1024377.42</v>
      </c>
      <c r="M767" s="15">
        <f>IF(K767&gt;0,L767/K767*100,"-")</f>
        <v>99.904756796189417</v>
      </c>
      <c r="N767" s="663" t="s">
        <v>444</v>
      </c>
    </row>
    <row r="768" spans="1:14" s="40" customFormat="1" ht="11.45" customHeight="1" outlineLevel="1">
      <c r="A768" s="660"/>
      <c r="B768" s="187"/>
      <c r="C768" s="655"/>
      <c r="D768" s="667"/>
      <c r="E768" s="667"/>
      <c r="F768" s="571" t="s">
        <v>18</v>
      </c>
      <c r="G768" s="80">
        <v>903430</v>
      </c>
      <c r="H768" s="80">
        <f>ROUNDUP(53075.58+L768,0)</f>
        <v>902453</v>
      </c>
      <c r="I768" s="381">
        <f>IF(G768&gt;0,H768/G768*100,"-")</f>
        <v>99.891856590992106</v>
      </c>
      <c r="J768" s="80">
        <v>800000</v>
      </c>
      <c r="K768" s="80">
        <v>850354</v>
      </c>
      <c r="L768" s="34">
        <v>849377.42</v>
      </c>
      <c r="M768" s="33">
        <f>IF(K768&gt;0,L768/K768*100,"-")</f>
        <v>99.885156064415526</v>
      </c>
      <c r="N768" s="663"/>
    </row>
    <row r="769" spans="1:14" s="40" customFormat="1" ht="11.45" customHeight="1" outlineLevel="1">
      <c r="A769" s="660"/>
      <c r="C769" s="655"/>
      <c r="D769" s="667"/>
      <c r="E769" s="667"/>
      <c r="F769" s="571" t="s">
        <v>221</v>
      </c>
      <c r="G769" s="80">
        <v>0</v>
      </c>
      <c r="H769" s="80">
        <f>ROUNDUP(0+L769,0)</f>
        <v>0</v>
      </c>
      <c r="I769" s="381" t="str">
        <f t="shared" ref="I769:I770" si="172">IF(G769&gt;0,H769/G769*100,"-")</f>
        <v>-</v>
      </c>
      <c r="J769" s="80">
        <v>0</v>
      </c>
      <c r="K769" s="80">
        <v>0</v>
      </c>
      <c r="L769" s="363">
        <v>0</v>
      </c>
      <c r="M769" s="33" t="str">
        <f t="shared" ref="M769:M770" si="173">IF(K769&gt;0,L769/K769*100,"-")</f>
        <v>-</v>
      </c>
      <c r="N769" s="663"/>
    </row>
    <row r="770" spans="1:14" s="40" customFormat="1" ht="11.45" customHeight="1" outlineLevel="1">
      <c r="A770" s="660"/>
      <c r="C770" s="655"/>
      <c r="D770" s="667"/>
      <c r="E770" s="667"/>
      <c r="F770" s="571" t="s">
        <v>23</v>
      </c>
      <c r="G770" s="80">
        <v>175000</v>
      </c>
      <c r="H770" s="80">
        <f>ROUNDUP(0+L770,0)</f>
        <v>175000</v>
      </c>
      <c r="I770" s="381">
        <f t="shared" si="172"/>
        <v>100</v>
      </c>
      <c r="J770" s="80">
        <v>0</v>
      </c>
      <c r="K770" s="80">
        <v>175000</v>
      </c>
      <c r="L770" s="363">
        <v>175000</v>
      </c>
      <c r="M770" s="33">
        <f t="shared" si="173"/>
        <v>100</v>
      </c>
      <c r="N770" s="663"/>
    </row>
    <row r="771" spans="1:14" s="40" customFormat="1" ht="22.5" outlineLevel="1">
      <c r="A771" s="660"/>
      <c r="B771" s="29" t="s">
        <v>24</v>
      </c>
      <c r="C771" s="586" t="s">
        <v>333</v>
      </c>
      <c r="D771" s="667"/>
      <c r="E771" s="667"/>
      <c r="F771" s="594"/>
      <c r="G771" s="80"/>
      <c r="H771" s="80"/>
      <c r="I771" s="381"/>
      <c r="J771" s="80"/>
      <c r="K771" s="80"/>
      <c r="L771" s="363"/>
      <c r="M771" s="33"/>
      <c r="N771" s="663"/>
    </row>
    <row r="772" spans="1:14" s="40" customFormat="1" ht="3.95" customHeight="1" outlineLevel="1">
      <c r="A772" s="62"/>
      <c r="B772" s="36"/>
      <c r="C772" s="602"/>
      <c r="D772" s="620"/>
      <c r="E772" s="620"/>
      <c r="F772" s="375"/>
      <c r="G772" s="538"/>
      <c r="H772" s="538"/>
      <c r="I772" s="375"/>
      <c r="J772" s="538"/>
      <c r="K772" s="392"/>
      <c r="L772" s="37"/>
      <c r="M772" s="38"/>
      <c r="N772" s="647"/>
    </row>
    <row r="773" spans="1:14" s="40" customFormat="1" ht="3.95" customHeight="1" outlineLevel="1">
      <c r="A773" s="434"/>
      <c r="B773" s="26"/>
      <c r="C773" s="591"/>
      <c r="D773" s="637"/>
      <c r="E773" s="637"/>
      <c r="F773" s="640"/>
      <c r="G773" s="540"/>
      <c r="H773" s="540"/>
      <c r="I773" s="376"/>
      <c r="J773" s="540"/>
      <c r="K773" s="84"/>
      <c r="L773" s="407"/>
      <c r="M773" s="28"/>
      <c r="N773" s="557"/>
    </row>
    <row r="774" spans="1:14" s="40" customFormat="1" ht="11.45" customHeight="1" outlineLevel="1">
      <c r="A774" s="660" t="s">
        <v>352</v>
      </c>
      <c r="B774" s="29" t="s">
        <v>29</v>
      </c>
      <c r="C774" s="618" t="s">
        <v>335</v>
      </c>
      <c r="D774" s="667" t="s">
        <v>274</v>
      </c>
      <c r="E774" s="667" t="s">
        <v>336</v>
      </c>
      <c r="F774" s="593" t="s">
        <v>30</v>
      </c>
      <c r="G774" s="83">
        <f>SUM(G775:G778)</f>
        <v>750000</v>
      </c>
      <c r="H774" s="83">
        <f>SUM(H775:H778)</f>
        <v>23889</v>
      </c>
      <c r="I774" s="379">
        <f>IF(G774&gt;0,H774/G774*100,"-")</f>
        <v>3.1852</v>
      </c>
      <c r="J774" s="83">
        <f>SUM(J775:J778)</f>
        <v>5000</v>
      </c>
      <c r="K774" s="83">
        <f>SUM(K775:K778)</f>
        <v>30000</v>
      </c>
      <c r="L774" s="58">
        <f>SUM(L775:L778)</f>
        <v>23888.93</v>
      </c>
      <c r="M774" s="15">
        <f>IF(K774&gt;0,L774/K774*100,"-")</f>
        <v>79.629766666666669</v>
      </c>
      <c r="N774" s="663" t="s">
        <v>447</v>
      </c>
    </row>
    <row r="775" spans="1:14" s="40" customFormat="1" ht="22.5" outlineLevel="1">
      <c r="A775" s="660"/>
      <c r="B775" s="29" t="s">
        <v>24</v>
      </c>
      <c r="C775" s="619" t="s">
        <v>337</v>
      </c>
      <c r="D775" s="667"/>
      <c r="E775" s="667"/>
      <c r="F775" s="571" t="s">
        <v>18</v>
      </c>
      <c r="G775" s="80">
        <v>750000</v>
      </c>
      <c r="H775" s="80">
        <f>ROUNDUP(0+L775,0)</f>
        <v>23889</v>
      </c>
      <c r="I775" s="381">
        <f>IF(G775&gt;0,H775/G775*100,"-")</f>
        <v>3.1852</v>
      </c>
      <c r="J775" s="80">
        <v>5000</v>
      </c>
      <c r="K775" s="80">
        <v>30000</v>
      </c>
      <c r="L775" s="34">
        <v>23888.93</v>
      </c>
      <c r="M775" s="33">
        <f>IF(K775&gt;0,L775/K775*100,"-")</f>
        <v>79.629766666666669</v>
      </c>
      <c r="N775" s="663"/>
    </row>
    <row r="776" spans="1:14" s="40" customFormat="1" ht="11.45" customHeight="1" outlineLevel="1">
      <c r="A776" s="660"/>
      <c r="B776" s="187"/>
      <c r="C776" s="586" t="s">
        <v>338</v>
      </c>
      <c r="D776" s="667"/>
      <c r="E776" s="667"/>
      <c r="F776" s="571" t="s">
        <v>221</v>
      </c>
      <c r="G776" s="80">
        <v>0</v>
      </c>
      <c r="H776" s="80">
        <f>ROUNDUP(0+L776,0)</f>
        <v>0</v>
      </c>
      <c r="I776" s="381" t="str">
        <f t="shared" ref="I776:I777" si="174">IF(G776&gt;0,H776/G776*100,"-")</f>
        <v>-</v>
      </c>
      <c r="J776" s="80">
        <v>0</v>
      </c>
      <c r="K776" s="80">
        <v>0</v>
      </c>
      <c r="L776" s="363">
        <v>0</v>
      </c>
      <c r="M776" s="33" t="str">
        <f t="shared" ref="M776:M777" si="175">IF(K776&gt;0,L776/K776*100,"-")</f>
        <v>-</v>
      </c>
      <c r="N776" s="663"/>
    </row>
    <row r="777" spans="1:14" s="40" customFormat="1" ht="15" customHeight="1" outlineLevel="1">
      <c r="A777" s="660"/>
      <c r="B777" s="187"/>
      <c r="C777" s="586"/>
      <c r="D777" s="667"/>
      <c r="E777" s="667"/>
      <c r="F777" s="571" t="s">
        <v>23</v>
      </c>
      <c r="G777" s="80">
        <v>0</v>
      </c>
      <c r="H777" s="80">
        <f>ROUNDUP(0+L777,0)</f>
        <v>0</v>
      </c>
      <c r="I777" s="381" t="str">
        <f t="shared" si="174"/>
        <v>-</v>
      </c>
      <c r="J777" s="80">
        <v>0</v>
      </c>
      <c r="K777" s="80">
        <v>0</v>
      </c>
      <c r="L777" s="363">
        <v>0</v>
      </c>
      <c r="M777" s="33" t="str">
        <f t="shared" si="175"/>
        <v>-</v>
      </c>
      <c r="N777" s="663"/>
    </row>
    <row r="778" spans="1:14" s="40" customFormat="1" ht="11.45" customHeight="1" outlineLevel="1">
      <c r="A778" s="632"/>
      <c r="B778" s="187"/>
      <c r="C778" s="586"/>
      <c r="D778" s="667"/>
      <c r="E778" s="667"/>
      <c r="F778" s="594"/>
      <c r="G778" s="80"/>
      <c r="H778" s="80"/>
      <c r="I778" s="381"/>
      <c r="J778" s="80"/>
      <c r="K778" s="80"/>
      <c r="L778" s="363"/>
      <c r="M778" s="33"/>
      <c r="N778" s="663"/>
    </row>
    <row r="779" spans="1:14" s="40" customFormat="1" ht="3.95" customHeight="1" outlineLevel="1">
      <c r="A779" s="62"/>
      <c r="B779" s="36"/>
      <c r="C779" s="602"/>
      <c r="D779" s="620"/>
      <c r="E779" s="620"/>
      <c r="F779" s="375"/>
      <c r="G779" s="538"/>
      <c r="H779" s="538"/>
      <c r="I779" s="375"/>
      <c r="J779" s="538"/>
      <c r="K779" s="392"/>
      <c r="L779" s="37"/>
      <c r="M779" s="38"/>
      <c r="N779" s="647"/>
    </row>
    <row r="780" spans="1:14" s="40" customFormat="1" ht="3.95" customHeight="1" outlineLevel="1">
      <c r="A780" s="434"/>
      <c r="B780" s="26"/>
      <c r="C780" s="591"/>
      <c r="D780" s="637"/>
      <c r="E780" s="637"/>
      <c r="F780" s="640"/>
      <c r="G780" s="540"/>
      <c r="H780" s="540"/>
      <c r="I780" s="376"/>
      <c r="J780" s="540"/>
      <c r="K780" s="84"/>
      <c r="L780" s="407"/>
      <c r="M780" s="28"/>
      <c r="N780" s="557"/>
    </row>
    <row r="781" spans="1:14" s="40" customFormat="1" ht="11.45" customHeight="1" outlineLevel="1">
      <c r="A781" s="660" t="s">
        <v>355</v>
      </c>
      <c r="B781" s="29" t="s">
        <v>29</v>
      </c>
      <c r="C781" s="656" t="s">
        <v>535</v>
      </c>
      <c r="D781" s="667" t="s">
        <v>360</v>
      </c>
      <c r="E781" s="667" t="s">
        <v>336</v>
      </c>
      <c r="F781" s="593" t="s">
        <v>30</v>
      </c>
      <c r="G781" s="83">
        <f>SUM(G782:G785)</f>
        <v>2160000</v>
      </c>
      <c r="H781" s="83">
        <f>SUM(H782:H785)</f>
        <v>2617</v>
      </c>
      <c r="I781" s="379">
        <f>IF(G781&gt;0,H781/G781*100,"-")</f>
        <v>0.12115740740740741</v>
      </c>
      <c r="J781" s="83">
        <f>SUM(J782:J785)</f>
        <v>0</v>
      </c>
      <c r="K781" s="83">
        <f>SUM(K782:K785)</f>
        <v>10000</v>
      </c>
      <c r="L781" s="58">
        <f>SUM(L782:L785)</f>
        <v>2616.9</v>
      </c>
      <c r="M781" s="15">
        <f>IF(K781&gt;0,L781/K781*100,"-")</f>
        <v>26.169000000000004</v>
      </c>
      <c r="N781" s="663" t="s">
        <v>448</v>
      </c>
    </row>
    <row r="782" spans="1:14" s="40" customFormat="1" ht="23.25" customHeight="1" outlineLevel="1">
      <c r="A782" s="660"/>
      <c r="B782" s="29"/>
      <c r="C782" s="656"/>
      <c r="D782" s="667"/>
      <c r="E782" s="667"/>
      <c r="F782" s="571" t="s">
        <v>18</v>
      </c>
      <c r="G782" s="80">
        <v>2160000</v>
      </c>
      <c r="H782" s="80">
        <f>ROUNDUP(0+L782,0)</f>
        <v>2617</v>
      </c>
      <c r="I782" s="381">
        <f>IF(G782&gt;0,H782/G782*100,"-")</f>
        <v>0.12115740740740741</v>
      </c>
      <c r="J782" s="80">
        <v>0</v>
      </c>
      <c r="K782" s="80">
        <v>10000</v>
      </c>
      <c r="L782" s="34">
        <v>2616.9</v>
      </c>
      <c r="M782" s="33">
        <f>IF(K782&gt;0,L782/K782*100,"-")</f>
        <v>26.169000000000004</v>
      </c>
      <c r="N782" s="663"/>
    </row>
    <row r="783" spans="1:14" s="40" customFormat="1" ht="28.5" customHeight="1" outlineLevel="1">
      <c r="A783" s="660"/>
      <c r="B783" s="29"/>
      <c r="C783" s="656"/>
      <c r="D783" s="667"/>
      <c r="E783" s="667"/>
      <c r="F783" s="571" t="s">
        <v>221</v>
      </c>
      <c r="G783" s="80">
        <v>0</v>
      </c>
      <c r="H783" s="80">
        <f>ROUNDUP(0+L783,0)</f>
        <v>0</v>
      </c>
      <c r="I783" s="381" t="str">
        <f t="shared" ref="I783:I784" si="176">IF(G783&gt;0,H783/G783*100,"-")</f>
        <v>-</v>
      </c>
      <c r="J783" s="80">
        <v>0</v>
      </c>
      <c r="K783" s="80">
        <v>0</v>
      </c>
      <c r="L783" s="363">
        <v>0</v>
      </c>
      <c r="M783" s="33" t="str">
        <f t="shared" ref="M783:M784" si="177">IF(K783&gt;0,L783/K783*100,"-")</f>
        <v>-</v>
      </c>
      <c r="N783" s="663"/>
    </row>
    <row r="784" spans="1:14" s="40" customFormat="1" ht="22.5" outlineLevel="1">
      <c r="A784" s="660"/>
      <c r="B784" s="29" t="s">
        <v>24</v>
      </c>
      <c r="C784" s="619" t="s">
        <v>337</v>
      </c>
      <c r="D784" s="667"/>
      <c r="E784" s="667"/>
      <c r="F784" s="571" t="s">
        <v>23</v>
      </c>
      <c r="G784" s="80">
        <v>0</v>
      </c>
      <c r="H784" s="80">
        <f>ROUNDUP(0+L784,0)</f>
        <v>0</v>
      </c>
      <c r="I784" s="381" t="str">
        <f t="shared" si="176"/>
        <v>-</v>
      </c>
      <c r="J784" s="80">
        <v>0</v>
      </c>
      <c r="K784" s="80">
        <v>0</v>
      </c>
      <c r="L784" s="363">
        <v>0</v>
      </c>
      <c r="M784" s="33" t="str">
        <f t="shared" si="177"/>
        <v>-</v>
      </c>
      <c r="N784" s="663"/>
    </row>
    <row r="785" spans="1:14" s="40" customFormat="1" ht="15.75" customHeight="1" outlineLevel="1">
      <c r="A785" s="632"/>
      <c r="B785" s="29"/>
      <c r="C785" s="619" t="s">
        <v>338</v>
      </c>
      <c r="D785" s="667"/>
      <c r="E785" s="667"/>
      <c r="F785" s="594"/>
      <c r="G785" s="80"/>
      <c r="H785" s="80"/>
      <c r="I785" s="381"/>
      <c r="J785" s="80"/>
      <c r="K785" s="80"/>
      <c r="L785" s="363"/>
      <c r="M785" s="33"/>
      <c r="N785" s="663"/>
    </row>
    <row r="786" spans="1:14" s="40" customFormat="1" ht="3.95" customHeight="1" outlineLevel="1">
      <c r="A786" s="62"/>
      <c r="B786" s="36"/>
      <c r="C786" s="602"/>
      <c r="D786" s="620"/>
      <c r="E786" s="620"/>
      <c r="F786" s="375"/>
      <c r="G786" s="538"/>
      <c r="H786" s="538"/>
      <c r="I786" s="375"/>
      <c r="J786" s="538"/>
      <c r="K786" s="392"/>
      <c r="L786" s="37"/>
      <c r="M786" s="38"/>
      <c r="N786" s="647"/>
    </row>
    <row r="787" spans="1:14" s="40" customFormat="1" ht="3.95" customHeight="1" outlineLevel="1">
      <c r="A787" s="434"/>
      <c r="B787" s="26"/>
      <c r="C787" s="591"/>
      <c r="D787" s="637"/>
      <c r="E787" s="637"/>
      <c r="F787" s="640"/>
      <c r="G787" s="540"/>
      <c r="H787" s="540"/>
      <c r="I787" s="376"/>
      <c r="J787" s="540"/>
      <c r="K787" s="84"/>
      <c r="L787" s="407"/>
      <c r="M787" s="28"/>
      <c r="N787" s="557"/>
    </row>
    <row r="788" spans="1:14" s="40" customFormat="1" ht="11.45" customHeight="1" outlineLevel="1">
      <c r="A788" s="660" t="s">
        <v>357</v>
      </c>
      <c r="B788" s="29" t="s">
        <v>29</v>
      </c>
      <c r="C788" s="618" t="s">
        <v>340</v>
      </c>
      <c r="D788" s="667" t="s">
        <v>274</v>
      </c>
      <c r="E788" s="667" t="s">
        <v>336</v>
      </c>
      <c r="F788" s="593" t="s">
        <v>30</v>
      </c>
      <c r="G788" s="83">
        <f>SUM(G789:G792)</f>
        <v>1030000</v>
      </c>
      <c r="H788" s="83">
        <f>SUM(H789:H792)</f>
        <v>244020</v>
      </c>
      <c r="I788" s="379">
        <f>IF(G788&gt;0,H788/G788*100,"-")</f>
        <v>23.691262135922329</v>
      </c>
      <c r="J788" s="83">
        <f>SUM(J789:J792)</f>
        <v>260000</v>
      </c>
      <c r="K788" s="83">
        <f>SUM(K789:K792)</f>
        <v>250000</v>
      </c>
      <c r="L788" s="58">
        <f>SUM(L789:L792)</f>
        <v>244019.69</v>
      </c>
      <c r="M788" s="15">
        <f>IF(K788&gt;0,L788/K788*100,"-")</f>
        <v>97.607876000000005</v>
      </c>
      <c r="N788" s="663" t="s">
        <v>449</v>
      </c>
    </row>
    <row r="789" spans="1:14" s="40" customFormat="1" ht="27.75" customHeight="1" outlineLevel="1">
      <c r="A789" s="660"/>
      <c r="B789" s="29" t="s">
        <v>24</v>
      </c>
      <c r="C789" s="619" t="s">
        <v>337</v>
      </c>
      <c r="D789" s="667"/>
      <c r="E789" s="667"/>
      <c r="F789" s="571" t="s">
        <v>18</v>
      </c>
      <c r="G789" s="80">
        <v>1030000</v>
      </c>
      <c r="H789" s="80">
        <f>ROUNDUP(0+L789,0)</f>
        <v>244020</v>
      </c>
      <c r="I789" s="381">
        <f>IF(G789&gt;0,H789/G789*100,"-")</f>
        <v>23.691262135922329</v>
      </c>
      <c r="J789" s="80">
        <v>260000</v>
      </c>
      <c r="K789" s="80">
        <v>250000</v>
      </c>
      <c r="L789" s="34">
        <v>244019.69</v>
      </c>
      <c r="M789" s="33">
        <f>IF(K789&gt;0,L789/K789*100,"-")</f>
        <v>97.607876000000005</v>
      </c>
      <c r="N789" s="663"/>
    </row>
    <row r="790" spans="1:14" s="40" customFormat="1" ht="11.45" customHeight="1" outlineLevel="1">
      <c r="A790" s="660"/>
      <c r="B790" s="29"/>
      <c r="C790" s="619" t="s">
        <v>338</v>
      </c>
      <c r="D790" s="667"/>
      <c r="E790" s="667"/>
      <c r="F790" s="571" t="s">
        <v>221</v>
      </c>
      <c r="G790" s="80">
        <v>0</v>
      </c>
      <c r="H790" s="80">
        <f>ROUNDUP(0+L790,0)</f>
        <v>0</v>
      </c>
      <c r="I790" s="381" t="str">
        <f t="shared" ref="I790:I791" si="178">IF(G790&gt;0,H790/G790*100,"-")</f>
        <v>-</v>
      </c>
      <c r="J790" s="80">
        <v>0</v>
      </c>
      <c r="K790" s="80">
        <v>0</v>
      </c>
      <c r="L790" s="363">
        <v>0</v>
      </c>
      <c r="M790" s="33" t="str">
        <f t="shared" ref="M790:M791" si="179">IF(K790&gt;0,L790/K790*100,"-")</f>
        <v>-</v>
      </c>
      <c r="N790" s="663"/>
    </row>
    <row r="791" spans="1:14" s="40" customFormat="1" ht="17.25" customHeight="1" outlineLevel="1">
      <c r="A791" s="660"/>
      <c r="B791" s="4"/>
      <c r="C791" s="619"/>
      <c r="D791" s="667"/>
      <c r="E791" s="667"/>
      <c r="F791" s="571" t="s">
        <v>23</v>
      </c>
      <c r="G791" s="80">
        <v>0</v>
      </c>
      <c r="H791" s="80">
        <f>ROUNDUP(0+L791,0)</f>
        <v>0</v>
      </c>
      <c r="I791" s="381" t="str">
        <f t="shared" si="178"/>
        <v>-</v>
      </c>
      <c r="J791" s="80">
        <v>0</v>
      </c>
      <c r="K791" s="80">
        <v>0</v>
      </c>
      <c r="L791" s="363">
        <v>0</v>
      </c>
      <c r="M791" s="33" t="str">
        <f t="shared" si="179"/>
        <v>-</v>
      </c>
      <c r="N791" s="663"/>
    </row>
    <row r="792" spans="1:14" s="40" customFormat="1" ht="11.45" customHeight="1" outlineLevel="1">
      <c r="A792" s="632"/>
      <c r="B792" s="4"/>
      <c r="C792" s="619"/>
      <c r="D792" s="667"/>
      <c r="E792" s="667"/>
      <c r="F792" s="594"/>
      <c r="G792" s="80"/>
      <c r="H792" s="80"/>
      <c r="I792" s="381"/>
      <c r="J792" s="80"/>
      <c r="K792" s="80"/>
      <c r="L792" s="363"/>
      <c r="M792" s="33"/>
      <c r="N792" s="663"/>
    </row>
    <row r="793" spans="1:14" s="40" customFormat="1" ht="3.95" customHeight="1" outlineLevel="1">
      <c r="A793" s="62"/>
      <c r="B793" s="36"/>
      <c r="C793" s="602"/>
      <c r="D793" s="620"/>
      <c r="E793" s="620"/>
      <c r="F793" s="375"/>
      <c r="G793" s="538"/>
      <c r="H793" s="538"/>
      <c r="I793" s="375"/>
      <c r="J793" s="538"/>
      <c r="K793" s="392"/>
      <c r="L793" s="37"/>
      <c r="M793" s="38"/>
      <c r="N793" s="647"/>
    </row>
    <row r="794" spans="1:14" s="40" customFormat="1" ht="3.95" customHeight="1" outlineLevel="1">
      <c r="A794" s="434"/>
      <c r="B794" s="26"/>
      <c r="C794" s="591"/>
      <c r="D794" s="637"/>
      <c r="E794" s="637"/>
      <c r="F794" s="640"/>
      <c r="G794" s="540"/>
      <c r="H794" s="540"/>
      <c r="I794" s="376"/>
      <c r="J794" s="540"/>
      <c r="K794" s="84"/>
      <c r="L794" s="407"/>
      <c r="M794" s="28"/>
      <c r="N794" s="557"/>
    </row>
    <row r="795" spans="1:14" s="40" customFormat="1" ht="11.45" customHeight="1" outlineLevel="1">
      <c r="A795" s="660" t="s">
        <v>359</v>
      </c>
      <c r="B795" s="29" t="s">
        <v>29</v>
      </c>
      <c r="C795" s="618" t="s">
        <v>342</v>
      </c>
      <c r="D795" s="667" t="s">
        <v>264</v>
      </c>
      <c r="E795" s="667" t="s">
        <v>336</v>
      </c>
      <c r="F795" s="593" t="s">
        <v>30</v>
      </c>
      <c r="G795" s="83">
        <f>SUM(G796:G799)</f>
        <v>65687</v>
      </c>
      <c r="H795" s="83">
        <f>SUM(H796:H799)</f>
        <v>65603</v>
      </c>
      <c r="I795" s="379">
        <f>IF(G795&gt;0,H795/G795*100,"-")</f>
        <v>99.872120815382033</v>
      </c>
      <c r="J795" s="83">
        <f>SUM(J796:J799)</f>
        <v>2500000</v>
      </c>
      <c r="K795" s="83">
        <f>SUM(K796:K799)</f>
        <v>15200</v>
      </c>
      <c r="L795" s="58">
        <f>SUM(L796:L799)</f>
        <v>15115.01</v>
      </c>
      <c r="M795" s="15">
        <f>IF(K795&gt;0,L795/K795*100,"-")</f>
        <v>99.4408552631579</v>
      </c>
      <c r="N795" s="663" t="s">
        <v>450</v>
      </c>
    </row>
    <row r="796" spans="1:14" s="40" customFormat="1" ht="22.5" outlineLevel="1">
      <c r="A796" s="660"/>
      <c r="B796" s="29" t="s">
        <v>24</v>
      </c>
      <c r="C796" s="619" t="s">
        <v>337</v>
      </c>
      <c r="D796" s="667"/>
      <c r="E796" s="667"/>
      <c r="F796" s="571" t="s">
        <v>18</v>
      </c>
      <c r="G796" s="80">
        <v>65687</v>
      </c>
      <c r="H796" s="80">
        <f>ROUNDUP(50487+L796,0)</f>
        <v>65603</v>
      </c>
      <c r="I796" s="381">
        <f>IF(G796&gt;0,H796/G796*100,"-")</f>
        <v>99.872120815382033</v>
      </c>
      <c r="J796" s="80">
        <v>2500000</v>
      </c>
      <c r="K796" s="80">
        <v>15200</v>
      </c>
      <c r="L796" s="34">
        <v>15115.01</v>
      </c>
      <c r="M796" s="33">
        <f>IF(K796&gt;0,L796/K796*100,"-")</f>
        <v>99.4408552631579</v>
      </c>
      <c r="N796" s="663"/>
    </row>
    <row r="797" spans="1:14" s="40" customFormat="1" ht="11.45" customHeight="1" outlineLevel="1">
      <c r="A797" s="660"/>
      <c r="B797" s="29"/>
      <c r="C797" s="619" t="s">
        <v>338</v>
      </c>
      <c r="D797" s="667"/>
      <c r="E797" s="667"/>
      <c r="F797" s="571" t="s">
        <v>221</v>
      </c>
      <c r="G797" s="80">
        <v>0</v>
      </c>
      <c r="H797" s="80">
        <f>ROUNDUP(0+L797,0)</f>
        <v>0</v>
      </c>
      <c r="I797" s="381" t="str">
        <f t="shared" ref="I797:I798" si="180">IF(G797&gt;0,H797/G797*100,"-")</f>
        <v>-</v>
      </c>
      <c r="J797" s="80">
        <v>0</v>
      </c>
      <c r="K797" s="80">
        <v>0</v>
      </c>
      <c r="L797" s="363">
        <v>0</v>
      </c>
      <c r="M797" s="33" t="str">
        <f t="shared" ref="M797:M798" si="181">IF(K797&gt;0,L797/K797*100,"-")</f>
        <v>-</v>
      </c>
      <c r="N797" s="663"/>
    </row>
    <row r="798" spans="1:14" s="40" customFormat="1" ht="11.45" customHeight="1" outlineLevel="1">
      <c r="A798" s="660"/>
      <c r="B798" s="29"/>
      <c r="C798" s="619"/>
      <c r="D798" s="667"/>
      <c r="E798" s="667"/>
      <c r="F798" s="571" t="s">
        <v>23</v>
      </c>
      <c r="G798" s="80">
        <v>0</v>
      </c>
      <c r="H798" s="80">
        <f>ROUNDUP(0+L798,0)</f>
        <v>0</v>
      </c>
      <c r="I798" s="381" t="str">
        <f t="shared" si="180"/>
        <v>-</v>
      </c>
      <c r="J798" s="80">
        <v>0</v>
      </c>
      <c r="K798" s="80">
        <v>0</v>
      </c>
      <c r="L798" s="363">
        <v>0</v>
      </c>
      <c r="M798" s="33" t="str">
        <f t="shared" si="181"/>
        <v>-</v>
      </c>
      <c r="N798" s="663"/>
    </row>
    <row r="799" spans="1:14" s="40" customFormat="1" ht="18" customHeight="1" outlineLevel="1">
      <c r="A799" s="632"/>
      <c r="B799" s="29"/>
      <c r="C799" s="619"/>
      <c r="D799" s="667"/>
      <c r="E799" s="667"/>
      <c r="F799" s="594"/>
      <c r="G799" s="80"/>
      <c r="H799" s="80"/>
      <c r="I799" s="381"/>
      <c r="J799" s="80"/>
      <c r="K799" s="80"/>
      <c r="L799" s="363"/>
      <c r="M799" s="33"/>
      <c r="N799" s="663"/>
    </row>
    <row r="800" spans="1:14" s="40" customFormat="1" ht="3.95" customHeight="1" outlineLevel="1">
      <c r="A800" s="62"/>
      <c r="B800" s="36"/>
      <c r="C800" s="602"/>
      <c r="D800" s="620"/>
      <c r="E800" s="620"/>
      <c r="F800" s="375"/>
      <c r="G800" s="538"/>
      <c r="H800" s="538"/>
      <c r="I800" s="375"/>
      <c r="J800" s="538"/>
      <c r="K800" s="392"/>
      <c r="L800" s="37"/>
      <c r="M800" s="38"/>
      <c r="N800" s="647"/>
    </row>
    <row r="801" spans="1:14" s="40" customFormat="1" ht="3.95" customHeight="1" outlineLevel="1">
      <c r="A801" s="434"/>
      <c r="B801" s="26"/>
      <c r="C801" s="591"/>
      <c r="D801" s="637"/>
      <c r="E801" s="637"/>
      <c r="F801" s="640"/>
      <c r="G801" s="540"/>
      <c r="H801" s="540"/>
      <c r="I801" s="376"/>
      <c r="J801" s="540"/>
      <c r="K801" s="84"/>
      <c r="L801" s="407"/>
      <c r="M801" s="28"/>
      <c r="N801" s="621"/>
    </row>
    <row r="802" spans="1:14" s="40" customFormat="1" ht="11.45" customHeight="1" outlineLevel="1">
      <c r="A802" s="660" t="s">
        <v>364</v>
      </c>
      <c r="B802" s="29" t="s">
        <v>29</v>
      </c>
      <c r="C802" s="655" t="s">
        <v>536</v>
      </c>
      <c r="D802" s="667" t="s">
        <v>344</v>
      </c>
      <c r="E802" s="667" t="s">
        <v>336</v>
      </c>
      <c r="F802" s="593" t="s">
        <v>30</v>
      </c>
      <c r="G802" s="83">
        <f>SUM(G803:G806)</f>
        <v>2088580</v>
      </c>
      <c r="H802" s="83">
        <f>SUM(H803:H806)</f>
        <v>498580</v>
      </c>
      <c r="I802" s="379">
        <f>IF(G802&gt;0,H802/G802*100,"-")</f>
        <v>23.871721456683488</v>
      </c>
      <c r="J802" s="83">
        <f>SUM(J803:J806)</f>
        <v>1000000</v>
      </c>
      <c r="K802" s="83">
        <f>SUM(K803:K806)</f>
        <v>0</v>
      </c>
      <c r="L802" s="58">
        <f>SUM(L803:L806)</f>
        <v>0</v>
      </c>
      <c r="M802" s="15" t="str">
        <f>IF(K802&gt;0,L802/K802*100,"-")</f>
        <v>-</v>
      </c>
      <c r="N802" s="671" t="s">
        <v>451</v>
      </c>
    </row>
    <row r="803" spans="1:14" s="40" customFormat="1" ht="27" customHeight="1" outlineLevel="1">
      <c r="A803" s="660"/>
      <c r="B803" s="187"/>
      <c r="C803" s="655"/>
      <c r="D803" s="667"/>
      <c r="E803" s="667"/>
      <c r="F803" s="571" t="s">
        <v>18</v>
      </c>
      <c r="G803" s="80">
        <v>2088580</v>
      </c>
      <c r="H803" s="80">
        <f>ROUNDUP(498579.17+L803,0)</f>
        <v>498580</v>
      </c>
      <c r="I803" s="381">
        <f>IF(G803&gt;0,H803/G803*100,"-")</f>
        <v>23.871721456683488</v>
      </c>
      <c r="J803" s="80">
        <v>1000000</v>
      </c>
      <c r="K803" s="80">
        <v>0</v>
      </c>
      <c r="L803" s="34">
        <v>0</v>
      </c>
      <c r="M803" s="33" t="str">
        <f>IF(K803&gt;0,L803/K803*100,"-")</f>
        <v>-</v>
      </c>
      <c r="N803" s="672"/>
    </row>
    <row r="804" spans="1:14" s="40" customFormat="1" ht="22.5" outlineLevel="1">
      <c r="A804" s="660"/>
      <c r="B804" s="29" t="s">
        <v>24</v>
      </c>
      <c r="C804" s="586" t="s">
        <v>345</v>
      </c>
      <c r="D804" s="667"/>
      <c r="E804" s="667"/>
      <c r="F804" s="571" t="s">
        <v>221</v>
      </c>
      <c r="G804" s="80">
        <v>0</v>
      </c>
      <c r="H804" s="80">
        <f>ROUNDUP(0+L804,0)</f>
        <v>0</v>
      </c>
      <c r="I804" s="381" t="str">
        <f t="shared" ref="I804:I805" si="182">IF(G804&gt;0,H804/G804*100,"-")</f>
        <v>-</v>
      </c>
      <c r="J804" s="80">
        <v>0</v>
      </c>
      <c r="K804" s="80">
        <v>0</v>
      </c>
      <c r="L804" s="363">
        <v>0</v>
      </c>
      <c r="M804" s="33" t="str">
        <f t="shared" ref="M804:M805" si="183">IF(K804&gt;0,L804/K804*100,"-")</f>
        <v>-</v>
      </c>
      <c r="N804" s="672"/>
    </row>
    <row r="805" spans="1:14" s="40" customFormat="1" ht="11.45" customHeight="1" outlineLevel="1">
      <c r="A805" s="660"/>
      <c r="B805" s="187"/>
      <c r="C805" s="586" t="s">
        <v>338</v>
      </c>
      <c r="D805" s="667"/>
      <c r="E805" s="667"/>
      <c r="F805" s="571" t="s">
        <v>23</v>
      </c>
      <c r="G805" s="80">
        <v>0</v>
      </c>
      <c r="H805" s="80">
        <f>ROUNDUP(0+L805,0)</f>
        <v>0</v>
      </c>
      <c r="I805" s="381" t="str">
        <f t="shared" si="182"/>
        <v>-</v>
      </c>
      <c r="J805" s="80">
        <v>0</v>
      </c>
      <c r="K805" s="80">
        <v>0</v>
      </c>
      <c r="L805" s="363">
        <v>0</v>
      </c>
      <c r="M805" s="33" t="str">
        <f t="shared" si="183"/>
        <v>-</v>
      </c>
      <c r="N805" s="672"/>
    </row>
    <row r="806" spans="1:14" s="40" customFormat="1" ht="17.25" customHeight="1" outlineLevel="1">
      <c r="A806" s="632"/>
      <c r="B806" s="187"/>
      <c r="C806" s="586"/>
      <c r="D806" s="667"/>
      <c r="E806" s="667"/>
      <c r="F806" s="594"/>
      <c r="G806" s="80"/>
      <c r="H806" s="80"/>
      <c r="I806" s="381"/>
      <c r="J806" s="80"/>
      <c r="K806" s="80"/>
      <c r="L806" s="363"/>
      <c r="M806" s="33"/>
      <c r="N806" s="672"/>
    </row>
    <row r="807" spans="1:14" s="40" customFormat="1" ht="3.75" customHeight="1" outlineLevel="1">
      <c r="A807" s="62"/>
      <c r="B807" s="36"/>
      <c r="C807" s="602"/>
      <c r="D807" s="620"/>
      <c r="E807" s="620"/>
      <c r="F807" s="375"/>
      <c r="G807" s="538"/>
      <c r="H807" s="538"/>
      <c r="I807" s="375"/>
      <c r="J807" s="538"/>
      <c r="K807" s="392"/>
      <c r="L807" s="37"/>
      <c r="M807" s="38"/>
      <c r="N807" s="648"/>
    </row>
    <row r="808" spans="1:14" s="40" customFormat="1" ht="3" customHeight="1" outlineLevel="1">
      <c r="A808" s="434"/>
      <c r="B808" s="26"/>
      <c r="C808" s="591"/>
      <c r="D808" s="637"/>
      <c r="E808" s="637"/>
      <c r="F808" s="640"/>
      <c r="G808" s="540"/>
      <c r="H808" s="540"/>
      <c r="I808" s="376"/>
      <c r="J808" s="540"/>
      <c r="K808" s="84"/>
      <c r="L808" s="407"/>
      <c r="M808" s="28"/>
      <c r="N808" s="557"/>
    </row>
    <row r="809" spans="1:14" s="40" customFormat="1" ht="11.45" customHeight="1" outlineLevel="1">
      <c r="A809" s="660" t="s">
        <v>452</v>
      </c>
      <c r="B809" s="29" t="s">
        <v>29</v>
      </c>
      <c r="C809" s="655" t="s">
        <v>537</v>
      </c>
      <c r="D809" s="667" t="s">
        <v>264</v>
      </c>
      <c r="E809" s="667" t="s">
        <v>336</v>
      </c>
      <c r="F809" s="593" t="s">
        <v>30</v>
      </c>
      <c r="G809" s="83">
        <f>SUM(G810:G813)</f>
        <v>608444</v>
      </c>
      <c r="H809" s="83">
        <f>SUM(H810:H813)</f>
        <v>303482</v>
      </c>
      <c r="I809" s="379">
        <f>IF(G809&gt;0,H809/G809*100,"-")</f>
        <v>49.87837828953856</v>
      </c>
      <c r="J809" s="83">
        <f>SUM(J810:J813)</f>
        <v>300000</v>
      </c>
      <c r="K809" s="83">
        <f>SUM(K810:K813)</f>
        <v>294046</v>
      </c>
      <c r="L809" s="58">
        <f>SUM(L810:L813)</f>
        <v>289083.43</v>
      </c>
      <c r="M809" s="15">
        <f>IF(K809&gt;0,L809/K809*100,"-")</f>
        <v>98.312315079953478</v>
      </c>
      <c r="N809" s="663" t="s">
        <v>453</v>
      </c>
    </row>
    <row r="810" spans="1:14" s="40" customFormat="1" ht="11.45" customHeight="1" outlineLevel="1">
      <c r="A810" s="660"/>
      <c r="B810" s="187"/>
      <c r="C810" s="655"/>
      <c r="D810" s="667"/>
      <c r="E810" s="667"/>
      <c r="F810" s="571" t="s">
        <v>18</v>
      </c>
      <c r="G810" s="80">
        <v>308444</v>
      </c>
      <c r="H810" s="80">
        <f>ROUNDUP(14397.93+L810,0)</f>
        <v>303482</v>
      </c>
      <c r="I810" s="381">
        <f>IF(G810&gt;0,H810/G810*100,"-")</f>
        <v>98.391280102709075</v>
      </c>
      <c r="J810" s="80">
        <v>300000</v>
      </c>
      <c r="K810" s="80">
        <v>294046</v>
      </c>
      <c r="L810" s="34">
        <v>289083.43</v>
      </c>
      <c r="M810" s="33">
        <f>IF(K810&gt;0,L810/K810*100,"-")</f>
        <v>98.312315079953478</v>
      </c>
      <c r="N810" s="663"/>
    </row>
    <row r="811" spans="1:14" s="40" customFormat="1" ht="22.5" outlineLevel="1">
      <c r="A811" s="660"/>
      <c r="B811" s="29" t="s">
        <v>24</v>
      </c>
      <c r="C811" s="586" t="s">
        <v>345</v>
      </c>
      <c r="D811" s="667"/>
      <c r="E811" s="667"/>
      <c r="F811" s="571" t="s">
        <v>221</v>
      </c>
      <c r="G811" s="80">
        <v>0</v>
      </c>
      <c r="H811" s="80">
        <f>ROUNDUP(0+L811,0)</f>
        <v>0</v>
      </c>
      <c r="I811" s="381" t="str">
        <f t="shared" ref="I811:I812" si="184">IF(G811&gt;0,H811/G811*100,"-")</f>
        <v>-</v>
      </c>
      <c r="J811" s="80">
        <v>0</v>
      </c>
      <c r="K811" s="80">
        <v>0</v>
      </c>
      <c r="L811" s="363">
        <v>0</v>
      </c>
      <c r="M811" s="33" t="str">
        <f t="shared" ref="M811:M812" si="185">IF(K811&gt;0,L811/K811*100,"-")</f>
        <v>-</v>
      </c>
      <c r="N811" s="663"/>
    </row>
    <row r="812" spans="1:14" s="40" customFormat="1" outlineLevel="1">
      <c r="A812" s="660"/>
      <c r="B812" s="187"/>
      <c r="C812" s="586" t="s">
        <v>338</v>
      </c>
      <c r="D812" s="667"/>
      <c r="E812" s="667"/>
      <c r="F812" s="571" t="s">
        <v>23</v>
      </c>
      <c r="G812" s="80">
        <v>300000</v>
      </c>
      <c r="H812" s="80">
        <f>ROUNDUP(0+L812,0)</f>
        <v>0</v>
      </c>
      <c r="I812" s="381">
        <f t="shared" si="184"/>
        <v>0</v>
      </c>
      <c r="J812" s="80">
        <v>0</v>
      </c>
      <c r="K812" s="80">
        <v>0</v>
      </c>
      <c r="L812" s="363">
        <v>0</v>
      </c>
      <c r="M812" s="33" t="str">
        <f t="shared" si="185"/>
        <v>-</v>
      </c>
      <c r="N812" s="663"/>
    </row>
    <row r="813" spans="1:14" s="40" customFormat="1" ht="11.45" customHeight="1" outlineLevel="1">
      <c r="A813" s="632"/>
      <c r="B813" s="187"/>
      <c r="C813" s="586"/>
      <c r="D813" s="667"/>
      <c r="E813" s="667"/>
      <c r="F813" s="594"/>
      <c r="G813" s="80"/>
      <c r="H813" s="80"/>
      <c r="I813" s="381"/>
      <c r="J813" s="80"/>
      <c r="K813" s="80"/>
      <c r="L813" s="363"/>
      <c r="M813" s="33"/>
      <c r="N813" s="663"/>
    </row>
    <row r="814" spans="1:14" s="40" customFormat="1" ht="3.95" customHeight="1" outlineLevel="1">
      <c r="A814" s="62"/>
      <c r="B814" s="36"/>
      <c r="C814" s="602"/>
      <c r="D814" s="620"/>
      <c r="E814" s="620"/>
      <c r="F814" s="375"/>
      <c r="G814" s="538"/>
      <c r="H814" s="538"/>
      <c r="I814" s="375"/>
      <c r="J814" s="538"/>
      <c r="K814" s="392"/>
      <c r="L814" s="37"/>
      <c r="M814" s="38"/>
      <c r="N814" s="647"/>
    </row>
    <row r="815" spans="1:14" s="40" customFormat="1" ht="0.75" customHeight="1" outlineLevel="1">
      <c r="A815" s="434"/>
      <c r="B815" s="26"/>
      <c r="C815" s="591"/>
      <c r="D815" s="637"/>
      <c r="E815" s="637"/>
      <c r="F815" s="640"/>
      <c r="G815" s="540"/>
      <c r="H815" s="540"/>
      <c r="I815" s="376"/>
      <c r="J815" s="540"/>
      <c r="K815" s="84"/>
      <c r="L815" s="407"/>
      <c r="M815" s="28"/>
      <c r="N815" s="557"/>
    </row>
    <row r="816" spans="1:14" s="40" customFormat="1" ht="18.75" customHeight="1" outlineLevel="1">
      <c r="A816" s="660" t="s">
        <v>454</v>
      </c>
      <c r="B816" s="29" t="s">
        <v>29</v>
      </c>
      <c r="C816" s="656" t="s">
        <v>538</v>
      </c>
      <c r="D816" s="667" t="s">
        <v>281</v>
      </c>
      <c r="E816" s="667" t="s">
        <v>336</v>
      </c>
      <c r="F816" s="593" t="s">
        <v>30</v>
      </c>
      <c r="G816" s="83">
        <f>SUM(G817:G820)</f>
        <v>5258026</v>
      </c>
      <c r="H816" s="83">
        <f>SUM(H817:H820)</f>
        <v>2487986</v>
      </c>
      <c r="I816" s="379">
        <f>IF(G816&gt;0,H816/G816*100,"-")</f>
        <v>47.317871764042245</v>
      </c>
      <c r="J816" s="83">
        <f>SUM(J817:J820)</f>
        <v>48500</v>
      </c>
      <c r="K816" s="83">
        <f>SUM(K817:K820)</f>
        <v>50973</v>
      </c>
      <c r="L816" s="58">
        <f>SUM(L817:L820)</f>
        <v>50932.7</v>
      </c>
      <c r="M816" s="15">
        <f>IF(K816&gt;0,L816/K816*100,"-")</f>
        <v>99.920938536087718</v>
      </c>
      <c r="N816" s="663" t="s">
        <v>455</v>
      </c>
    </row>
    <row r="817" spans="1:14" s="40" customFormat="1" outlineLevel="1">
      <c r="A817" s="660"/>
      <c r="B817" s="4"/>
      <c r="C817" s="656"/>
      <c r="D817" s="667"/>
      <c r="E817" s="667"/>
      <c r="F817" s="571" t="s">
        <v>18</v>
      </c>
      <c r="G817" s="80">
        <v>5258026</v>
      </c>
      <c r="H817" s="80">
        <f>ROUNDUP(2437053+L817,0)</f>
        <v>2487986</v>
      </c>
      <c r="I817" s="381">
        <f>IF(G817&gt;0,H817/G817*100,"-")</f>
        <v>47.317871764042245</v>
      </c>
      <c r="J817" s="80">
        <v>48500</v>
      </c>
      <c r="K817" s="80">
        <v>50973</v>
      </c>
      <c r="L817" s="34">
        <v>50932.7</v>
      </c>
      <c r="M817" s="33">
        <f>IF(K817&gt;0,L817/K817*100,"-")</f>
        <v>99.920938536087718</v>
      </c>
      <c r="N817" s="663"/>
    </row>
    <row r="818" spans="1:14" s="40" customFormat="1" ht="22.5" outlineLevel="1">
      <c r="A818" s="660"/>
      <c r="B818" s="29" t="s">
        <v>24</v>
      </c>
      <c r="C818" s="586" t="s">
        <v>345</v>
      </c>
      <c r="D818" s="667"/>
      <c r="E818" s="667"/>
      <c r="F818" s="571" t="s">
        <v>221</v>
      </c>
      <c r="G818" s="80">
        <v>0</v>
      </c>
      <c r="H818" s="80">
        <f>ROUNDUP(0+L818,0)</f>
        <v>0</v>
      </c>
      <c r="I818" s="381" t="str">
        <f t="shared" ref="I818:I819" si="186">IF(G818&gt;0,H818/G818*100,"-")</f>
        <v>-</v>
      </c>
      <c r="J818" s="80">
        <v>0</v>
      </c>
      <c r="K818" s="80">
        <v>0</v>
      </c>
      <c r="L818" s="363">
        <v>0</v>
      </c>
      <c r="M818" s="33" t="str">
        <f t="shared" ref="M818:M819" si="187">IF(K818&gt;0,L818/K818*100,"-")</f>
        <v>-</v>
      </c>
      <c r="N818" s="663"/>
    </row>
    <row r="819" spans="1:14" s="40" customFormat="1" outlineLevel="1">
      <c r="A819" s="660"/>
      <c r="B819" s="4"/>
      <c r="C819" s="586" t="s">
        <v>338</v>
      </c>
      <c r="D819" s="667"/>
      <c r="E819" s="667"/>
      <c r="F819" s="571" t="s">
        <v>23</v>
      </c>
      <c r="G819" s="80">
        <v>0</v>
      </c>
      <c r="H819" s="80">
        <f>ROUNDUP(0+L819,0)</f>
        <v>0</v>
      </c>
      <c r="I819" s="381" t="str">
        <f t="shared" si="186"/>
        <v>-</v>
      </c>
      <c r="J819" s="80">
        <v>0</v>
      </c>
      <c r="K819" s="80">
        <v>0</v>
      </c>
      <c r="L819" s="363">
        <v>0</v>
      </c>
      <c r="M819" s="33" t="str">
        <f t="shared" si="187"/>
        <v>-</v>
      </c>
      <c r="N819" s="663"/>
    </row>
    <row r="820" spans="1:14" s="40" customFormat="1" ht="11.45" customHeight="1" outlineLevel="1">
      <c r="A820" s="632"/>
      <c r="B820" s="4"/>
      <c r="C820" s="586"/>
      <c r="D820" s="667"/>
      <c r="E820" s="667"/>
      <c r="F820" s="594"/>
      <c r="G820" s="80"/>
      <c r="H820" s="80"/>
      <c r="I820" s="381"/>
      <c r="J820" s="80"/>
      <c r="K820" s="80"/>
      <c r="L820" s="363"/>
      <c r="M820" s="33"/>
      <c r="N820" s="663"/>
    </row>
    <row r="821" spans="1:14" s="40" customFormat="1" ht="3.95" customHeight="1" outlineLevel="1">
      <c r="A821" s="62"/>
      <c r="B821" s="36"/>
      <c r="C821" s="602"/>
      <c r="D821" s="620"/>
      <c r="E821" s="620"/>
      <c r="F821" s="375"/>
      <c r="G821" s="538"/>
      <c r="H821" s="538"/>
      <c r="I821" s="375"/>
      <c r="J821" s="538"/>
      <c r="K821" s="392"/>
      <c r="L821" s="37"/>
      <c r="M821" s="38"/>
      <c r="N821" s="647"/>
    </row>
    <row r="822" spans="1:14" s="40" customFormat="1" ht="3.95" customHeight="1" outlineLevel="1">
      <c r="A822" s="434"/>
      <c r="B822" s="26"/>
      <c r="C822" s="591"/>
      <c r="D822" s="637"/>
      <c r="E822" s="637"/>
      <c r="F822" s="640"/>
      <c r="G822" s="540"/>
      <c r="H822" s="540"/>
      <c r="I822" s="376"/>
      <c r="J822" s="540"/>
      <c r="K822" s="84"/>
      <c r="L822" s="407"/>
      <c r="M822" s="28"/>
      <c r="N822" s="557"/>
    </row>
    <row r="823" spans="1:14" s="40" customFormat="1" ht="11.45" customHeight="1" outlineLevel="1">
      <c r="A823" s="660" t="s">
        <v>456</v>
      </c>
      <c r="B823" s="29" t="s">
        <v>29</v>
      </c>
      <c r="C823" s="586" t="s">
        <v>457</v>
      </c>
      <c r="D823" s="667" t="s">
        <v>458</v>
      </c>
      <c r="E823" s="667" t="s">
        <v>336</v>
      </c>
      <c r="F823" s="593" t="s">
        <v>30</v>
      </c>
      <c r="G823" s="83">
        <f>SUM(G824:G827)</f>
        <v>61815</v>
      </c>
      <c r="H823" s="83">
        <f>SUM(H824:H827)</f>
        <v>6522</v>
      </c>
      <c r="I823" s="379">
        <f>IF(G823&gt;0,H823/G823*100,"-")</f>
        <v>10.550837175442854</v>
      </c>
      <c r="J823" s="83">
        <f>SUM(J824:J827)</f>
        <v>0</v>
      </c>
      <c r="K823" s="83">
        <f>SUM(K824:K827)</f>
        <v>20000</v>
      </c>
      <c r="L823" s="58">
        <f>SUM(L824:L827)</f>
        <v>6521.8</v>
      </c>
      <c r="M823" s="15">
        <f>IF(K823&gt;0,L823/K823*100,"-")</f>
        <v>32.609000000000002</v>
      </c>
      <c r="N823" s="663" t="s">
        <v>459</v>
      </c>
    </row>
    <row r="824" spans="1:14" s="40" customFormat="1" ht="11.45" customHeight="1" outlineLevel="1">
      <c r="A824" s="660"/>
      <c r="B824" s="29" t="s">
        <v>24</v>
      </c>
      <c r="C824" s="586" t="s">
        <v>345</v>
      </c>
      <c r="D824" s="667"/>
      <c r="E824" s="667"/>
      <c r="F824" s="571" t="s">
        <v>18</v>
      </c>
      <c r="G824" s="80">
        <v>61815</v>
      </c>
      <c r="H824" s="80">
        <f>ROUNDUP(0+L824,0)</f>
        <v>6522</v>
      </c>
      <c r="I824" s="381">
        <f>IF(G824&gt;0,H824/G824*100,"-")</f>
        <v>10.550837175442854</v>
      </c>
      <c r="J824" s="80">
        <v>0</v>
      </c>
      <c r="K824" s="80">
        <v>20000</v>
      </c>
      <c r="L824" s="34">
        <v>6521.8</v>
      </c>
      <c r="M824" s="33">
        <f>IF(K824&gt;0,L824/K824*100,"-")</f>
        <v>32.609000000000002</v>
      </c>
      <c r="N824" s="663"/>
    </row>
    <row r="825" spans="1:14" s="40" customFormat="1" outlineLevel="1">
      <c r="A825" s="660"/>
      <c r="B825" s="29"/>
      <c r="C825" s="586" t="s">
        <v>338</v>
      </c>
      <c r="D825" s="667"/>
      <c r="E825" s="667"/>
      <c r="F825" s="571" t="s">
        <v>221</v>
      </c>
      <c r="G825" s="80">
        <v>0</v>
      </c>
      <c r="H825" s="80">
        <f>ROUNDUP(0+L825,0)</f>
        <v>0</v>
      </c>
      <c r="I825" s="381" t="str">
        <f t="shared" ref="I825:I826" si="188">IF(G825&gt;0,H825/G825*100,"-")</f>
        <v>-</v>
      </c>
      <c r="J825" s="80">
        <v>0</v>
      </c>
      <c r="K825" s="80">
        <v>0</v>
      </c>
      <c r="L825" s="363">
        <v>0</v>
      </c>
      <c r="M825" s="33" t="str">
        <f t="shared" ref="M825:M826" si="189">IF(K825&gt;0,L825/K825*100,"-")</f>
        <v>-</v>
      </c>
      <c r="N825" s="663"/>
    </row>
    <row r="826" spans="1:14" s="40" customFormat="1" ht="11.45" customHeight="1" outlineLevel="1">
      <c r="A826" s="660"/>
      <c r="B826" s="29"/>
      <c r="C826" s="586"/>
      <c r="D826" s="667"/>
      <c r="E826" s="667"/>
      <c r="F826" s="571" t="s">
        <v>23</v>
      </c>
      <c r="G826" s="80">
        <v>0</v>
      </c>
      <c r="H826" s="80">
        <f>ROUNDUP(0+L826,0)</f>
        <v>0</v>
      </c>
      <c r="I826" s="381" t="str">
        <f t="shared" si="188"/>
        <v>-</v>
      </c>
      <c r="J826" s="80">
        <v>0</v>
      </c>
      <c r="K826" s="80">
        <v>0</v>
      </c>
      <c r="L826" s="363">
        <v>0</v>
      </c>
      <c r="M826" s="33" t="str">
        <f t="shared" si="189"/>
        <v>-</v>
      </c>
      <c r="N826" s="663"/>
    </row>
    <row r="827" spans="1:14" s="40" customFormat="1" ht="11.45" customHeight="1" outlineLevel="1">
      <c r="A827" s="632"/>
      <c r="B827" s="29"/>
      <c r="C827" s="586"/>
      <c r="D827" s="667"/>
      <c r="E827" s="667"/>
      <c r="F827" s="594"/>
      <c r="G827" s="80"/>
      <c r="H827" s="80"/>
      <c r="I827" s="381"/>
      <c r="J827" s="80"/>
      <c r="K827" s="80"/>
      <c r="L827" s="363"/>
      <c r="M827" s="33"/>
      <c r="N827" s="663"/>
    </row>
    <row r="828" spans="1:14" s="40" customFormat="1" ht="3.95" customHeight="1" outlineLevel="1">
      <c r="A828" s="62"/>
      <c r="B828" s="36"/>
      <c r="C828" s="602"/>
      <c r="D828" s="620"/>
      <c r="E828" s="620"/>
      <c r="F828" s="375"/>
      <c r="G828" s="538"/>
      <c r="H828" s="538"/>
      <c r="I828" s="375"/>
      <c r="J828" s="538"/>
      <c r="K828" s="392"/>
      <c r="L828" s="37"/>
      <c r="M828" s="38"/>
      <c r="N828" s="647"/>
    </row>
    <row r="829" spans="1:14" s="40" customFormat="1" ht="3.95" customHeight="1" outlineLevel="1">
      <c r="A829" s="434"/>
      <c r="B829" s="26"/>
      <c r="C829" s="591"/>
      <c r="D829" s="637"/>
      <c r="E829" s="637"/>
      <c r="F829" s="640"/>
      <c r="G829" s="540"/>
      <c r="H829" s="540"/>
      <c r="I829" s="376"/>
      <c r="J829" s="540"/>
      <c r="K829" s="84"/>
      <c r="L829" s="407"/>
      <c r="M829" s="28"/>
      <c r="N829" s="557"/>
    </row>
    <row r="830" spans="1:14" s="40" customFormat="1" outlineLevel="1">
      <c r="A830" s="660" t="s">
        <v>460</v>
      </c>
      <c r="B830" s="29" t="s">
        <v>29</v>
      </c>
      <c r="C830" s="586" t="s">
        <v>461</v>
      </c>
      <c r="D830" s="667" t="s">
        <v>458</v>
      </c>
      <c r="E830" s="667" t="s">
        <v>336</v>
      </c>
      <c r="F830" s="593" t="s">
        <v>30</v>
      </c>
      <c r="G830" s="83">
        <f>SUM(G831:G834)</f>
        <v>220000</v>
      </c>
      <c r="H830" s="83">
        <f>SUM(H831:H834)</f>
        <v>209124</v>
      </c>
      <c r="I830" s="379">
        <f>IF(G830&gt;0,H830/G830*100,"-")</f>
        <v>95.056363636363642</v>
      </c>
      <c r="J830" s="83">
        <f>SUM(J831:J834)</f>
        <v>0</v>
      </c>
      <c r="K830" s="83">
        <f>SUM(K831:K834)</f>
        <v>210000</v>
      </c>
      <c r="L830" s="58">
        <f>SUM(L831:L834)</f>
        <v>209123.55</v>
      </c>
      <c r="M830" s="15">
        <f>IF(K830&gt;0,L830/K830*100,"-")</f>
        <v>99.582642857142858</v>
      </c>
      <c r="N830" s="663" t="s">
        <v>462</v>
      </c>
    </row>
    <row r="831" spans="1:14" s="40" customFormat="1" ht="22.5" outlineLevel="1">
      <c r="A831" s="660"/>
      <c r="B831" s="29" t="s">
        <v>24</v>
      </c>
      <c r="C831" s="586" t="s">
        <v>345</v>
      </c>
      <c r="D831" s="667"/>
      <c r="E831" s="667"/>
      <c r="F831" s="571" t="s">
        <v>18</v>
      </c>
      <c r="G831" s="80">
        <v>220000</v>
      </c>
      <c r="H831" s="80">
        <f>ROUNDUP(0+L831,0)</f>
        <v>209124</v>
      </c>
      <c r="I831" s="381">
        <f>IF(G831&gt;0,H831/G831*100,"-")</f>
        <v>95.056363636363642</v>
      </c>
      <c r="J831" s="80">
        <v>0</v>
      </c>
      <c r="K831" s="80">
        <v>210000</v>
      </c>
      <c r="L831" s="34">
        <v>209123.55</v>
      </c>
      <c r="M831" s="33">
        <f>IF(K831&gt;0,L831/K831*100,"-")</f>
        <v>99.582642857142858</v>
      </c>
      <c r="N831" s="663"/>
    </row>
    <row r="832" spans="1:14" s="40" customFormat="1" outlineLevel="1">
      <c r="A832" s="660"/>
      <c r="B832" s="29"/>
      <c r="C832" s="586" t="s">
        <v>338</v>
      </c>
      <c r="D832" s="667"/>
      <c r="E832" s="667"/>
      <c r="F832" s="571" t="s">
        <v>221</v>
      </c>
      <c r="G832" s="80">
        <v>0</v>
      </c>
      <c r="H832" s="80">
        <f>ROUNDUP(0+L832,0)</f>
        <v>0</v>
      </c>
      <c r="I832" s="381" t="str">
        <f t="shared" ref="I832:I833" si="190">IF(G832&gt;0,H832/G832*100,"-")</f>
        <v>-</v>
      </c>
      <c r="J832" s="80">
        <v>0</v>
      </c>
      <c r="K832" s="80">
        <v>0</v>
      </c>
      <c r="L832" s="363">
        <v>0</v>
      </c>
      <c r="M832" s="33" t="str">
        <f t="shared" ref="M832:M833" si="191">IF(K832&gt;0,L832/K832*100,"-")</f>
        <v>-</v>
      </c>
      <c r="N832" s="663"/>
    </row>
    <row r="833" spans="1:14" s="40" customFormat="1" ht="11.45" customHeight="1" outlineLevel="1">
      <c r="A833" s="660"/>
      <c r="B833" s="29"/>
      <c r="C833" s="586"/>
      <c r="D833" s="667"/>
      <c r="E833" s="667"/>
      <c r="F833" s="571" t="s">
        <v>23</v>
      </c>
      <c r="G833" s="80">
        <v>0</v>
      </c>
      <c r="H833" s="80">
        <f>ROUNDUP(0+L833,0)</f>
        <v>0</v>
      </c>
      <c r="I833" s="381" t="str">
        <f t="shared" si="190"/>
        <v>-</v>
      </c>
      <c r="J833" s="80">
        <v>0</v>
      </c>
      <c r="K833" s="80">
        <v>0</v>
      </c>
      <c r="L833" s="363">
        <v>0</v>
      </c>
      <c r="M833" s="33" t="str">
        <f t="shared" si="191"/>
        <v>-</v>
      </c>
      <c r="N833" s="663"/>
    </row>
    <row r="834" spans="1:14" s="40" customFormat="1" ht="11.45" customHeight="1" outlineLevel="1">
      <c r="A834" s="632"/>
      <c r="B834" s="29"/>
      <c r="C834" s="586"/>
      <c r="D834" s="667"/>
      <c r="E834" s="667"/>
      <c r="F834" s="594"/>
      <c r="G834" s="80"/>
      <c r="H834" s="80"/>
      <c r="I834" s="381"/>
      <c r="J834" s="80"/>
      <c r="K834" s="80"/>
      <c r="L834" s="363"/>
      <c r="M834" s="33"/>
      <c r="N834" s="663"/>
    </row>
    <row r="835" spans="1:14" s="40" customFormat="1" ht="3.95" customHeight="1" outlineLevel="1">
      <c r="A835" s="62"/>
      <c r="B835" s="36"/>
      <c r="C835" s="602"/>
      <c r="D835" s="620"/>
      <c r="E835" s="620"/>
      <c r="F835" s="375"/>
      <c r="G835" s="538"/>
      <c r="H835" s="538"/>
      <c r="I835" s="375"/>
      <c r="J835" s="538"/>
      <c r="K835" s="392"/>
      <c r="L835" s="37"/>
      <c r="M835" s="38"/>
      <c r="N835" s="647"/>
    </row>
    <row r="836" spans="1:14" s="40" customFormat="1" ht="3.95" customHeight="1" outlineLevel="1">
      <c r="A836" s="434"/>
      <c r="B836" s="26"/>
      <c r="C836" s="591"/>
      <c r="D836" s="637"/>
      <c r="E836" s="637"/>
      <c r="F836" s="640"/>
      <c r="G836" s="540"/>
      <c r="H836" s="540"/>
      <c r="I836" s="376"/>
      <c r="J836" s="540"/>
      <c r="K836" s="84"/>
      <c r="L836" s="407"/>
      <c r="M836" s="28"/>
      <c r="N836" s="557"/>
    </row>
    <row r="837" spans="1:14" s="40" customFormat="1" ht="24.75" customHeight="1" outlineLevel="1">
      <c r="A837" s="660" t="s">
        <v>463</v>
      </c>
      <c r="B837" s="29" t="s">
        <v>29</v>
      </c>
      <c r="C837" s="586" t="s">
        <v>464</v>
      </c>
      <c r="D837" s="667" t="s">
        <v>349</v>
      </c>
      <c r="E837" s="667" t="s">
        <v>336</v>
      </c>
      <c r="F837" s="593" t="s">
        <v>30</v>
      </c>
      <c r="G837" s="83">
        <f>SUM(G838:G841)</f>
        <v>2331764</v>
      </c>
      <c r="H837" s="83">
        <f>SUM(H838:H841)</f>
        <v>23491</v>
      </c>
      <c r="I837" s="379">
        <f>IF(G837&gt;0,H837/G837*100,"-")</f>
        <v>1.0074347146623757</v>
      </c>
      <c r="J837" s="83">
        <f>SUM(J838:J841)</f>
        <v>109552</v>
      </c>
      <c r="K837" s="83">
        <f>SUM(K838:K841)</f>
        <v>119709</v>
      </c>
      <c r="L837" s="58">
        <f>SUM(L838:L841)</f>
        <v>11435.91</v>
      </c>
      <c r="M837" s="15">
        <f>IF(K837&gt;0,L837/K837*100,"-")</f>
        <v>9.55309124627221</v>
      </c>
      <c r="N837" s="663" t="s">
        <v>465</v>
      </c>
    </row>
    <row r="838" spans="1:14" s="40" customFormat="1" ht="22.5" outlineLevel="1">
      <c r="A838" s="660"/>
      <c r="B838" s="29" t="s">
        <v>24</v>
      </c>
      <c r="C838" s="586" t="s">
        <v>345</v>
      </c>
      <c r="D838" s="667"/>
      <c r="E838" s="667"/>
      <c r="F838" s="571" t="s">
        <v>18</v>
      </c>
      <c r="G838" s="80">
        <v>2232212</v>
      </c>
      <c r="H838" s="80">
        <f>ROUNDUP(12054.79+L838,0)</f>
        <v>23491</v>
      </c>
      <c r="I838" s="381">
        <f>IF(G838&gt;0,H838/G838*100,"-")</f>
        <v>1.0523642019664798</v>
      </c>
      <c r="J838" s="80">
        <v>10000</v>
      </c>
      <c r="K838" s="80">
        <v>20157</v>
      </c>
      <c r="L838" s="34">
        <v>11435.91</v>
      </c>
      <c r="M838" s="33">
        <f>IF(K838&gt;0,L838/K838*100,"-")</f>
        <v>56.734186634915908</v>
      </c>
      <c r="N838" s="663"/>
    </row>
    <row r="839" spans="1:14" s="40" customFormat="1" outlineLevel="1">
      <c r="A839" s="660"/>
      <c r="B839" s="29"/>
      <c r="C839" s="586" t="s">
        <v>338</v>
      </c>
      <c r="D839" s="667"/>
      <c r="E839" s="667"/>
      <c r="F839" s="571" t="s">
        <v>221</v>
      </c>
      <c r="G839" s="80">
        <v>0</v>
      </c>
      <c r="H839" s="80">
        <f>ROUNDUP(0+L839,0)</f>
        <v>0</v>
      </c>
      <c r="I839" s="381" t="str">
        <f t="shared" ref="I839:I840" si="192">IF(G839&gt;0,H839/G839*100,"-")</f>
        <v>-</v>
      </c>
      <c r="J839" s="80">
        <v>0</v>
      </c>
      <c r="K839" s="80">
        <v>0</v>
      </c>
      <c r="L839" s="363">
        <v>0</v>
      </c>
      <c r="M839" s="33" t="str">
        <f t="shared" ref="M839:M840" si="193">IF(K839&gt;0,L839/K839*100,"-")</f>
        <v>-</v>
      </c>
      <c r="N839" s="663"/>
    </row>
    <row r="840" spans="1:14" s="40" customFormat="1" ht="11.45" customHeight="1" outlineLevel="1">
      <c r="A840" s="660"/>
      <c r="B840" s="29"/>
      <c r="C840" s="586"/>
      <c r="D840" s="667"/>
      <c r="E840" s="667"/>
      <c r="F840" s="571" t="s">
        <v>23</v>
      </c>
      <c r="G840" s="80">
        <v>99552</v>
      </c>
      <c r="H840" s="80">
        <f>ROUNDUP(0+L840,0)</f>
        <v>0</v>
      </c>
      <c r="I840" s="381">
        <f t="shared" si="192"/>
        <v>0</v>
      </c>
      <c r="J840" s="80">
        <v>99552</v>
      </c>
      <c r="K840" s="80">
        <v>99552</v>
      </c>
      <c r="L840" s="363">
        <v>0</v>
      </c>
      <c r="M840" s="33">
        <f t="shared" si="193"/>
        <v>0</v>
      </c>
      <c r="N840" s="663"/>
    </row>
    <row r="841" spans="1:14" s="40" customFormat="1" ht="11.45" customHeight="1" outlineLevel="1">
      <c r="A841" s="632"/>
      <c r="B841" s="29"/>
      <c r="C841" s="586"/>
      <c r="D841" s="667"/>
      <c r="E841" s="667"/>
      <c r="F841" s="594"/>
      <c r="G841" s="80"/>
      <c r="H841" s="80"/>
      <c r="I841" s="381"/>
      <c r="J841" s="80"/>
      <c r="K841" s="80"/>
      <c r="L841" s="363"/>
      <c r="M841" s="33"/>
      <c r="N841" s="663"/>
    </row>
    <row r="842" spans="1:14" s="40" customFormat="1" ht="3.95" customHeight="1" outlineLevel="1">
      <c r="A842" s="62"/>
      <c r="B842" s="36"/>
      <c r="C842" s="602"/>
      <c r="D842" s="620"/>
      <c r="E842" s="620"/>
      <c r="F842" s="375"/>
      <c r="G842" s="538"/>
      <c r="H842" s="538"/>
      <c r="I842" s="375"/>
      <c r="J842" s="538"/>
      <c r="K842" s="392"/>
      <c r="L842" s="37"/>
      <c r="M842" s="38"/>
      <c r="N842" s="647"/>
    </row>
    <row r="843" spans="1:14" s="40" customFormat="1" ht="3.95" customHeight="1" outlineLevel="1">
      <c r="A843" s="434"/>
      <c r="B843" s="26"/>
      <c r="C843" s="591"/>
      <c r="D843" s="637"/>
      <c r="E843" s="637"/>
      <c r="F843" s="640"/>
      <c r="G843" s="540"/>
      <c r="H843" s="540"/>
      <c r="I843" s="376"/>
      <c r="J843" s="540"/>
      <c r="K843" s="84"/>
      <c r="L843" s="407"/>
      <c r="M843" s="28"/>
      <c r="N843" s="557"/>
    </row>
    <row r="844" spans="1:14" s="40" customFormat="1" ht="25.5" customHeight="1" outlineLevel="1">
      <c r="A844" s="660" t="s">
        <v>466</v>
      </c>
      <c r="B844" s="29" t="s">
        <v>29</v>
      </c>
      <c r="C844" s="618" t="s">
        <v>467</v>
      </c>
      <c r="D844" s="667" t="s">
        <v>274</v>
      </c>
      <c r="E844" s="667" t="s">
        <v>336</v>
      </c>
      <c r="F844" s="593" t="s">
        <v>30</v>
      </c>
      <c r="G844" s="83">
        <f>SUM(G845:G848)</f>
        <v>300000</v>
      </c>
      <c r="H844" s="83">
        <f>SUM(H845:H848)</f>
        <v>19836</v>
      </c>
      <c r="I844" s="379">
        <f>IF(G844&gt;0,H844/G844*100,"-")</f>
        <v>6.6120000000000001</v>
      </c>
      <c r="J844" s="83">
        <f>SUM(J845:J848)</f>
        <v>0</v>
      </c>
      <c r="K844" s="83">
        <f>SUM(K845:K848)</f>
        <v>20000</v>
      </c>
      <c r="L844" s="58">
        <f>SUM(L845:L848)</f>
        <v>19835.63</v>
      </c>
      <c r="M844" s="15">
        <f>IF(K844&gt;0,L844/K844*100,"-")</f>
        <v>99.178150000000016</v>
      </c>
      <c r="N844" s="663" t="s">
        <v>468</v>
      </c>
    </row>
    <row r="845" spans="1:14" s="40" customFormat="1" outlineLevel="1">
      <c r="A845" s="660"/>
      <c r="B845" s="29" t="s">
        <v>24</v>
      </c>
      <c r="C845" s="617" t="s">
        <v>469</v>
      </c>
      <c r="D845" s="667"/>
      <c r="E845" s="667"/>
      <c r="F845" s="571" t="s">
        <v>18</v>
      </c>
      <c r="G845" s="80">
        <v>300000</v>
      </c>
      <c r="H845" s="80">
        <f>ROUNDUP(0+L845,0)</f>
        <v>19836</v>
      </c>
      <c r="I845" s="381">
        <f>IF(G845&gt;0,H845/G845*100,"-")</f>
        <v>6.6120000000000001</v>
      </c>
      <c r="J845" s="80">
        <v>0</v>
      </c>
      <c r="K845" s="80">
        <v>20000</v>
      </c>
      <c r="L845" s="34">
        <v>19835.63</v>
      </c>
      <c r="M845" s="33">
        <f>IF(K845&gt;0,L845/K845*100,"-")</f>
        <v>99.178150000000016</v>
      </c>
      <c r="N845" s="663"/>
    </row>
    <row r="846" spans="1:14" s="40" customFormat="1" ht="11.45" customHeight="1" outlineLevel="1">
      <c r="A846" s="660"/>
      <c r="B846" s="29"/>
      <c r="C846" s="619"/>
      <c r="D846" s="667"/>
      <c r="E846" s="667"/>
      <c r="F846" s="571" t="s">
        <v>221</v>
      </c>
      <c r="G846" s="80">
        <v>0</v>
      </c>
      <c r="H846" s="80">
        <f>ROUNDUP(0+L846,0)</f>
        <v>0</v>
      </c>
      <c r="I846" s="381" t="str">
        <f t="shared" ref="I846:I847" si="194">IF(G846&gt;0,H846/G846*100,"-")</f>
        <v>-</v>
      </c>
      <c r="J846" s="80">
        <v>0</v>
      </c>
      <c r="K846" s="80">
        <v>0</v>
      </c>
      <c r="L846" s="363">
        <v>0</v>
      </c>
      <c r="M846" s="33" t="str">
        <f t="shared" ref="M846:M847" si="195">IF(K846&gt;0,L846/K846*100,"-")</f>
        <v>-</v>
      </c>
      <c r="N846" s="663"/>
    </row>
    <row r="847" spans="1:14" s="40" customFormat="1" ht="11.45" customHeight="1" outlineLevel="1">
      <c r="A847" s="660"/>
      <c r="B847" s="187"/>
      <c r="C847" s="586"/>
      <c r="D847" s="667"/>
      <c r="E847" s="667"/>
      <c r="F847" s="571" t="s">
        <v>23</v>
      </c>
      <c r="G847" s="80">
        <v>0</v>
      </c>
      <c r="H847" s="80">
        <f>ROUNDUP(0+L847,0)</f>
        <v>0</v>
      </c>
      <c r="I847" s="381" t="str">
        <f t="shared" si="194"/>
        <v>-</v>
      </c>
      <c r="J847" s="80">
        <v>0</v>
      </c>
      <c r="K847" s="80">
        <v>0</v>
      </c>
      <c r="L847" s="363">
        <v>0</v>
      </c>
      <c r="M847" s="33" t="str">
        <f t="shared" si="195"/>
        <v>-</v>
      </c>
      <c r="N847" s="663"/>
    </row>
    <row r="848" spans="1:14" s="40" customFormat="1" ht="11.45" customHeight="1" outlineLevel="1">
      <c r="A848" s="632"/>
      <c r="B848" s="187"/>
      <c r="C848" s="586"/>
      <c r="D848" s="667"/>
      <c r="E848" s="667"/>
      <c r="F848" s="594"/>
      <c r="G848" s="80"/>
      <c r="H848" s="80"/>
      <c r="I848" s="381"/>
      <c r="J848" s="80"/>
      <c r="K848" s="80"/>
      <c r="L848" s="363"/>
      <c r="M848" s="33"/>
      <c r="N848" s="663"/>
    </row>
    <row r="849" spans="1:14" s="40" customFormat="1" ht="4.5" customHeight="1" outlineLevel="1">
      <c r="A849" s="62"/>
      <c r="B849" s="36"/>
      <c r="C849" s="602"/>
      <c r="D849" s="620"/>
      <c r="E849" s="620"/>
      <c r="F849" s="375"/>
      <c r="G849" s="538"/>
      <c r="H849" s="538"/>
      <c r="I849" s="375"/>
      <c r="J849" s="538"/>
      <c r="K849" s="392"/>
      <c r="L849" s="37"/>
      <c r="M849" s="38"/>
      <c r="N849" s="647"/>
    </row>
    <row r="850" spans="1:14" s="40" customFormat="1" ht="3.95" customHeight="1" outlineLevel="1">
      <c r="A850" s="434"/>
      <c r="B850" s="26"/>
      <c r="C850" s="591"/>
      <c r="D850" s="637"/>
      <c r="E850" s="637"/>
      <c r="F850" s="640"/>
      <c r="G850" s="540"/>
      <c r="H850" s="540"/>
      <c r="I850" s="376"/>
      <c r="J850" s="540"/>
      <c r="K850" s="84"/>
      <c r="L850" s="407"/>
      <c r="M850" s="28"/>
      <c r="N850" s="557"/>
    </row>
    <row r="851" spans="1:14" s="40" customFormat="1" ht="11.45" customHeight="1" outlineLevel="1">
      <c r="A851" s="660" t="s">
        <v>470</v>
      </c>
      <c r="B851" s="29" t="s">
        <v>29</v>
      </c>
      <c r="C851" s="656" t="s">
        <v>539</v>
      </c>
      <c r="D851" s="667" t="s">
        <v>274</v>
      </c>
      <c r="E851" s="667" t="s">
        <v>336</v>
      </c>
      <c r="F851" s="593" t="s">
        <v>30</v>
      </c>
      <c r="G851" s="83">
        <f>SUM(G852:G855)</f>
        <v>400000</v>
      </c>
      <c r="H851" s="83">
        <f>SUM(H852:H855)</f>
        <v>93463</v>
      </c>
      <c r="I851" s="379">
        <f>IF(G851&gt;0,H851/G851*100,"-")</f>
        <v>23.365749999999998</v>
      </c>
      <c r="J851" s="83">
        <f>SUM(J852:J855)</f>
        <v>0</v>
      </c>
      <c r="K851" s="83">
        <f>SUM(K852:K855)</f>
        <v>100000</v>
      </c>
      <c r="L851" s="58">
        <f>SUM(L852:L855)</f>
        <v>93462.35</v>
      </c>
      <c r="M851" s="15">
        <f>IF(K851&gt;0,L851/K851*100,"-")</f>
        <v>93.462350000000001</v>
      </c>
      <c r="N851" s="663" t="s">
        <v>471</v>
      </c>
    </row>
    <row r="852" spans="1:14" s="40" customFormat="1" ht="19.5" customHeight="1" outlineLevel="1">
      <c r="A852" s="660"/>
      <c r="B852" s="29"/>
      <c r="C852" s="656"/>
      <c r="D852" s="667"/>
      <c r="E852" s="667"/>
      <c r="F852" s="571" t="s">
        <v>18</v>
      </c>
      <c r="G852" s="80">
        <v>400000</v>
      </c>
      <c r="H852" s="80">
        <f>ROUNDUP(0+L852,0)</f>
        <v>93463</v>
      </c>
      <c r="I852" s="381">
        <f>IF(G852&gt;0,H852/G852*100,"-")</f>
        <v>23.365749999999998</v>
      </c>
      <c r="J852" s="80">
        <v>0</v>
      </c>
      <c r="K852" s="80">
        <v>100000</v>
      </c>
      <c r="L852" s="34">
        <v>93462.35</v>
      </c>
      <c r="M852" s="33">
        <f>IF(K852&gt;0,L852/K852*100,"-")</f>
        <v>93.462350000000001</v>
      </c>
      <c r="N852" s="663"/>
    </row>
    <row r="853" spans="1:14" s="40" customFormat="1" ht="22.5" outlineLevel="1">
      <c r="A853" s="660"/>
      <c r="B853" s="29" t="s">
        <v>24</v>
      </c>
      <c r="C853" s="617" t="s">
        <v>472</v>
      </c>
      <c r="D853" s="667"/>
      <c r="E853" s="667"/>
      <c r="F853" s="571" t="s">
        <v>221</v>
      </c>
      <c r="G853" s="80">
        <v>0</v>
      </c>
      <c r="H853" s="80">
        <f>ROUNDUP(0+L853,0)</f>
        <v>0</v>
      </c>
      <c r="I853" s="381" t="str">
        <f t="shared" ref="I853:I854" si="196">IF(G853&gt;0,H853/G853*100,"-")</f>
        <v>-</v>
      </c>
      <c r="J853" s="80">
        <v>0</v>
      </c>
      <c r="K853" s="80">
        <v>0</v>
      </c>
      <c r="L853" s="363">
        <v>0</v>
      </c>
      <c r="M853" s="33" t="str">
        <f t="shared" ref="M853:M854" si="197">IF(K853&gt;0,L853/K853*100,"-")</f>
        <v>-</v>
      </c>
      <c r="N853" s="663"/>
    </row>
    <row r="854" spans="1:14" s="40" customFormat="1" ht="11.45" customHeight="1" outlineLevel="1">
      <c r="A854" s="660"/>
      <c r="B854" s="187"/>
      <c r="C854" s="586"/>
      <c r="D854" s="667"/>
      <c r="E854" s="667"/>
      <c r="F854" s="571" t="s">
        <v>23</v>
      </c>
      <c r="G854" s="80">
        <v>0</v>
      </c>
      <c r="H854" s="80">
        <f>ROUNDUP(0+L854,0)</f>
        <v>0</v>
      </c>
      <c r="I854" s="381" t="str">
        <f t="shared" si="196"/>
        <v>-</v>
      </c>
      <c r="J854" s="80">
        <v>0</v>
      </c>
      <c r="K854" s="80">
        <v>0</v>
      </c>
      <c r="L854" s="363">
        <v>0</v>
      </c>
      <c r="M854" s="33" t="str">
        <f t="shared" si="197"/>
        <v>-</v>
      </c>
      <c r="N854" s="663"/>
    </row>
    <row r="855" spans="1:14" s="40" customFormat="1" ht="11.45" customHeight="1" outlineLevel="1">
      <c r="A855" s="632"/>
      <c r="B855" s="187"/>
      <c r="C855" s="586"/>
      <c r="D855" s="667"/>
      <c r="E855" s="667"/>
      <c r="F855" s="594"/>
      <c r="G855" s="80"/>
      <c r="H855" s="80"/>
      <c r="I855" s="381"/>
      <c r="J855" s="80"/>
      <c r="K855" s="80"/>
      <c r="L855" s="363"/>
      <c r="M855" s="33"/>
      <c r="N855" s="663"/>
    </row>
    <row r="856" spans="1:14" s="40" customFormat="1" ht="4.5" customHeight="1" outlineLevel="1">
      <c r="A856" s="62"/>
      <c r="B856" s="36"/>
      <c r="C856" s="602"/>
      <c r="D856" s="620"/>
      <c r="E856" s="620"/>
      <c r="F856" s="375"/>
      <c r="G856" s="538"/>
      <c r="H856" s="538"/>
      <c r="I856" s="375"/>
      <c r="J856" s="538"/>
      <c r="K856" s="392"/>
      <c r="L856" s="37"/>
      <c r="M856" s="38"/>
      <c r="N856" s="647"/>
    </row>
    <row r="857" spans="1:14" s="40" customFormat="1" ht="3.95" customHeight="1" outlineLevel="1">
      <c r="A857" s="434"/>
      <c r="B857" s="26"/>
      <c r="C857" s="591"/>
      <c r="D857" s="637"/>
      <c r="E857" s="637"/>
      <c r="F857" s="640"/>
      <c r="G857" s="540"/>
      <c r="H857" s="540"/>
      <c r="I857" s="376"/>
      <c r="J857" s="540"/>
      <c r="K857" s="84"/>
      <c r="L857" s="407"/>
      <c r="M857" s="28"/>
      <c r="N857" s="557"/>
    </row>
    <row r="858" spans="1:14" s="40" customFormat="1" ht="11.45" customHeight="1" outlineLevel="1">
      <c r="A858" s="660" t="s">
        <v>473</v>
      </c>
      <c r="B858" s="29" t="s">
        <v>29</v>
      </c>
      <c r="C858" s="656" t="s">
        <v>540</v>
      </c>
      <c r="D858" s="667" t="s">
        <v>274</v>
      </c>
      <c r="E858" s="667" t="s">
        <v>474</v>
      </c>
      <c r="F858" s="593" t="s">
        <v>30</v>
      </c>
      <c r="G858" s="83">
        <f>SUM(G859:G862)</f>
        <v>1300000</v>
      </c>
      <c r="H858" s="83">
        <f>SUM(H859:H862)</f>
        <v>26491</v>
      </c>
      <c r="I858" s="379">
        <f>IF(G858&gt;0,H858/G858*100,"-")</f>
        <v>2.0377692307692308</v>
      </c>
      <c r="J858" s="83">
        <f>SUM(J859:J862)</f>
        <v>0</v>
      </c>
      <c r="K858" s="83">
        <f>SUM(K859:K862)</f>
        <v>50000</v>
      </c>
      <c r="L858" s="58">
        <f>SUM(L859:L862)</f>
        <v>26490.98</v>
      </c>
      <c r="M858" s="15">
        <f>IF(K858&gt;0,L858/K858*100,"-")</f>
        <v>52.981959999999994</v>
      </c>
      <c r="N858" s="663" t="s">
        <v>475</v>
      </c>
    </row>
    <row r="859" spans="1:14" s="40" customFormat="1" ht="11.45" customHeight="1" outlineLevel="1">
      <c r="A859" s="660"/>
      <c r="B859" s="29"/>
      <c r="C859" s="656"/>
      <c r="D859" s="667"/>
      <c r="E859" s="667"/>
      <c r="F859" s="571" t="s">
        <v>18</v>
      </c>
      <c r="G859" s="80">
        <v>1300000</v>
      </c>
      <c r="H859" s="80">
        <f>ROUNDUP(0+L859,0)</f>
        <v>26491</v>
      </c>
      <c r="I859" s="381">
        <f>IF(G859&gt;0,H859/G859*100,"-")</f>
        <v>2.0377692307692308</v>
      </c>
      <c r="J859" s="80">
        <v>0</v>
      </c>
      <c r="K859" s="80">
        <v>50000</v>
      </c>
      <c r="L859" s="34">
        <v>26490.98</v>
      </c>
      <c r="M859" s="33">
        <f>IF(K859&gt;0,L859/K859*100,"-")</f>
        <v>52.981959999999994</v>
      </c>
      <c r="N859" s="663"/>
    </row>
    <row r="860" spans="1:14" s="40" customFormat="1" ht="22.5" outlineLevel="1">
      <c r="A860" s="660"/>
      <c r="B860" s="29" t="s">
        <v>24</v>
      </c>
      <c r="C860" s="617" t="s">
        <v>476</v>
      </c>
      <c r="D860" s="667"/>
      <c r="E860" s="667"/>
      <c r="F860" s="571" t="s">
        <v>221</v>
      </c>
      <c r="G860" s="80">
        <v>0</v>
      </c>
      <c r="H860" s="80">
        <f>ROUNDUP(0+L860,0)</f>
        <v>0</v>
      </c>
      <c r="I860" s="381" t="str">
        <f t="shared" ref="I860:I861" si="198">IF(G860&gt;0,H860/G860*100,"-")</f>
        <v>-</v>
      </c>
      <c r="J860" s="80">
        <v>0</v>
      </c>
      <c r="K860" s="80">
        <v>0</v>
      </c>
      <c r="L860" s="363">
        <v>0</v>
      </c>
      <c r="M860" s="33" t="str">
        <f t="shared" ref="M860:M861" si="199">IF(K860&gt;0,L860/K860*100,"-")</f>
        <v>-</v>
      </c>
      <c r="N860" s="663"/>
    </row>
    <row r="861" spans="1:14" s="40" customFormat="1" ht="11.45" customHeight="1" outlineLevel="1">
      <c r="A861" s="660"/>
      <c r="B861" s="187"/>
      <c r="C861" s="586"/>
      <c r="D861" s="667"/>
      <c r="E861" s="667"/>
      <c r="F861" s="571" t="s">
        <v>23</v>
      </c>
      <c r="G861" s="80">
        <v>0</v>
      </c>
      <c r="H861" s="80">
        <f>ROUNDUP(0+L861,0)</f>
        <v>0</v>
      </c>
      <c r="I861" s="381" t="str">
        <f t="shared" si="198"/>
        <v>-</v>
      </c>
      <c r="J861" s="80">
        <v>0</v>
      </c>
      <c r="K861" s="80">
        <v>0</v>
      </c>
      <c r="L861" s="363">
        <v>0</v>
      </c>
      <c r="M861" s="33" t="str">
        <f t="shared" si="199"/>
        <v>-</v>
      </c>
      <c r="N861" s="663"/>
    </row>
    <row r="862" spans="1:14" s="40" customFormat="1" ht="11.45" customHeight="1" outlineLevel="1">
      <c r="A862" s="632"/>
      <c r="B862" s="187"/>
      <c r="C862" s="586"/>
      <c r="D862" s="667"/>
      <c r="E862" s="667"/>
      <c r="F862" s="594"/>
      <c r="G862" s="80"/>
      <c r="H862" s="80"/>
      <c r="I862" s="381"/>
      <c r="J862" s="80"/>
      <c r="K862" s="80"/>
      <c r="L862" s="363"/>
      <c r="M862" s="33"/>
      <c r="N862" s="663"/>
    </row>
    <row r="863" spans="1:14" s="40" customFormat="1" ht="4.5" customHeight="1" outlineLevel="1">
      <c r="A863" s="62"/>
      <c r="B863" s="36"/>
      <c r="C863" s="602"/>
      <c r="D863" s="620"/>
      <c r="E863" s="620"/>
      <c r="F863" s="375"/>
      <c r="G863" s="538"/>
      <c r="H863" s="538"/>
      <c r="I863" s="375"/>
      <c r="J863" s="538"/>
      <c r="K863" s="392"/>
      <c r="L863" s="37"/>
      <c r="M863" s="38"/>
      <c r="N863" s="647"/>
    </row>
    <row r="864" spans="1:14" s="40" customFormat="1" ht="3.95" customHeight="1" outlineLevel="1">
      <c r="A864" s="434"/>
      <c r="B864" s="26"/>
      <c r="C864" s="591"/>
      <c r="D864" s="637"/>
      <c r="E864" s="637"/>
      <c r="F864" s="640"/>
      <c r="G864" s="540"/>
      <c r="H864" s="540"/>
      <c r="I864" s="376"/>
      <c r="J864" s="540"/>
      <c r="K864" s="84"/>
      <c r="L864" s="407"/>
      <c r="M864" s="28"/>
      <c r="N864" s="557"/>
    </row>
    <row r="865" spans="1:14" s="40" customFormat="1" ht="21" customHeight="1" outlineLevel="1">
      <c r="A865" s="660" t="s">
        <v>477</v>
      </c>
      <c r="B865" s="29" t="s">
        <v>29</v>
      </c>
      <c r="C865" s="656" t="s">
        <v>541</v>
      </c>
      <c r="D865" s="667" t="s">
        <v>274</v>
      </c>
      <c r="E865" s="667" t="s">
        <v>478</v>
      </c>
      <c r="F865" s="593" t="s">
        <v>30</v>
      </c>
      <c r="G865" s="83">
        <f>SUM(G866:G869)</f>
        <v>320000</v>
      </c>
      <c r="H865" s="83">
        <f>SUM(H866:H869)</f>
        <v>17314</v>
      </c>
      <c r="I865" s="379">
        <f>IF(G865&gt;0,H865/G865*100,"-")</f>
        <v>5.4106250000000005</v>
      </c>
      <c r="J865" s="83">
        <f>SUM(J866:J869)</f>
        <v>0</v>
      </c>
      <c r="K865" s="83">
        <f>SUM(K866:K869)</f>
        <v>20000</v>
      </c>
      <c r="L865" s="58">
        <f>SUM(L866:L869)</f>
        <v>17313.89</v>
      </c>
      <c r="M865" s="15">
        <f>IF(K865&gt;0,L865/K865*100,"-")</f>
        <v>86.569449999999989</v>
      </c>
      <c r="N865" s="663" t="s">
        <v>479</v>
      </c>
    </row>
    <row r="866" spans="1:14" s="40" customFormat="1" ht="28.5" customHeight="1" outlineLevel="1">
      <c r="A866" s="660"/>
      <c r="B866" s="29"/>
      <c r="C866" s="656"/>
      <c r="D866" s="667"/>
      <c r="E866" s="667"/>
      <c r="F866" s="571" t="s">
        <v>18</v>
      </c>
      <c r="G866" s="80">
        <v>320000</v>
      </c>
      <c r="H866" s="80">
        <f>ROUNDUP(0+L866,0)</f>
        <v>17314</v>
      </c>
      <c r="I866" s="381">
        <f>IF(G866&gt;0,H866/G866*100,"-")</f>
        <v>5.4106250000000005</v>
      </c>
      <c r="J866" s="80">
        <v>0</v>
      </c>
      <c r="K866" s="80">
        <v>20000</v>
      </c>
      <c r="L866" s="34">
        <v>17313.89</v>
      </c>
      <c r="M866" s="33">
        <f>IF(K866&gt;0,L866/K866*100,"-")</f>
        <v>86.569449999999989</v>
      </c>
      <c r="N866" s="663"/>
    </row>
    <row r="867" spans="1:14" s="40" customFormat="1" outlineLevel="1">
      <c r="A867" s="660"/>
      <c r="B867" s="29" t="s">
        <v>24</v>
      </c>
      <c r="C867" s="617" t="s">
        <v>480</v>
      </c>
      <c r="D867" s="667"/>
      <c r="E867" s="667"/>
      <c r="F867" s="571" t="s">
        <v>221</v>
      </c>
      <c r="G867" s="80">
        <v>0</v>
      </c>
      <c r="H867" s="80">
        <f>ROUNDUP(0+L867,0)</f>
        <v>0</v>
      </c>
      <c r="I867" s="381" t="str">
        <f t="shared" ref="I867:I868" si="200">IF(G867&gt;0,H867/G867*100,"-")</f>
        <v>-</v>
      </c>
      <c r="J867" s="80">
        <v>0</v>
      </c>
      <c r="K867" s="80">
        <v>0</v>
      </c>
      <c r="L867" s="363">
        <v>0</v>
      </c>
      <c r="M867" s="33" t="str">
        <f t="shared" ref="M867:M868" si="201">IF(K867&gt;0,L867/K867*100,"-")</f>
        <v>-</v>
      </c>
      <c r="N867" s="663"/>
    </row>
    <row r="868" spans="1:14" s="40" customFormat="1" ht="11.45" customHeight="1" outlineLevel="1">
      <c r="A868" s="660"/>
      <c r="B868" s="187"/>
      <c r="C868" s="586"/>
      <c r="D868" s="667"/>
      <c r="E868" s="667"/>
      <c r="F868" s="571" t="s">
        <v>23</v>
      </c>
      <c r="G868" s="80">
        <v>0</v>
      </c>
      <c r="H868" s="80">
        <f>ROUNDUP(0+L868,0)</f>
        <v>0</v>
      </c>
      <c r="I868" s="381" t="str">
        <f t="shared" si="200"/>
        <v>-</v>
      </c>
      <c r="J868" s="80">
        <v>0</v>
      </c>
      <c r="K868" s="80">
        <v>0</v>
      </c>
      <c r="L868" s="363">
        <v>0</v>
      </c>
      <c r="M868" s="33" t="str">
        <f t="shared" si="201"/>
        <v>-</v>
      </c>
      <c r="N868" s="663"/>
    </row>
    <row r="869" spans="1:14" s="40" customFormat="1" ht="11.45" customHeight="1" outlineLevel="1">
      <c r="A869" s="632"/>
      <c r="B869" s="187"/>
      <c r="C869" s="586"/>
      <c r="D869" s="667"/>
      <c r="E869" s="667"/>
      <c r="F869" s="594"/>
      <c r="G869" s="80"/>
      <c r="H869" s="80"/>
      <c r="I869" s="381"/>
      <c r="J869" s="80"/>
      <c r="K869" s="80"/>
      <c r="L869" s="363"/>
      <c r="M869" s="33"/>
      <c r="N869" s="663"/>
    </row>
    <row r="870" spans="1:14" s="40" customFormat="1" ht="4.5" customHeight="1" outlineLevel="1">
      <c r="A870" s="62"/>
      <c r="B870" s="36"/>
      <c r="C870" s="602"/>
      <c r="D870" s="620"/>
      <c r="E870" s="620"/>
      <c r="F870" s="375"/>
      <c r="G870" s="538"/>
      <c r="H870" s="538"/>
      <c r="I870" s="375"/>
      <c r="J870" s="538"/>
      <c r="K870" s="392"/>
      <c r="L870" s="37"/>
      <c r="M870" s="38"/>
      <c r="N870" s="647"/>
    </row>
    <row r="871" spans="1:14" s="40" customFormat="1" ht="3.95" customHeight="1" outlineLevel="1">
      <c r="A871" s="434"/>
      <c r="B871" s="26"/>
      <c r="C871" s="591"/>
      <c r="D871" s="637"/>
      <c r="E871" s="637"/>
      <c r="F871" s="640"/>
      <c r="G871" s="540"/>
      <c r="H871" s="540"/>
      <c r="I871" s="376"/>
      <c r="J871" s="540"/>
      <c r="K871" s="84"/>
      <c r="L871" s="407"/>
      <c r="M871" s="28"/>
      <c r="N871" s="557"/>
    </row>
    <row r="872" spans="1:14" s="40" customFormat="1" ht="21.75" customHeight="1" outlineLevel="1">
      <c r="A872" s="660" t="s">
        <v>481</v>
      </c>
      <c r="B872" s="29" t="s">
        <v>29</v>
      </c>
      <c r="C872" s="618" t="s">
        <v>353</v>
      </c>
      <c r="D872" s="667" t="s">
        <v>482</v>
      </c>
      <c r="E872" s="667" t="s">
        <v>313</v>
      </c>
      <c r="F872" s="593" t="s">
        <v>30</v>
      </c>
      <c r="G872" s="83">
        <f>SUM(G873:G876)</f>
        <v>10847970</v>
      </c>
      <c r="H872" s="83">
        <f>SUM(H873:H876)</f>
        <v>47970</v>
      </c>
      <c r="I872" s="379">
        <f>IF(G872&gt;0,H872/G872*100,"-")</f>
        <v>0.44220255033891132</v>
      </c>
      <c r="J872" s="83">
        <f>SUM(J873:J876)</f>
        <v>0</v>
      </c>
      <c r="K872" s="83">
        <f>SUM(K873:K876)</f>
        <v>0</v>
      </c>
      <c r="L872" s="58">
        <f>SUM(L873:L876)</f>
        <v>0</v>
      </c>
      <c r="M872" s="15" t="str">
        <f>IF(K872&gt;0,L872/K872*100,"-")</f>
        <v>-</v>
      </c>
      <c r="N872" s="663" t="s">
        <v>483</v>
      </c>
    </row>
    <row r="873" spans="1:14" s="40" customFormat="1" ht="22.5" outlineLevel="1">
      <c r="A873" s="660"/>
      <c r="B873" s="29" t="s">
        <v>24</v>
      </c>
      <c r="C873" s="586" t="s">
        <v>314</v>
      </c>
      <c r="D873" s="667"/>
      <c r="E873" s="667"/>
      <c r="F873" s="571" t="s">
        <v>18</v>
      </c>
      <c r="G873" s="80">
        <v>10847970</v>
      </c>
      <c r="H873" s="80">
        <f>ROUNDUP(47970+L873,0)</f>
        <v>47970</v>
      </c>
      <c r="I873" s="381">
        <f>IF(G873&gt;0,H873/G873*100,"-")</f>
        <v>0.44220255033891132</v>
      </c>
      <c r="J873" s="80">
        <v>0</v>
      </c>
      <c r="K873" s="80">
        <v>0</v>
      </c>
      <c r="L873" s="34">
        <v>0</v>
      </c>
      <c r="M873" s="33" t="str">
        <f>IF(K873&gt;0,L873/K873*100,"-")</f>
        <v>-</v>
      </c>
      <c r="N873" s="663"/>
    </row>
    <row r="874" spans="1:14" s="40" customFormat="1" ht="11.45" customHeight="1" outlineLevel="1">
      <c r="A874" s="660"/>
      <c r="B874" s="29"/>
      <c r="C874" s="586"/>
      <c r="D874" s="667"/>
      <c r="E874" s="667"/>
      <c r="F874" s="571" t="s">
        <v>221</v>
      </c>
      <c r="G874" s="80">
        <v>0</v>
      </c>
      <c r="H874" s="80">
        <f>ROUNDUP(0+L874,0)</f>
        <v>0</v>
      </c>
      <c r="I874" s="381" t="str">
        <f t="shared" ref="I874:I875" si="202">IF(G874&gt;0,H874/G874*100,"-")</f>
        <v>-</v>
      </c>
      <c r="J874" s="80">
        <v>0</v>
      </c>
      <c r="K874" s="80">
        <v>0</v>
      </c>
      <c r="L874" s="363">
        <v>0</v>
      </c>
      <c r="M874" s="33" t="str">
        <f t="shared" ref="M874:M875" si="203">IF(K874&gt;0,L874/K874*100,"-")</f>
        <v>-</v>
      </c>
      <c r="N874" s="663"/>
    </row>
    <row r="875" spans="1:14" s="40" customFormat="1" ht="11.45" customHeight="1" outlineLevel="1">
      <c r="A875" s="660"/>
      <c r="B875" s="29"/>
      <c r="C875" s="586"/>
      <c r="D875" s="667"/>
      <c r="E875" s="667"/>
      <c r="F875" s="571" t="s">
        <v>23</v>
      </c>
      <c r="G875" s="80">
        <v>0</v>
      </c>
      <c r="H875" s="80">
        <f>ROUNDUP(0+L875,0)</f>
        <v>0</v>
      </c>
      <c r="I875" s="381" t="str">
        <f t="shared" si="202"/>
        <v>-</v>
      </c>
      <c r="J875" s="80">
        <v>0</v>
      </c>
      <c r="K875" s="80">
        <v>0</v>
      </c>
      <c r="L875" s="363">
        <v>0</v>
      </c>
      <c r="M875" s="33" t="str">
        <f t="shared" si="203"/>
        <v>-</v>
      </c>
      <c r="N875" s="663"/>
    </row>
    <row r="876" spans="1:14" s="40" customFormat="1" ht="11.45" customHeight="1" outlineLevel="1">
      <c r="A876" s="632"/>
      <c r="B876" s="29"/>
      <c r="C876" s="586"/>
      <c r="D876" s="667"/>
      <c r="E876" s="667"/>
      <c r="F876" s="594"/>
      <c r="G876" s="80"/>
      <c r="H876" s="80"/>
      <c r="I876" s="381"/>
      <c r="J876" s="80"/>
      <c r="K876" s="80"/>
      <c r="L876" s="363"/>
      <c r="M876" s="33"/>
      <c r="N876" s="663"/>
    </row>
    <row r="877" spans="1:14" s="40" customFormat="1" ht="3.95" customHeight="1" outlineLevel="1">
      <c r="A877" s="62"/>
      <c r="B877" s="36"/>
      <c r="C877" s="602"/>
      <c r="D877" s="620"/>
      <c r="E877" s="620"/>
      <c r="F877" s="375"/>
      <c r="G877" s="538"/>
      <c r="H877" s="538"/>
      <c r="I877" s="375"/>
      <c r="J877" s="538"/>
      <c r="K877" s="392"/>
      <c r="L877" s="37"/>
      <c r="M877" s="38"/>
      <c r="N877" s="647"/>
    </row>
    <row r="878" spans="1:14" s="40" customFormat="1" ht="3.95" customHeight="1" outlineLevel="1">
      <c r="A878" s="434"/>
      <c r="B878" s="26"/>
      <c r="C878" s="591"/>
      <c r="D878" s="637"/>
      <c r="E878" s="637"/>
      <c r="F878" s="640"/>
      <c r="G878" s="540"/>
      <c r="H878" s="540"/>
      <c r="I878" s="376"/>
      <c r="J878" s="540"/>
      <c r="K878" s="84"/>
      <c r="L878" s="407"/>
      <c r="M878" s="28"/>
      <c r="N878" s="557"/>
    </row>
    <row r="879" spans="1:14" s="40" customFormat="1" ht="27" customHeight="1" outlineLevel="1">
      <c r="A879" s="660" t="s">
        <v>484</v>
      </c>
      <c r="B879" s="29" t="s">
        <v>29</v>
      </c>
      <c r="C879" s="618" t="s">
        <v>356</v>
      </c>
      <c r="D879" s="667" t="s">
        <v>485</v>
      </c>
      <c r="E879" s="667" t="s">
        <v>313</v>
      </c>
      <c r="F879" s="593" t="s">
        <v>30</v>
      </c>
      <c r="G879" s="83">
        <f>SUM(G880:G883)</f>
        <v>6522342</v>
      </c>
      <c r="H879" s="83">
        <f>SUM(H880:H883)</f>
        <v>22342</v>
      </c>
      <c r="I879" s="379">
        <f>IF(G879&gt;0,H879/G879*100,"-")</f>
        <v>0.34254566841174533</v>
      </c>
      <c r="J879" s="83">
        <f>SUM(J880:J883)</f>
        <v>0</v>
      </c>
      <c r="K879" s="83">
        <f>SUM(K880:K883)</f>
        <v>0</v>
      </c>
      <c r="L879" s="58">
        <f>SUM(L880:L883)</f>
        <v>0</v>
      </c>
      <c r="M879" s="15" t="str">
        <f>IF(K879&gt;0,L879/K879*100,"-")</f>
        <v>-</v>
      </c>
      <c r="N879" s="663" t="s">
        <v>483</v>
      </c>
    </row>
    <row r="880" spans="1:14" s="40" customFormat="1" ht="22.5" outlineLevel="1">
      <c r="A880" s="660"/>
      <c r="B880" s="29" t="s">
        <v>24</v>
      </c>
      <c r="C880" s="586" t="s">
        <v>314</v>
      </c>
      <c r="D880" s="667"/>
      <c r="E880" s="667"/>
      <c r="F880" s="571" t="s">
        <v>18</v>
      </c>
      <c r="G880" s="80">
        <v>6522342</v>
      </c>
      <c r="H880" s="80">
        <f>ROUNDUP(22342+L880,0)</f>
        <v>22342</v>
      </c>
      <c r="I880" s="381">
        <f>IF(G880&gt;0,H880/G880*100,"-")</f>
        <v>0.34254566841174533</v>
      </c>
      <c r="J880" s="80">
        <v>0</v>
      </c>
      <c r="K880" s="80">
        <v>0</v>
      </c>
      <c r="L880" s="34">
        <v>0</v>
      </c>
      <c r="M880" s="33" t="str">
        <f>IF(K880&gt;0,L880/K880*100,"-")</f>
        <v>-</v>
      </c>
      <c r="N880" s="663"/>
    </row>
    <row r="881" spans="1:14" s="40" customFormat="1" ht="11.45" customHeight="1" outlineLevel="1">
      <c r="A881" s="660"/>
      <c r="B881" s="29"/>
      <c r="C881" s="586"/>
      <c r="D881" s="667"/>
      <c r="E881" s="667"/>
      <c r="F881" s="571" t="s">
        <v>221</v>
      </c>
      <c r="G881" s="80">
        <v>0</v>
      </c>
      <c r="H881" s="80">
        <f>ROUNDUP(0+L881,0)</f>
        <v>0</v>
      </c>
      <c r="I881" s="381" t="str">
        <f t="shared" ref="I881:I882" si="204">IF(G881&gt;0,H881/G881*100,"-")</f>
        <v>-</v>
      </c>
      <c r="J881" s="80">
        <v>0</v>
      </c>
      <c r="K881" s="80">
        <v>0</v>
      </c>
      <c r="L881" s="363">
        <v>0</v>
      </c>
      <c r="M881" s="33" t="str">
        <f t="shared" ref="M881:M882" si="205">IF(K881&gt;0,L881/K881*100,"-")</f>
        <v>-</v>
      </c>
      <c r="N881" s="663"/>
    </row>
    <row r="882" spans="1:14" s="40" customFormat="1" ht="11.45" customHeight="1" outlineLevel="1">
      <c r="A882" s="660"/>
      <c r="B882" s="29"/>
      <c r="C882" s="586"/>
      <c r="D882" s="667"/>
      <c r="E882" s="667"/>
      <c r="F882" s="571" t="s">
        <v>23</v>
      </c>
      <c r="G882" s="80">
        <v>0</v>
      </c>
      <c r="H882" s="80">
        <f>ROUNDUP(0+L882,0)</f>
        <v>0</v>
      </c>
      <c r="I882" s="381" t="str">
        <f t="shared" si="204"/>
        <v>-</v>
      </c>
      <c r="J882" s="80">
        <v>0</v>
      </c>
      <c r="K882" s="80">
        <v>0</v>
      </c>
      <c r="L882" s="363">
        <v>0</v>
      </c>
      <c r="M882" s="33" t="str">
        <f t="shared" si="205"/>
        <v>-</v>
      </c>
      <c r="N882" s="663"/>
    </row>
    <row r="883" spans="1:14" s="40" customFormat="1" ht="11.45" customHeight="1" outlineLevel="1">
      <c r="A883" s="632"/>
      <c r="B883" s="29"/>
      <c r="C883" s="586"/>
      <c r="D883" s="667"/>
      <c r="E883" s="667"/>
      <c r="F883" s="594"/>
      <c r="G883" s="80"/>
      <c r="H883" s="80"/>
      <c r="I883" s="381"/>
      <c r="J883" s="80"/>
      <c r="K883" s="80"/>
      <c r="L883" s="363"/>
      <c r="M883" s="33"/>
      <c r="N883" s="663"/>
    </row>
    <row r="884" spans="1:14" s="40" customFormat="1" ht="3.75" customHeight="1" outlineLevel="1">
      <c r="A884" s="62"/>
      <c r="B884" s="36"/>
      <c r="C884" s="602"/>
      <c r="D884" s="620"/>
      <c r="E884" s="620"/>
      <c r="F884" s="375"/>
      <c r="G884" s="538"/>
      <c r="H884" s="538"/>
      <c r="I884" s="375"/>
      <c r="J884" s="538"/>
      <c r="K884" s="392"/>
      <c r="L884" s="37"/>
      <c r="M884" s="38"/>
      <c r="N884" s="647"/>
    </row>
    <row r="885" spans="1:14" s="40" customFormat="1" ht="3.95" customHeight="1" outlineLevel="1">
      <c r="A885" s="434"/>
      <c r="B885" s="26"/>
      <c r="C885" s="591"/>
      <c r="D885" s="637"/>
      <c r="E885" s="637"/>
      <c r="F885" s="640"/>
      <c r="G885" s="540"/>
      <c r="H885" s="540"/>
      <c r="I885" s="376"/>
      <c r="J885" s="540"/>
      <c r="K885" s="84"/>
      <c r="L885" s="407"/>
      <c r="M885" s="28"/>
      <c r="N885" s="557"/>
    </row>
    <row r="886" spans="1:14" s="40" customFormat="1" ht="11.45" customHeight="1" outlineLevel="1">
      <c r="A886" s="660" t="s">
        <v>486</v>
      </c>
      <c r="B886" s="29" t="s">
        <v>29</v>
      </c>
      <c r="C886" s="656" t="s">
        <v>542</v>
      </c>
      <c r="D886" s="667" t="s">
        <v>358</v>
      </c>
      <c r="E886" s="667" t="s">
        <v>313</v>
      </c>
      <c r="F886" s="593" t="s">
        <v>30</v>
      </c>
      <c r="G886" s="83">
        <f>SUM(G887:G890)</f>
        <v>7301058</v>
      </c>
      <c r="H886" s="83">
        <f>SUM(H887:H890)</f>
        <v>376624</v>
      </c>
      <c r="I886" s="379">
        <f>IF(G886&gt;0,H886/G886*100,"-")</f>
        <v>5.1584852496720339</v>
      </c>
      <c r="J886" s="83">
        <f>SUM(J887:J890)</f>
        <v>300000</v>
      </c>
      <c r="K886" s="83">
        <f>SUM(K887:K890)</f>
        <v>202778</v>
      </c>
      <c r="L886" s="58">
        <f>SUM(L887:L890)</f>
        <v>199343.1</v>
      </c>
      <c r="M886" s="15">
        <f>IF(K886&gt;0,L886/K886*100,"-")</f>
        <v>98.306078568681016</v>
      </c>
      <c r="N886" s="663" t="s">
        <v>487</v>
      </c>
    </row>
    <row r="887" spans="1:14" s="40" customFormat="1" ht="11.45" customHeight="1" outlineLevel="1">
      <c r="A887" s="660"/>
      <c r="B887" s="29"/>
      <c r="C887" s="656"/>
      <c r="D887" s="667"/>
      <c r="E887" s="667"/>
      <c r="F887" s="571" t="s">
        <v>18</v>
      </c>
      <c r="G887" s="80">
        <v>7301058</v>
      </c>
      <c r="H887" s="80">
        <f>ROUNDUP(177280+L887,0)</f>
        <v>376624</v>
      </c>
      <c r="I887" s="381">
        <f>IF(G887&gt;0,H887/G887*100,"-")</f>
        <v>5.1584852496720339</v>
      </c>
      <c r="J887" s="80">
        <v>300000</v>
      </c>
      <c r="K887" s="80">
        <v>202778</v>
      </c>
      <c r="L887" s="34">
        <v>199343.1</v>
      </c>
      <c r="M887" s="33">
        <f>IF(K887&gt;0,L887/K887*100,"-")</f>
        <v>98.306078568681016</v>
      </c>
      <c r="N887" s="663"/>
    </row>
    <row r="888" spans="1:14" s="40" customFormat="1" ht="22.5" outlineLevel="1">
      <c r="A888" s="660"/>
      <c r="B888" s="29" t="s">
        <v>24</v>
      </c>
      <c r="C888" s="586" t="s">
        <v>314</v>
      </c>
      <c r="D888" s="667"/>
      <c r="E888" s="667"/>
      <c r="F888" s="571" t="s">
        <v>221</v>
      </c>
      <c r="G888" s="80">
        <v>0</v>
      </c>
      <c r="H888" s="80">
        <f>ROUNDUP(0+L888,0)</f>
        <v>0</v>
      </c>
      <c r="I888" s="381" t="str">
        <f t="shared" ref="I888:I889" si="206">IF(G888&gt;0,H888/G888*100,"-")</f>
        <v>-</v>
      </c>
      <c r="J888" s="80">
        <v>0</v>
      </c>
      <c r="K888" s="80">
        <v>0</v>
      </c>
      <c r="L888" s="363">
        <v>0</v>
      </c>
      <c r="M888" s="33" t="str">
        <f t="shared" ref="M888:M889" si="207">IF(K888&gt;0,L888/K888*100,"-")</f>
        <v>-</v>
      </c>
      <c r="N888" s="663"/>
    </row>
    <row r="889" spans="1:14" s="40" customFormat="1" ht="11.45" customHeight="1" outlineLevel="1">
      <c r="A889" s="660"/>
      <c r="B889" s="29"/>
      <c r="C889" s="586"/>
      <c r="D889" s="667"/>
      <c r="E889" s="667"/>
      <c r="F889" s="571" t="s">
        <v>23</v>
      </c>
      <c r="G889" s="80">
        <v>0</v>
      </c>
      <c r="H889" s="80">
        <f>ROUNDUP(0+L889,0)</f>
        <v>0</v>
      </c>
      <c r="I889" s="381" t="str">
        <f t="shared" si="206"/>
        <v>-</v>
      </c>
      <c r="J889" s="80">
        <v>0</v>
      </c>
      <c r="K889" s="80">
        <v>0</v>
      </c>
      <c r="L889" s="363">
        <v>0</v>
      </c>
      <c r="M889" s="33" t="str">
        <f t="shared" si="207"/>
        <v>-</v>
      </c>
      <c r="N889" s="663"/>
    </row>
    <row r="890" spans="1:14" s="40" customFormat="1" ht="11.45" customHeight="1" outlineLevel="1">
      <c r="A890" s="632"/>
      <c r="B890" s="29"/>
      <c r="C890" s="586"/>
      <c r="D890" s="667"/>
      <c r="E890" s="667"/>
      <c r="F890" s="594"/>
      <c r="G890" s="80"/>
      <c r="H890" s="80"/>
      <c r="I890" s="381"/>
      <c r="J890" s="80"/>
      <c r="K890" s="80"/>
      <c r="L890" s="363"/>
      <c r="M890" s="33"/>
      <c r="N890" s="663"/>
    </row>
    <row r="891" spans="1:14" s="40" customFormat="1" ht="3.95" customHeight="1" outlineLevel="1">
      <c r="A891" s="62"/>
      <c r="B891" s="36"/>
      <c r="C891" s="602"/>
      <c r="D891" s="620"/>
      <c r="E891" s="620"/>
      <c r="F891" s="375"/>
      <c r="G891" s="538"/>
      <c r="H891" s="538"/>
      <c r="I891" s="375"/>
      <c r="J891" s="538"/>
      <c r="K891" s="392"/>
      <c r="L891" s="37"/>
      <c r="M891" s="38"/>
      <c r="N891" s="647"/>
    </row>
    <row r="892" spans="1:14" s="40" customFormat="1" ht="11.25" customHeight="1" outlineLevel="1">
      <c r="A892" s="434"/>
      <c r="B892" s="669" t="s">
        <v>29</v>
      </c>
      <c r="C892" s="668" t="s">
        <v>543</v>
      </c>
      <c r="D892" s="637"/>
      <c r="E892" s="637"/>
      <c r="F892" s="640"/>
      <c r="G892" s="540"/>
      <c r="H892" s="540"/>
      <c r="I892" s="376"/>
      <c r="J892" s="540"/>
      <c r="K892" s="84"/>
      <c r="L892" s="407"/>
      <c r="M892" s="28"/>
      <c r="N892" s="557"/>
    </row>
    <row r="893" spans="1:14" s="40" customFormat="1" ht="11.45" customHeight="1" outlineLevel="1">
      <c r="A893" s="660" t="s">
        <v>488</v>
      </c>
      <c r="B893" s="670"/>
      <c r="C893" s="656"/>
      <c r="D893" s="667" t="s">
        <v>489</v>
      </c>
      <c r="E893" s="667" t="s">
        <v>169</v>
      </c>
      <c r="F893" s="593" t="s">
        <v>30</v>
      </c>
      <c r="G893" s="83">
        <f>SUM(G894:G897)</f>
        <v>2811695</v>
      </c>
      <c r="H893" s="83">
        <f>SUM(H894:H897)</f>
        <v>109948</v>
      </c>
      <c r="I893" s="379">
        <f>IF(G893&gt;0,H893/G893*100,"-")</f>
        <v>3.9103814602935238</v>
      </c>
      <c r="J893" s="83">
        <f>SUM(J894:J897)</f>
        <v>0</v>
      </c>
      <c r="K893" s="83">
        <f>SUM(K894:K897)</f>
        <v>120402</v>
      </c>
      <c r="L893" s="58">
        <f>SUM(L894:L897)</f>
        <v>109947.68</v>
      </c>
      <c r="M893" s="15">
        <f>IF(K893&gt;0,L893/K893*100,"-")</f>
        <v>91.31715420009634</v>
      </c>
      <c r="N893" s="663" t="s">
        <v>490</v>
      </c>
    </row>
    <row r="894" spans="1:14" s="40" customFormat="1" ht="11.45" customHeight="1" outlineLevel="1">
      <c r="A894" s="660"/>
      <c r="B894" s="29"/>
      <c r="C894" s="656"/>
      <c r="D894" s="667"/>
      <c r="E894" s="667"/>
      <c r="F894" s="571" t="s">
        <v>18</v>
      </c>
      <c r="G894" s="79">
        <v>2811695</v>
      </c>
      <c r="H894" s="622">
        <f>ROUNDUP(0+L894,0)</f>
        <v>109948</v>
      </c>
      <c r="I894" s="33">
        <f t="shared" ref="I894:I896" si="208">IF(G894&gt;0,H894/G894*100,"-")</f>
        <v>3.9103814602935238</v>
      </c>
      <c r="J894" s="79">
        <v>0</v>
      </c>
      <c r="K894" s="79">
        <v>120402</v>
      </c>
      <c r="L894" s="34">
        <v>109947.68</v>
      </c>
      <c r="M894" s="33">
        <f>IF(K894&gt;0,L894/K894*100,"-")</f>
        <v>91.31715420009634</v>
      </c>
      <c r="N894" s="663"/>
    </row>
    <row r="895" spans="1:14" s="40" customFormat="1" ht="22.5" outlineLevel="1">
      <c r="A895" s="660"/>
      <c r="B895" s="29" t="s">
        <v>24</v>
      </c>
      <c r="C895" s="586" t="s">
        <v>327</v>
      </c>
      <c r="D895" s="667"/>
      <c r="E895" s="667"/>
      <c r="F895" s="571" t="s">
        <v>221</v>
      </c>
      <c r="G895" s="80">
        <v>0</v>
      </c>
      <c r="H895" s="80">
        <f>ROUNDUP(0+L895,0)</f>
        <v>0</v>
      </c>
      <c r="I895" s="381" t="str">
        <f t="shared" si="208"/>
        <v>-</v>
      </c>
      <c r="J895" s="80">
        <v>0</v>
      </c>
      <c r="K895" s="80">
        <v>0</v>
      </c>
      <c r="L895" s="363">
        <v>0</v>
      </c>
      <c r="M895" s="33" t="str">
        <f t="shared" ref="M895:M896" si="209">IF(K895&gt;0,L895/K895*100,"-")</f>
        <v>-</v>
      </c>
      <c r="N895" s="663"/>
    </row>
    <row r="896" spans="1:14" s="40" customFormat="1" ht="11.45" customHeight="1" outlineLevel="1">
      <c r="A896" s="660"/>
      <c r="B896" s="29"/>
      <c r="C896" s="586"/>
      <c r="D896" s="667"/>
      <c r="E896" s="667"/>
      <c r="F896" s="571" t="s">
        <v>23</v>
      </c>
      <c r="G896" s="80">
        <v>0</v>
      </c>
      <c r="H896" s="80">
        <f>ROUNDUP(0+L896,0)</f>
        <v>0</v>
      </c>
      <c r="I896" s="381" t="str">
        <f t="shared" si="208"/>
        <v>-</v>
      </c>
      <c r="J896" s="80">
        <v>0</v>
      </c>
      <c r="K896" s="80">
        <v>0</v>
      </c>
      <c r="L896" s="363">
        <v>0</v>
      </c>
      <c r="M896" s="33" t="str">
        <f t="shared" si="209"/>
        <v>-</v>
      </c>
      <c r="N896" s="663"/>
    </row>
    <row r="897" spans="1:14" s="40" customFormat="1" ht="11.45" customHeight="1" outlineLevel="1">
      <c r="A897" s="632"/>
      <c r="B897" s="29"/>
      <c r="C897" s="586"/>
      <c r="D897" s="667"/>
      <c r="E897" s="667"/>
      <c r="F897" s="594"/>
      <c r="G897" s="80"/>
      <c r="H897" s="80"/>
      <c r="I897" s="381"/>
      <c r="J897" s="80"/>
      <c r="K897" s="80"/>
      <c r="L897" s="363"/>
      <c r="M897" s="33"/>
      <c r="N897" s="663"/>
    </row>
    <row r="898" spans="1:14" s="40" customFormat="1" ht="3.95" customHeight="1" outlineLevel="1">
      <c r="A898" s="62"/>
      <c r="B898" s="36"/>
      <c r="C898" s="602"/>
      <c r="D898" s="620"/>
      <c r="E898" s="620"/>
      <c r="F898" s="375"/>
      <c r="G898" s="538"/>
      <c r="H898" s="538"/>
      <c r="I898" s="375"/>
      <c r="J898" s="538"/>
      <c r="K898" s="392"/>
      <c r="L898" s="37"/>
      <c r="M898" s="38"/>
      <c r="N898" s="647"/>
    </row>
    <row r="899" spans="1:14" s="40" customFormat="1" ht="3.95" customHeight="1" outlineLevel="1">
      <c r="A899" s="434"/>
      <c r="B899" s="26"/>
      <c r="C899" s="591"/>
      <c r="D899" s="637"/>
      <c r="E899" s="637"/>
      <c r="F899" s="640"/>
      <c r="G899" s="540"/>
      <c r="H899" s="540"/>
      <c r="I899" s="376"/>
      <c r="J899" s="540"/>
      <c r="K899" s="84"/>
      <c r="L899" s="407"/>
      <c r="M899" s="28"/>
      <c r="N899" s="557"/>
    </row>
    <row r="900" spans="1:14" s="40" customFormat="1" ht="11.45" customHeight="1" outlineLevel="1">
      <c r="A900" s="660" t="s">
        <v>491</v>
      </c>
      <c r="B900" s="29" t="s">
        <v>29</v>
      </c>
      <c r="C900" s="656" t="s">
        <v>544</v>
      </c>
      <c r="D900" s="667" t="s">
        <v>458</v>
      </c>
      <c r="E900" s="667" t="s">
        <v>492</v>
      </c>
      <c r="F900" s="593" t="s">
        <v>30</v>
      </c>
      <c r="G900" s="83">
        <f>SUM(G901:G904)</f>
        <v>485000</v>
      </c>
      <c r="H900" s="83">
        <f>SUM(H901:H904)</f>
        <v>79291</v>
      </c>
      <c r="I900" s="379">
        <f>IF(G900&gt;0,H900/G900*100,"-")</f>
        <v>16.348659793814431</v>
      </c>
      <c r="J900" s="83">
        <f>SUM(J901:J904)</f>
        <v>0</v>
      </c>
      <c r="K900" s="83">
        <f>SUM(K901:K904)</f>
        <v>85000</v>
      </c>
      <c r="L900" s="58">
        <f>SUM(L901:L904)</f>
        <v>79290.559999999998</v>
      </c>
      <c r="M900" s="15">
        <f>IF(K900&gt;0,L900/K900*100,"-")</f>
        <v>93.283011764705876</v>
      </c>
      <c r="N900" s="663" t="s">
        <v>493</v>
      </c>
    </row>
    <row r="901" spans="1:14" s="40" customFormat="1" ht="11.45" customHeight="1" outlineLevel="1">
      <c r="A901" s="660"/>
      <c r="B901" s="29"/>
      <c r="C901" s="656"/>
      <c r="D901" s="667"/>
      <c r="E901" s="667"/>
      <c r="F901" s="571" t="s">
        <v>18</v>
      </c>
      <c r="G901" s="79">
        <v>485000</v>
      </c>
      <c r="H901" s="622">
        <f>ROUNDUP(0+L901,0)</f>
        <v>79291</v>
      </c>
      <c r="I901" s="381">
        <f>IF(G901&gt;0,H901/G901*100,"-")</f>
        <v>16.348659793814431</v>
      </c>
      <c r="J901" s="80">
        <v>0</v>
      </c>
      <c r="K901" s="79">
        <v>85000</v>
      </c>
      <c r="L901" s="34">
        <v>79290.559999999998</v>
      </c>
      <c r="M901" s="33">
        <f>IF(K901&gt;0,L901/K901*100,"-")</f>
        <v>93.283011764705876</v>
      </c>
      <c r="N901" s="663"/>
    </row>
    <row r="902" spans="1:14" s="40" customFormat="1" outlineLevel="1">
      <c r="A902" s="660"/>
      <c r="B902" s="29" t="s">
        <v>24</v>
      </c>
      <c r="C902" s="586" t="s">
        <v>351</v>
      </c>
      <c r="D902" s="667"/>
      <c r="E902" s="667"/>
      <c r="F902" s="571" t="s">
        <v>221</v>
      </c>
      <c r="G902" s="80">
        <v>0</v>
      </c>
      <c r="H902" s="80">
        <f>ROUNDUP(0+L902,0)</f>
        <v>0</v>
      </c>
      <c r="I902" s="381" t="str">
        <f t="shared" ref="I902:I903" si="210">IF(G902&gt;0,H902/G902*100,"-")</f>
        <v>-</v>
      </c>
      <c r="J902" s="80">
        <v>0</v>
      </c>
      <c r="K902" s="80">
        <v>0</v>
      </c>
      <c r="L902" s="363">
        <v>0</v>
      </c>
      <c r="M902" s="33" t="str">
        <f t="shared" ref="M902:M903" si="211">IF(K902&gt;0,L902/K902*100,"-")</f>
        <v>-</v>
      </c>
      <c r="N902" s="663"/>
    </row>
    <row r="903" spans="1:14" s="40" customFormat="1" ht="11.45" customHeight="1" outlineLevel="1">
      <c r="A903" s="660"/>
      <c r="B903" s="29"/>
      <c r="C903" s="586"/>
      <c r="D903" s="667"/>
      <c r="E903" s="667"/>
      <c r="F903" s="571" t="s">
        <v>23</v>
      </c>
      <c r="G903" s="80">
        <v>0</v>
      </c>
      <c r="H903" s="80">
        <f>ROUNDUP(0+L903,0)</f>
        <v>0</v>
      </c>
      <c r="I903" s="381" t="str">
        <f t="shared" si="210"/>
        <v>-</v>
      </c>
      <c r="J903" s="80">
        <v>0</v>
      </c>
      <c r="K903" s="80">
        <v>0</v>
      </c>
      <c r="L903" s="363">
        <v>0</v>
      </c>
      <c r="M903" s="33" t="str">
        <f t="shared" si="211"/>
        <v>-</v>
      </c>
      <c r="N903" s="663"/>
    </row>
    <row r="904" spans="1:14" s="40" customFormat="1" ht="11.45" customHeight="1" outlineLevel="1">
      <c r="A904" s="632"/>
      <c r="B904" s="29"/>
      <c r="C904" s="586"/>
      <c r="D904" s="667"/>
      <c r="E904" s="667"/>
      <c r="F904" s="594"/>
      <c r="G904" s="80"/>
      <c r="H904" s="80"/>
      <c r="I904" s="381"/>
      <c r="J904" s="80"/>
      <c r="K904" s="80"/>
      <c r="L904" s="363"/>
      <c r="M904" s="33"/>
      <c r="N904" s="663"/>
    </row>
    <row r="905" spans="1:14" s="40" customFormat="1" ht="3.95" customHeight="1" outlineLevel="1">
      <c r="A905" s="62"/>
      <c r="B905" s="36"/>
      <c r="C905" s="602"/>
      <c r="D905" s="620"/>
      <c r="E905" s="620"/>
      <c r="F905" s="375"/>
      <c r="G905" s="538"/>
      <c r="H905" s="538"/>
      <c r="I905" s="375"/>
      <c r="J905" s="538"/>
      <c r="K905" s="392"/>
      <c r="L905" s="37"/>
      <c r="M905" s="38"/>
      <c r="N905" s="647"/>
    </row>
    <row r="906" spans="1:14" s="40" customFormat="1" ht="3.95" customHeight="1">
      <c r="A906" s="437"/>
      <c r="B906" s="605"/>
      <c r="C906" s="606"/>
      <c r="D906" s="437"/>
      <c r="E906" s="437"/>
      <c r="F906" s="605"/>
      <c r="G906" s="608"/>
      <c r="H906" s="608"/>
      <c r="I906" s="654"/>
      <c r="J906" s="608"/>
      <c r="K906" s="608"/>
      <c r="L906" s="623"/>
      <c r="M906" s="654"/>
      <c r="N906" s="624"/>
    </row>
    <row r="907" spans="1:14" s="40" customFormat="1" ht="11.25" customHeight="1">
      <c r="A907" s="5" t="s">
        <v>136</v>
      </c>
      <c r="B907" s="658" t="s">
        <v>363</v>
      </c>
      <c r="C907" s="659"/>
      <c r="D907" s="6"/>
      <c r="E907" s="6"/>
      <c r="F907" s="7"/>
      <c r="G907" s="73">
        <f>SUM(G908:G911)</f>
        <v>1096773</v>
      </c>
      <c r="H907" s="73">
        <f>SUM(H908:H911)</f>
        <v>788785</v>
      </c>
      <c r="I907" s="9">
        <f>IF(G907&gt;0,H907/G907*100,"-")</f>
        <v>71.918710617420373</v>
      </c>
      <c r="J907" s="73">
        <f>SUM(J908:J911)</f>
        <v>0</v>
      </c>
      <c r="K907" s="73">
        <f>SUM(K908:K911)</f>
        <v>170000</v>
      </c>
      <c r="L907" s="8">
        <f>SUM(L908:L911)</f>
        <v>162011.5</v>
      </c>
      <c r="M907" s="9">
        <f>IF(K907&gt;0,L907/K907*100,"-")</f>
        <v>95.300882352941173</v>
      </c>
      <c r="N907" s="521"/>
    </row>
    <row r="908" spans="1:14" s="40" customFormat="1" ht="11.25" customHeight="1">
      <c r="A908" s="7"/>
      <c r="B908" s="10"/>
      <c r="C908" s="522"/>
      <c r="D908" s="6"/>
      <c r="E908" s="6"/>
      <c r="F908" s="11" t="s">
        <v>18</v>
      </c>
      <c r="G908" s="74">
        <f>G915</f>
        <v>1096773</v>
      </c>
      <c r="H908" s="74">
        <f>H915</f>
        <v>788785</v>
      </c>
      <c r="I908" s="13">
        <f>IF(G908&gt;0,H908/G908*100,"-")</f>
        <v>71.918710617420373</v>
      </c>
      <c r="J908" s="74">
        <f>J915</f>
        <v>0</v>
      </c>
      <c r="K908" s="74">
        <f>K915</f>
        <v>170000</v>
      </c>
      <c r="L908" s="12">
        <f>L915</f>
        <v>162011.5</v>
      </c>
      <c r="M908" s="13">
        <f>IF(K908&gt;0,L908/K908*100,"-")</f>
        <v>95.300882352941173</v>
      </c>
      <c r="N908" s="521"/>
    </row>
    <row r="909" spans="1:14" s="40" customFormat="1" ht="11.25" customHeight="1">
      <c r="A909" s="7"/>
      <c r="B909" s="10"/>
      <c r="C909" s="522"/>
      <c r="D909" s="6"/>
      <c r="E909" s="6"/>
      <c r="F909" s="11" t="s">
        <v>221</v>
      </c>
      <c r="G909" s="74">
        <f t="shared" ref="G909:H910" si="212">G916</f>
        <v>0</v>
      </c>
      <c r="H909" s="74">
        <f t="shared" si="212"/>
        <v>0</v>
      </c>
      <c r="I909" s="13" t="str">
        <f t="shared" ref="I909:I910" si="213">IF(G909&gt;0,H909/G909*100,"-")</f>
        <v>-</v>
      </c>
      <c r="J909" s="74">
        <f t="shared" ref="J909:L910" si="214">J916</f>
        <v>0</v>
      </c>
      <c r="K909" s="74">
        <f t="shared" si="214"/>
        <v>0</v>
      </c>
      <c r="L909" s="12">
        <f t="shared" si="214"/>
        <v>0</v>
      </c>
      <c r="M909" s="13" t="str">
        <f t="shared" ref="M909:M910" si="215">IF(K909&gt;0,L909/K909*100,"-")</f>
        <v>-</v>
      </c>
      <c r="N909" s="521"/>
    </row>
    <row r="910" spans="1:14" s="40" customFormat="1" ht="11.25" customHeight="1">
      <c r="A910" s="7"/>
      <c r="B910" s="10"/>
      <c r="C910" s="522"/>
      <c r="D910" s="6"/>
      <c r="E910" s="6"/>
      <c r="F910" s="11" t="s">
        <v>23</v>
      </c>
      <c r="G910" s="74">
        <f t="shared" si="212"/>
        <v>0</v>
      </c>
      <c r="H910" s="74">
        <f t="shared" si="212"/>
        <v>0</v>
      </c>
      <c r="I910" s="13" t="str">
        <f t="shared" si="213"/>
        <v>-</v>
      </c>
      <c r="J910" s="74">
        <f t="shared" si="214"/>
        <v>0</v>
      </c>
      <c r="K910" s="74">
        <f t="shared" si="214"/>
        <v>0</v>
      </c>
      <c r="L910" s="12">
        <f t="shared" si="214"/>
        <v>0</v>
      </c>
      <c r="M910" s="13" t="str">
        <f t="shared" si="215"/>
        <v>-</v>
      </c>
      <c r="N910" s="521"/>
    </row>
    <row r="911" spans="1:14" s="40" customFormat="1" ht="11.25" customHeight="1">
      <c r="A911" s="7"/>
      <c r="B911" s="10"/>
      <c r="C911" s="522"/>
      <c r="D911" s="6"/>
      <c r="E911" s="6"/>
      <c r="F911" s="11"/>
      <c r="G911" s="74"/>
      <c r="H911" s="74"/>
      <c r="I911" s="13"/>
      <c r="J911" s="74"/>
      <c r="K911" s="74"/>
      <c r="L911" s="12"/>
      <c r="M911" s="13"/>
      <c r="N911" s="521"/>
    </row>
    <row r="912" spans="1:14" s="40" customFormat="1" ht="3.95" customHeight="1">
      <c r="A912" s="20"/>
      <c r="B912" s="21"/>
      <c r="C912" s="523"/>
      <c r="D912" s="22"/>
      <c r="E912" s="22"/>
      <c r="F912" s="20"/>
      <c r="G912" s="75"/>
      <c r="H912" s="75"/>
      <c r="I912" s="24"/>
      <c r="J912" s="75"/>
      <c r="K912" s="75"/>
      <c r="L912" s="23"/>
      <c r="M912" s="24"/>
      <c r="N912" s="524"/>
    </row>
    <row r="913" spans="1:14" s="40" customFormat="1" ht="3.95" customHeight="1" outlineLevel="1">
      <c r="A913" s="434"/>
      <c r="B913" s="26"/>
      <c r="C913" s="525"/>
      <c r="D913" s="639"/>
      <c r="E913" s="639"/>
      <c r="F913" s="26"/>
      <c r="G913" s="77"/>
      <c r="H913" s="77"/>
      <c r="I913" s="28"/>
      <c r="J913" s="77"/>
      <c r="K913" s="76"/>
      <c r="L913" s="407"/>
      <c r="M913" s="28"/>
      <c r="N913" s="555"/>
    </row>
    <row r="914" spans="1:14" s="40" customFormat="1" ht="16.5" customHeight="1" outlineLevel="1">
      <c r="A914" s="660" t="s">
        <v>494</v>
      </c>
      <c r="B914" s="29" t="s">
        <v>29</v>
      </c>
      <c r="C914" s="666" t="s">
        <v>545</v>
      </c>
      <c r="D914" s="661" t="s">
        <v>354</v>
      </c>
      <c r="E914" s="661" t="s">
        <v>365</v>
      </c>
      <c r="F914" s="30" t="s">
        <v>30</v>
      </c>
      <c r="G914" s="78">
        <f>SUM(G915:G918)</f>
        <v>1096773</v>
      </c>
      <c r="H914" s="78">
        <f>SUM(H915:H918)</f>
        <v>788785</v>
      </c>
      <c r="I914" s="15">
        <f>IF(G914&gt;0,H914/G914*100,"-")</f>
        <v>71.918710617420373</v>
      </c>
      <c r="J914" s="78">
        <f>SUM(J915:J918)</f>
        <v>0</v>
      </c>
      <c r="K914" s="78">
        <f>SUM(K915:K918)</f>
        <v>170000</v>
      </c>
      <c r="L914" s="14">
        <f>SUM(L915:L918)</f>
        <v>162011.5</v>
      </c>
      <c r="M914" s="15">
        <f>IF(K914&gt;0,L914/K914*100,"-")</f>
        <v>95.300882352941173</v>
      </c>
      <c r="N914" s="663" t="s">
        <v>495</v>
      </c>
    </row>
    <row r="915" spans="1:14" s="40" customFormat="1" ht="21" customHeight="1" outlineLevel="1">
      <c r="A915" s="660"/>
      <c r="B915" s="29"/>
      <c r="C915" s="666"/>
      <c r="D915" s="661"/>
      <c r="E915" s="661"/>
      <c r="F915" s="31" t="s">
        <v>18</v>
      </c>
      <c r="G915" s="79">
        <v>1096773</v>
      </c>
      <c r="H915" s="80">
        <f>ROUNDUP(626773+L915,0)</f>
        <v>788785</v>
      </c>
      <c r="I915" s="33">
        <f>IF(G915&gt;0,H915/G915*100,"-")</f>
        <v>71.918710617420373</v>
      </c>
      <c r="J915" s="79">
        <v>0</v>
      </c>
      <c r="K915" s="79">
        <v>170000</v>
      </c>
      <c r="L915" s="34">
        <v>162011.5</v>
      </c>
      <c r="M915" s="33">
        <f>IF(K915&gt;0,L915/K915*100,"-")</f>
        <v>95.300882352941173</v>
      </c>
      <c r="N915" s="663"/>
    </row>
    <row r="916" spans="1:14" s="40" customFormat="1" outlineLevel="1">
      <c r="A916" s="660"/>
      <c r="B916" s="29" t="s">
        <v>24</v>
      </c>
      <c r="C916" s="528" t="s">
        <v>366</v>
      </c>
      <c r="D916" s="661"/>
      <c r="E916" s="661"/>
      <c r="F916" s="31" t="s">
        <v>221</v>
      </c>
      <c r="G916" s="79">
        <v>0</v>
      </c>
      <c r="H916" s="79">
        <f>ROUNDUP(0+L916,0)</f>
        <v>0</v>
      </c>
      <c r="I916" s="33" t="str">
        <f t="shared" ref="I916:I917" si="216">IF(G916&gt;0,H916/G916*100,"-")</f>
        <v>-</v>
      </c>
      <c r="J916" s="79">
        <v>0</v>
      </c>
      <c r="K916" s="79">
        <v>0</v>
      </c>
      <c r="L916" s="363">
        <v>0</v>
      </c>
      <c r="M916" s="33" t="str">
        <f t="shared" ref="M916:M917" si="217">IF(K916&gt;0,L916/K916*100,"-")</f>
        <v>-</v>
      </c>
      <c r="N916" s="663"/>
    </row>
    <row r="917" spans="1:14" s="40" customFormat="1" ht="11.1" customHeight="1" outlineLevel="1">
      <c r="A917" s="660"/>
      <c r="B917" s="29"/>
      <c r="C917" s="528"/>
      <c r="D917" s="661"/>
      <c r="E917" s="661"/>
      <c r="F917" s="31" t="s">
        <v>23</v>
      </c>
      <c r="G917" s="79">
        <v>0</v>
      </c>
      <c r="H917" s="79">
        <f>ROUNDUP(0+L917,0)</f>
        <v>0</v>
      </c>
      <c r="I917" s="33" t="str">
        <f t="shared" si="216"/>
        <v>-</v>
      </c>
      <c r="J917" s="79">
        <v>0</v>
      </c>
      <c r="K917" s="79">
        <v>0</v>
      </c>
      <c r="L917" s="363">
        <v>0</v>
      </c>
      <c r="M917" s="33" t="str">
        <f t="shared" si="217"/>
        <v>-</v>
      </c>
      <c r="N917" s="663"/>
    </row>
    <row r="918" spans="1:14" s="40" customFormat="1" ht="11.1" customHeight="1" outlineLevel="1">
      <c r="A918" s="632"/>
      <c r="B918" s="29"/>
      <c r="C918" s="528"/>
      <c r="D918" s="634"/>
      <c r="E918" s="634"/>
      <c r="F918" s="53"/>
      <c r="G918" s="79"/>
      <c r="H918" s="79"/>
      <c r="I918" s="33"/>
      <c r="J918" s="79"/>
      <c r="K918" s="79"/>
      <c r="L918" s="363"/>
      <c r="M918" s="33"/>
      <c r="N918" s="663"/>
    </row>
    <row r="919" spans="1:14" s="40" customFormat="1" ht="7.5" customHeight="1" outlineLevel="1">
      <c r="A919" s="62"/>
      <c r="B919" s="36"/>
      <c r="C919" s="529"/>
      <c r="D919" s="638"/>
      <c r="E919" s="638"/>
      <c r="F919" s="36"/>
      <c r="G919" s="137"/>
      <c r="H919" s="137"/>
      <c r="I919" s="36"/>
      <c r="J919" s="137"/>
      <c r="K919" s="81"/>
      <c r="L919" s="37"/>
      <c r="M919" s="38"/>
      <c r="N919" s="664"/>
    </row>
    <row r="920" spans="1:14" s="40" customFormat="1" ht="3.95" customHeight="1">
      <c r="A920" s="652"/>
      <c r="B920" s="651"/>
      <c r="C920" s="612"/>
      <c r="D920" s="652"/>
      <c r="E920" s="652"/>
      <c r="F920" s="651"/>
      <c r="G920" s="613"/>
      <c r="H920" s="613"/>
      <c r="I920" s="651"/>
      <c r="J920" s="613"/>
      <c r="K920" s="535"/>
      <c r="L920" s="614"/>
      <c r="M920" s="653"/>
      <c r="N920" s="521"/>
    </row>
    <row r="921" spans="1:14" s="40" customFormat="1" ht="11.25" customHeight="1">
      <c r="A921" s="5" t="s">
        <v>206</v>
      </c>
      <c r="B921" s="658" t="s">
        <v>371</v>
      </c>
      <c r="C921" s="659"/>
      <c r="D921" s="6"/>
      <c r="E921" s="6"/>
      <c r="F921" s="7"/>
      <c r="G921" s="73">
        <f>SUM(G922:G925)</f>
        <v>4510963</v>
      </c>
      <c r="H921" s="73">
        <f>SUM(H922:H925)</f>
        <v>89038</v>
      </c>
      <c r="I921" s="9">
        <f>IF(G921&gt;0,H921/G921*100,"-")</f>
        <v>1.9738135737313738</v>
      </c>
      <c r="J921" s="73">
        <f>SUM(J922:J925)</f>
        <v>600000</v>
      </c>
      <c r="K921" s="73">
        <f>SUM(K922:K925)</f>
        <v>600000</v>
      </c>
      <c r="L921" s="8">
        <f>SUM(L922:L925)</f>
        <v>89037.2</v>
      </c>
      <c r="M921" s="9">
        <f>IF(K921&gt;0,L921/K921*100,"-")</f>
        <v>14.839533333333332</v>
      </c>
      <c r="N921" s="521"/>
    </row>
    <row r="922" spans="1:14" s="40" customFormat="1" ht="11.25" customHeight="1">
      <c r="A922" s="7"/>
      <c r="B922" s="10"/>
      <c r="C922" s="522"/>
      <c r="D922" s="6"/>
      <c r="E922" s="6"/>
      <c r="F922" s="11" t="s">
        <v>18</v>
      </c>
      <c r="G922" s="74">
        <f>G929</f>
        <v>4510963</v>
      </c>
      <c r="H922" s="74">
        <f>H929</f>
        <v>89038</v>
      </c>
      <c r="I922" s="13">
        <f>IF(G922&gt;0,H922/G922*100,"-")</f>
        <v>1.9738135737313738</v>
      </c>
      <c r="J922" s="74">
        <f>J929</f>
        <v>600000</v>
      </c>
      <c r="K922" s="74">
        <f>K929</f>
        <v>600000</v>
      </c>
      <c r="L922" s="12">
        <f>L929</f>
        <v>89037.2</v>
      </c>
      <c r="M922" s="13">
        <f>IF(K922&gt;0,L922/K922*100,"-")</f>
        <v>14.839533333333332</v>
      </c>
      <c r="N922" s="521"/>
    </row>
    <row r="923" spans="1:14" s="40" customFormat="1" ht="11.25" customHeight="1">
      <c r="A923" s="7"/>
      <c r="B923" s="10"/>
      <c r="C923" s="522"/>
      <c r="D923" s="6"/>
      <c r="E923" s="6"/>
      <c r="F923" s="11" t="s">
        <v>221</v>
      </c>
      <c r="G923" s="74">
        <f t="shared" ref="G923:H924" si="218">G930</f>
        <v>0</v>
      </c>
      <c r="H923" s="74">
        <f t="shared" si="218"/>
        <v>0</v>
      </c>
      <c r="I923" s="13" t="str">
        <f t="shared" ref="I923:I924" si="219">IF(G923&gt;0,H923/G923*100,"-")</f>
        <v>-</v>
      </c>
      <c r="J923" s="74">
        <f t="shared" ref="J923:L924" si="220">J930</f>
        <v>0</v>
      </c>
      <c r="K923" s="74">
        <f t="shared" si="220"/>
        <v>0</v>
      </c>
      <c r="L923" s="12">
        <f t="shared" si="220"/>
        <v>0</v>
      </c>
      <c r="M923" s="13" t="str">
        <f t="shared" ref="M923:M924" si="221">IF(K923&gt;0,L923/K923*100,"-")</f>
        <v>-</v>
      </c>
      <c r="N923" s="521"/>
    </row>
    <row r="924" spans="1:14" s="40" customFormat="1" ht="11.25" customHeight="1">
      <c r="A924" s="7"/>
      <c r="B924" s="10"/>
      <c r="C924" s="522"/>
      <c r="D924" s="6"/>
      <c r="E924" s="6"/>
      <c r="F924" s="11" t="s">
        <v>23</v>
      </c>
      <c r="G924" s="74">
        <f t="shared" si="218"/>
        <v>0</v>
      </c>
      <c r="H924" s="74">
        <f t="shared" si="218"/>
        <v>0</v>
      </c>
      <c r="I924" s="13" t="str">
        <f t="shared" si="219"/>
        <v>-</v>
      </c>
      <c r="J924" s="74">
        <f t="shared" si="220"/>
        <v>0</v>
      </c>
      <c r="K924" s="74">
        <f t="shared" si="220"/>
        <v>0</v>
      </c>
      <c r="L924" s="12">
        <f t="shared" si="220"/>
        <v>0</v>
      </c>
      <c r="M924" s="13" t="str">
        <f t="shared" si="221"/>
        <v>-</v>
      </c>
      <c r="N924" s="521"/>
    </row>
    <row r="925" spans="1:14" s="40" customFormat="1" ht="17.25" customHeight="1">
      <c r="A925" s="7"/>
      <c r="B925" s="10"/>
      <c r="C925" s="522"/>
      <c r="D925" s="6"/>
      <c r="E925" s="6"/>
      <c r="F925" s="11"/>
      <c r="G925" s="74"/>
      <c r="H925" s="74"/>
      <c r="I925" s="13"/>
      <c r="J925" s="74"/>
      <c r="K925" s="74"/>
      <c r="L925" s="12"/>
      <c r="M925" s="13"/>
      <c r="N925" s="521"/>
    </row>
    <row r="926" spans="1:14" s="40" customFormat="1" ht="3.95" customHeight="1">
      <c r="A926" s="20"/>
      <c r="B926" s="21"/>
      <c r="C926" s="523"/>
      <c r="D926" s="22"/>
      <c r="E926" s="22"/>
      <c r="F926" s="20"/>
      <c r="G926" s="75"/>
      <c r="H926" s="75"/>
      <c r="I926" s="24"/>
      <c r="J926" s="75"/>
      <c r="K926" s="75"/>
      <c r="L926" s="23"/>
      <c r="M926" s="24"/>
      <c r="N926" s="524"/>
    </row>
    <row r="927" spans="1:14" s="40" customFormat="1" ht="3.95" customHeight="1" outlineLevel="1">
      <c r="A927" s="434"/>
      <c r="B927" s="26"/>
      <c r="C927" s="525"/>
      <c r="D927" s="639"/>
      <c r="E927" s="639"/>
      <c r="F927" s="26"/>
      <c r="G927" s="77"/>
      <c r="H927" s="77"/>
      <c r="I927" s="28"/>
      <c r="J927" s="77"/>
      <c r="K927" s="76"/>
      <c r="L927" s="407"/>
      <c r="M927" s="28"/>
      <c r="N927" s="555"/>
    </row>
    <row r="928" spans="1:14" s="40" customFormat="1" ht="21.75" customHeight="1" outlineLevel="1">
      <c r="A928" s="660" t="s">
        <v>496</v>
      </c>
      <c r="B928" s="29" t="s">
        <v>29</v>
      </c>
      <c r="C928" s="527" t="s">
        <v>546</v>
      </c>
      <c r="D928" s="661" t="s">
        <v>360</v>
      </c>
      <c r="E928" s="662" t="s">
        <v>336</v>
      </c>
      <c r="F928" s="30" t="s">
        <v>30</v>
      </c>
      <c r="G928" s="78">
        <f>SUM(G929:G932)</f>
        <v>4510963</v>
      </c>
      <c r="H928" s="78">
        <f>SUM(H929:H932)</f>
        <v>89038</v>
      </c>
      <c r="I928" s="15">
        <f>IF(G928&gt;0,H928/G928*100,"-")</f>
        <v>1.9738135737313738</v>
      </c>
      <c r="J928" s="78">
        <f>SUM(J929:J932)</f>
        <v>600000</v>
      </c>
      <c r="K928" s="78">
        <f>SUM(K929:K932)</f>
        <v>600000</v>
      </c>
      <c r="L928" s="14">
        <f>SUM(L929:L932)</f>
        <v>89037.2</v>
      </c>
      <c r="M928" s="15">
        <f>IF(K928&gt;0,L928/K928*100,"-")</f>
        <v>14.839533333333332</v>
      </c>
      <c r="N928" s="663" t="s">
        <v>497</v>
      </c>
    </row>
    <row r="929" spans="1:14" s="40" customFormat="1" ht="11.1" customHeight="1" outlineLevel="1">
      <c r="A929" s="660"/>
      <c r="B929" s="4"/>
      <c r="C929" s="625"/>
      <c r="D929" s="661"/>
      <c r="E929" s="661"/>
      <c r="F929" s="31" t="s">
        <v>18</v>
      </c>
      <c r="G929" s="79">
        <v>4510963</v>
      </c>
      <c r="H929" s="79">
        <f>ROUNDUP(0+L929,0)</f>
        <v>89038</v>
      </c>
      <c r="I929" s="33">
        <f>IF(G929&gt;0,H929/G929*100,"-")</f>
        <v>1.9738135737313738</v>
      </c>
      <c r="J929" s="79">
        <v>600000</v>
      </c>
      <c r="K929" s="79">
        <v>600000</v>
      </c>
      <c r="L929" s="34">
        <v>89037.2</v>
      </c>
      <c r="M929" s="33">
        <f>IF(K929&gt;0,L929/K929*100,"-")</f>
        <v>14.839533333333332</v>
      </c>
      <c r="N929" s="663"/>
    </row>
    <row r="930" spans="1:14" s="40" customFormat="1" ht="22.5" outlineLevel="1">
      <c r="A930" s="660"/>
      <c r="B930" s="29" t="s">
        <v>24</v>
      </c>
      <c r="C930" s="528" t="s">
        <v>361</v>
      </c>
      <c r="D930" s="661"/>
      <c r="E930" s="661"/>
      <c r="F930" s="31" t="s">
        <v>221</v>
      </c>
      <c r="G930" s="79">
        <v>0</v>
      </c>
      <c r="H930" s="79">
        <f>ROUNDUP(0+L930,0)</f>
        <v>0</v>
      </c>
      <c r="I930" s="33" t="str">
        <f t="shared" ref="I930:I931" si="222">IF(G930&gt;0,H930/G930*100,"-")</f>
        <v>-</v>
      </c>
      <c r="J930" s="79">
        <v>0</v>
      </c>
      <c r="K930" s="79">
        <v>0</v>
      </c>
      <c r="L930" s="363">
        <v>0</v>
      </c>
      <c r="M930" s="33" t="str">
        <f t="shared" ref="M930:M931" si="223">IF(K930&gt;0,L930/K930*100,"-")</f>
        <v>-</v>
      </c>
      <c r="N930" s="663"/>
    </row>
    <row r="931" spans="1:14" s="40" customFormat="1" ht="11.1" customHeight="1" outlineLevel="1">
      <c r="A931" s="660"/>
      <c r="B931" s="29"/>
      <c r="C931" s="527" t="s">
        <v>362</v>
      </c>
      <c r="D931" s="661"/>
      <c r="E931" s="661"/>
      <c r="F931" s="31" t="s">
        <v>23</v>
      </c>
      <c r="G931" s="79">
        <v>0</v>
      </c>
      <c r="H931" s="79">
        <f>ROUNDUP(0+L931,0)</f>
        <v>0</v>
      </c>
      <c r="I931" s="33" t="str">
        <f t="shared" si="222"/>
        <v>-</v>
      </c>
      <c r="J931" s="79">
        <v>0</v>
      </c>
      <c r="K931" s="79">
        <v>0</v>
      </c>
      <c r="L931" s="363">
        <v>0</v>
      </c>
      <c r="M931" s="33" t="str">
        <f t="shared" si="223"/>
        <v>-</v>
      </c>
      <c r="N931" s="663"/>
    </row>
    <row r="932" spans="1:14" s="40" customFormat="1" ht="11.1" customHeight="1" outlineLevel="1">
      <c r="A932" s="632"/>
      <c r="B932" s="29"/>
      <c r="C932" s="527"/>
      <c r="D932" s="634"/>
      <c r="E932" s="634"/>
      <c r="F932" s="53"/>
      <c r="G932" s="79"/>
      <c r="H932" s="79"/>
      <c r="I932" s="33"/>
      <c r="J932" s="79"/>
      <c r="K932" s="79"/>
      <c r="L932" s="363"/>
      <c r="M932" s="33"/>
      <c r="N932" s="663"/>
    </row>
    <row r="933" spans="1:14" s="40" customFormat="1" ht="3.95" customHeight="1" outlineLevel="1">
      <c r="A933" s="62"/>
      <c r="B933" s="36"/>
      <c r="C933" s="615"/>
      <c r="D933" s="638"/>
      <c r="E933" s="638"/>
      <c r="F933" s="36"/>
      <c r="G933" s="137"/>
      <c r="H933" s="137"/>
      <c r="I933" s="36"/>
      <c r="J933" s="137"/>
      <c r="K933" s="81"/>
      <c r="L933" s="37"/>
      <c r="M933" s="616"/>
      <c r="N933" s="665"/>
    </row>
    <row r="934" spans="1:14" s="40" customFormat="1" ht="3.95" customHeight="1">
      <c r="A934" s="652"/>
      <c r="B934" s="651"/>
      <c r="C934" s="612"/>
      <c r="D934" s="652"/>
      <c r="E934" s="652"/>
      <c r="F934" s="651"/>
      <c r="G934" s="613"/>
      <c r="H934" s="613"/>
      <c r="I934" s="651"/>
      <c r="J934" s="613"/>
      <c r="K934" s="535"/>
      <c r="L934" s="614"/>
      <c r="M934" s="653"/>
      <c r="N934" s="521"/>
    </row>
    <row r="935" spans="1:14" s="40" customFormat="1" ht="11.25" customHeight="1">
      <c r="A935" s="5" t="s">
        <v>207</v>
      </c>
      <c r="B935" s="658" t="s">
        <v>498</v>
      </c>
      <c r="C935" s="659"/>
      <c r="D935" s="6"/>
      <c r="E935" s="6"/>
      <c r="F935" s="7"/>
      <c r="G935" s="73">
        <f>SUM(G936:G939)</f>
        <v>2112420</v>
      </c>
      <c r="H935" s="73">
        <f>SUM(H936:H939)</f>
        <v>0</v>
      </c>
      <c r="I935" s="9">
        <f>IF(G935&gt;0,H935/G935*100,"-")</f>
        <v>0</v>
      </c>
      <c r="J935" s="73">
        <f>SUM(J936:J939)</f>
        <v>0</v>
      </c>
      <c r="K935" s="73">
        <f>SUM(K936:K939)</f>
        <v>75000</v>
      </c>
      <c r="L935" s="8">
        <f>SUM(L936:L939)</f>
        <v>0</v>
      </c>
      <c r="M935" s="9">
        <f>IF(K935&gt;0,L935/K935*100,"-")</f>
        <v>0</v>
      </c>
      <c r="N935" s="521"/>
    </row>
    <row r="936" spans="1:14" s="40" customFormat="1" ht="11.25" customHeight="1">
      <c r="A936" s="7"/>
      <c r="B936" s="10"/>
      <c r="C936" s="522"/>
      <c r="D936" s="6"/>
      <c r="E936" s="6"/>
      <c r="F936" s="11" t="s">
        <v>18</v>
      </c>
      <c r="G936" s="74">
        <f>G943</f>
        <v>2112420</v>
      </c>
      <c r="H936" s="74">
        <f>H943</f>
        <v>0</v>
      </c>
      <c r="I936" s="13">
        <f>IF(G936&gt;0,H936/G936*100,"-")</f>
        <v>0</v>
      </c>
      <c r="J936" s="74">
        <f>J943</f>
        <v>0</v>
      </c>
      <c r="K936" s="74">
        <f>K943</f>
        <v>75000</v>
      </c>
      <c r="L936" s="12">
        <f>L943</f>
        <v>0</v>
      </c>
      <c r="M936" s="13">
        <f>IF(K936&gt;0,L936/K936*100,"-")</f>
        <v>0</v>
      </c>
      <c r="N936" s="521"/>
    </row>
    <row r="937" spans="1:14" s="40" customFormat="1" ht="11.25" customHeight="1">
      <c r="A937" s="7"/>
      <c r="B937" s="10"/>
      <c r="C937" s="522"/>
      <c r="D937" s="6"/>
      <c r="E937" s="6"/>
      <c r="F937" s="11" t="s">
        <v>221</v>
      </c>
      <c r="G937" s="74">
        <f t="shared" ref="G937:H938" si="224">G944</f>
        <v>0</v>
      </c>
      <c r="H937" s="74">
        <f t="shared" si="224"/>
        <v>0</v>
      </c>
      <c r="I937" s="13" t="str">
        <f t="shared" ref="I937:I938" si="225">IF(G937&gt;0,H937/G937*100,"-")</f>
        <v>-</v>
      </c>
      <c r="J937" s="74">
        <f t="shared" ref="J937:L938" si="226">J944</f>
        <v>0</v>
      </c>
      <c r="K937" s="74">
        <f t="shared" si="226"/>
        <v>0</v>
      </c>
      <c r="L937" s="12">
        <f t="shared" si="226"/>
        <v>0</v>
      </c>
      <c r="M937" s="13" t="str">
        <f t="shared" ref="M937:M938" si="227">IF(K937&gt;0,L937/K937*100,"-")</f>
        <v>-</v>
      </c>
      <c r="N937" s="521"/>
    </row>
    <row r="938" spans="1:14" s="40" customFormat="1" ht="11.25" customHeight="1">
      <c r="A938" s="7"/>
      <c r="B938" s="10"/>
      <c r="C938" s="522"/>
      <c r="D938" s="6"/>
      <c r="E938" s="6"/>
      <c r="F938" s="11" t="s">
        <v>23</v>
      </c>
      <c r="G938" s="74">
        <f t="shared" si="224"/>
        <v>0</v>
      </c>
      <c r="H938" s="74">
        <f t="shared" si="224"/>
        <v>0</v>
      </c>
      <c r="I938" s="13" t="str">
        <f t="shared" si="225"/>
        <v>-</v>
      </c>
      <c r="J938" s="74">
        <f t="shared" si="226"/>
        <v>0</v>
      </c>
      <c r="K938" s="74">
        <f t="shared" si="226"/>
        <v>0</v>
      </c>
      <c r="L938" s="12">
        <f t="shared" si="226"/>
        <v>0</v>
      </c>
      <c r="M938" s="13" t="str">
        <f t="shared" si="227"/>
        <v>-</v>
      </c>
      <c r="N938" s="521"/>
    </row>
    <row r="939" spans="1:14" s="40" customFormat="1" ht="11.25" customHeight="1">
      <c r="A939" s="7"/>
      <c r="B939" s="10"/>
      <c r="C939" s="522"/>
      <c r="D939" s="6"/>
      <c r="E939" s="6"/>
      <c r="F939" s="11"/>
      <c r="G939" s="74"/>
      <c r="H939" s="74"/>
      <c r="I939" s="13"/>
      <c r="J939" s="74"/>
      <c r="K939" s="74"/>
      <c r="L939" s="12"/>
      <c r="M939" s="13"/>
      <c r="N939" s="521"/>
    </row>
    <row r="940" spans="1:14" s="40" customFormat="1" ht="3.95" customHeight="1">
      <c r="A940" s="20"/>
      <c r="B940" s="21"/>
      <c r="C940" s="523"/>
      <c r="D940" s="22"/>
      <c r="E940" s="22"/>
      <c r="F940" s="20"/>
      <c r="G940" s="75"/>
      <c r="H940" s="75"/>
      <c r="I940" s="24"/>
      <c r="J940" s="75"/>
      <c r="K940" s="75"/>
      <c r="L940" s="23"/>
      <c r="M940" s="24"/>
      <c r="N940" s="524"/>
    </row>
    <row r="941" spans="1:14" s="40" customFormat="1" ht="3.95" customHeight="1" outlineLevel="1">
      <c r="A941" s="434"/>
      <c r="B941" s="26"/>
      <c r="C941" s="525"/>
      <c r="D941" s="639"/>
      <c r="E941" s="639"/>
      <c r="F941" s="26"/>
      <c r="G941" s="77"/>
      <c r="H941" s="77"/>
      <c r="I941" s="28"/>
      <c r="J941" s="77"/>
      <c r="K941" s="76"/>
      <c r="L941" s="407"/>
      <c r="M941" s="28"/>
      <c r="N941" s="555"/>
    </row>
    <row r="942" spans="1:14" s="40" customFormat="1" ht="11.1" customHeight="1" outlineLevel="1">
      <c r="A942" s="660" t="s">
        <v>499</v>
      </c>
      <c r="B942" s="29" t="s">
        <v>29</v>
      </c>
      <c r="C942" s="666" t="s">
        <v>547</v>
      </c>
      <c r="D942" s="661" t="s">
        <v>489</v>
      </c>
      <c r="E942" s="662" t="s">
        <v>150</v>
      </c>
      <c r="F942" s="30" t="s">
        <v>30</v>
      </c>
      <c r="G942" s="78">
        <f>SUM(G943:G946)</f>
        <v>2112420</v>
      </c>
      <c r="H942" s="78">
        <f>SUM(H943:H946)</f>
        <v>0</v>
      </c>
      <c r="I942" s="15">
        <f>IF(G942&gt;0,H942/G942*100,"-")</f>
        <v>0</v>
      </c>
      <c r="J942" s="78">
        <f>SUM(J943:J946)</f>
        <v>0</v>
      </c>
      <c r="K942" s="78">
        <f>SUM(K943:K946)</f>
        <v>75000</v>
      </c>
      <c r="L942" s="14">
        <f>SUM(L943:L946)</f>
        <v>0</v>
      </c>
      <c r="M942" s="15">
        <f>IF(K942&gt;0,L942/K942*100,"-")</f>
        <v>0</v>
      </c>
      <c r="N942" s="663" t="s">
        <v>392</v>
      </c>
    </row>
    <row r="943" spans="1:14" s="40" customFormat="1" ht="17.25" customHeight="1" outlineLevel="1">
      <c r="A943" s="660"/>
      <c r="B943" s="4"/>
      <c r="C943" s="666"/>
      <c r="D943" s="661"/>
      <c r="E943" s="661"/>
      <c r="F943" s="31" t="s">
        <v>18</v>
      </c>
      <c r="G943" s="79">
        <v>2112420</v>
      </c>
      <c r="H943" s="79">
        <f>ROUNDUP(0+L943,0)</f>
        <v>0</v>
      </c>
      <c r="I943" s="33">
        <f>IF(G943&gt;0,H943/G943*100,"-")</f>
        <v>0</v>
      </c>
      <c r="J943" s="79">
        <v>0</v>
      </c>
      <c r="K943" s="79">
        <v>75000</v>
      </c>
      <c r="L943" s="34">
        <v>0</v>
      </c>
      <c r="M943" s="33">
        <f>IF(K943&gt;0,L943/K943*100,"-")</f>
        <v>0</v>
      </c>
      <c r="N943" s="663"/>
    </row>
    <row r="944" spans="1:14" s="40" customFormat="1" outlineLevel="1">
      <c r="A944" s="660"/>
      <c r="B944" s="29" t="s">
        <v>24</v>
      </c>
      <c r="C944" s="528" t="s">
        <v>500</v>
      </c>
      <c r="D944" s="661"/>
      <c r="E944" s="661"/>
      <c r="F944" s="31" t="s">
        <v>221</v>
      </c>
      <c r="G944" s="79">
        <v>0</v>
      </c>
      <c r="H944" s="79">
        <f>ROUNDUP(0+L944,0)</f>
        <v>0</v>
      </c>
      <c r="I944" s="33" t="str">
        <f t="shared" ref="I944:I945" si="228">IF(G944&gt;0,H944/G944*100,"-")</f>
        <v>-</v>
      </c>
      <c r="J944" s="79">
        <v>0</v>
      </c>
      <c r="K944" s="79">
        <v>0</v>
      </c>
      <c r="L944" s="363">
        <v>0</v>
      </c>
      <c r="M944" s="33" t="str">
        <f t="shared" ref="M944:M945" si="229">IF(K944&gt;0,L944/K944*100,"-")</f>
        <v>-</v>
      </c>
      <c r="N944" s="663"/>
    </row>
    <row r="945" spans="1:14" s="40" customFormat="1" ht="11.1" customHeight="1" outlineLevel="1">
      <c r="A945" s="660"/>
      <c r="B945" s="29"/>
      <c r="C945" s="527"/>
      <c r="D945" s="661"/>
      <c r="E945" s="661"/>
      <c r="F945" s="31" t="s">
        <v>23</v>
      </c>
      <c r="G945" s="79">
        <v>0</v>
      </c>
      <c r="H945" s="79">
        <f>ROUNDUP(0+L945,0)</f>
        <v>0</v>
      </c>
      <c r="I945" s="33" t="str">
        <f t="shared" si="228"/>
        <v>-</v>
      </c>
      <c r="J945" s="79">
        <v>0</v>
      </c>
      <c r="K945" s="79">
        <v>0</v>
      </c>
      <c r="L945" s="363">
        <v>0</v>
      </c>
      <c r="M945" s="33" t="str">
        <f t="shared" si="229"/>
        <v>-</v>
      </c>
      <c r="N945" s="663"/>
    </row>
    <row r="946" spans="1:14" s="40" customFormat="1" ht="11.1" customHeight="1" outlineLevel="1">
      <c r="A946" s="632"/>
      <c r="B946" s="29"/>
      <c r="C946" s="527"/>
      <c r="D946" s="634"/>
      <c r="E946" s="634"/>
      <c r="F946" s="53"/>
      <c r="G946" s="79"/>
      <c r="H946" s="79"/>
      <c r="I946" s="33"/>
      <c r="J946" s="79"/>
      <c r="K946" s="79"/>
      <c r="L946" s="363"/>
      <c r="M946" s="33"/>
      <c r="N946" s="663"/>
    </row>
    <row r="947" spans="1:14" s="40" customFormat="1" ht="3.95" customHeight="1" outlineLevel="1">
      <c r="A947" s="62"/>
      <c r="B947" s="36"/>
      <c r="C947" s="615"/>
      <c r="D947" s="638"/>
      <c r="E947" s="638"/>
      <c r="F947" s="36"/>
      <c r="G947" s="137"/>
      <c r="H947" s="137"/>
      <c r="I947" s="36"/>
      <c r="J947" s="137"/>
      <c r="K947" s="81"/>
      <c r="L947" s="37"/>
      <c r="M947" s="616"/>
      <c r="N947" s="647"/>
    </row>
  </sheetData>
  <mergeCells count="549">
    <mergeCell ref="D641:D645"/>
    <mergeCell ref="E641:E645"/>
    <mergeCell ref="A662:A665"/>
    <mergeCell ref="D662:D666"/>
    <mergeCell ref="A687:A690"/>
    <mergeCell ref="D687:D691"/>
    <mergeCell ref="E687:E691"/>
    <mergeCell ref="N641:N645"/>
    <mergeCell ref="A648:A651"/>
    <mergeCell ref="D648:D652"/>
    <mergeCell ref="E648:E652"/>
    <mergeCell ref="N648:N652"/>
    <mergeCell ref="A655:A658"/>
    <mergeCell ref="D655:D659"/>
    <mergeCell ref="E655:E659"/>
    <mergeCell ref="N655:N659"/>
    <mergeCell ref="A641:A644"/>
    <mergeCell ref="E662:E665"/>
    <mergeCell ref="N662:N676"/>
    <mergeCell ref="E668:E671"/>
    <mergeCell ref="D672:D677"/>
    <mergeCell ref="E673:E676"/>
    <mergeCell ref="B680:C680"/>
    <mergeCell ref="C648:C649"/>
    <mergeCell ref="A515:A518"/>
    <mergeCell ref="D515:D519"/>
    <mergeCell ref="E515:E519"/>
    <mergeCell ref="A536:A539"/>
    <mergeCell ref="D536:D540"/>
    <mergeCell ref="A508:A511"/>
    <mergeCell ref="D508:D512"/>
    <mergeCell ref="E508:E512"/>
    <mergeCell ref="N508:N512"/>
    <mergeCell ref="N515:N519"/>
    <mergeCell ref="A522:A525"/>
    <mergeCell ref="D522:D526"/>
    <mergeCell ref="E522:E526"/>
    <mergeCell ref="N522:N526"/>
    <mergeCell ref="A529:A532"/>
    <mergeCell ref="D529:D533"/>
    <mergeCell ref="E529:E533"/>
    <mergeCell ref="N529:N533"/>
    <mergeCell ref="E536:E540"/>
    <mergeCell ref="N536:N540"/>
    <mergeCell ref="C508:C510"/>
    <mergeCell ref="C522:C525"/>
    <mergeCell ref="C529:C531"/>
    <mergeCell ref="C536:C537"/>
    <mergeCell ref="B424:C424"/>
    <mergeCell ref="A431:A434"/>
    <mergeCell ref="A473:A476"/>
    <mergeCell ref="A480:A483"/>
    <mergeCell ref="D480:D484"/>
    <mergeCell ref="A494:A497"/>
    <mergeCell ref="D494:D498"/>
    <mergeCell ref="B313:C313"/>
    <mergeCell ref="A343:A347"/>
    <mergeCell ref="D343:D347"/>
    <mergeCell ref="A357:A360"/>
    <mergeCell ref="D357:D361"/>
    <mergeCell ref="D431:D435"/>
    <mergeCell ref="A452:A456"/>
    <mergeCell ref="D452:D456"/>
    <mergeCell ref="C345:C348"/>
    <mergeCell ref="C343:C344"/>
    <mergeCell ref="E343:E347"/>
    <mergeCell ref="E389:E392"/>
    <mergeCell ref="E394:E397"/>
    <mergeCell ref="A309:A311"/>
    <mergeCell ref="D309:D311"/>
    <mergeCell ref="E309:E311"/>
    <mergeCell ref="N309:N311"/>
    <mergeCell ref="B298:C298"/>
    <mergeCell ref="A302:A305"/>
    <mergeCell ref="D302:D304"/>
    <mergeCell ref="E302:E304"/>
    <mergeCell ref="N302:N304"/>
    <mergeCell ref="D306:D308"/>
    <mergeCell ref="A317:A320"/>
    <mergeCell ref="D317:D319"/>
    <mergeCell ref="E317:E319"/>
    <mergeCell ref="N317:N319"/>
    <mergeCell ref="E306:E308"/>
    <mergeCell ref="N306:N308"/>
    <mergeCell ref="N343:N347"/>
    <mergeCell ref="A350:A353"/>
    <mergeCell ref="D350:D354"/>
    <mergeCell ref="E350:E354"/>
    <mergeCell ref="N350:N354"/>
    <mergeCell ref="B224:C224"/>
    <mergeCell ref="A228:A232"/>
    <mergeCell ref="D229:D231"/>
    <mergeCell ref="E229:E231"/>
    <mergeCell ref="A294:A297"/>
    <mergeCell ref="D295:D296"/>
    <mergeCell ref="E295:E296"/>
    <mergeCell ref="D195:D197"/>
    <mergeCell ref="E195:E197"/>
    <mergeCell ref="C196:C198"/>
    <mergeCell ref="A216:A222"/>
    <mergeCell ref="D246:D253"/>
    <mergeCell ref="D256:D269"/>
    <mergeCell ref="D234:D243"/>
    <mergeCell ref="E277:E279"/>
    <mergeCell ref="B292:C292"/>
    <mergeCell ref="A199:A205"/>
    <mergeCell ref="N199:N205"/>
    <mergeCell ref="D200:D202"/>
    <mergeCell ref="E200:E202"/>
    <mergeCell ref="C201:C205"/>
    <mergeCell ref="A185:A193"/>
    <mergeCell ref="N185:N193"/>
    <mergeCell ref="N216:N222"/>
    <mergeCell ref="D217:D221"/>
    <mergeCell ref="A206:A210"/>
    <mergeCell ref="N206:N210"/>
    <mergeCell ref="D207:D209"/>
    <mergeCell ref="E207:E209"/>
    <mergeCell ref="D186:D188"/>
    <mergeCell ref="E186:E188"/>
    <mergeCell ref="B187:B193"/>
    <mergeCell ref="A211:A215"/>
    <mergeCell ref="N211:N215"/>
    <mergeCell ref="D212:D214"/>
    <mergeCell ref="E212:E214"/>
    <mergeCell ref="C213:C215"/>
    <mergeCell ref="A194:A198"/>
    <mergeCell ref="N194:N198"/>
    <mergeCell ref="C208:C210"/>
    <mergeCell ref="E167:E169"/>
    <mergeCell ref="N167:N169"/>
    <mergeCell ref="B168:C169"/>
    <mergeCell ref="C187:C190"/>
    <mergeCell ref="B172:C172"/>
    <mergeCell ref="A176:A184"/>
    <mergeCell ref="N176:N184"/>
    <mergeCell ref="D177:D179"/>
    <mergeCell ref="E177:E179"/>
    <mergeCell ref="B178:B179"/>
    <mergeCell ref="C178:C179"/>
    <mergeCell ref="A93:A104"/>
    <mergeCell ref="C93:C95"/>
    <mergeCell ref="D93:D104"/>
    <mergeCell ref="E93:E98"/>
    <mergeCell ref="N93:N104"/>
    <mergeCell ref="C96:C98"/>
    <mergeCell ref="E99:E104"/>
    <mergeCell ref="E129:E131"/>
    <mergeCell ref="B106:C108"/>
    <mergeCell ref="A110:A113"/>
    <mergeCell ref="D111:D113"/>
    <mergeCell ref="E111:E113"/>
    <mergeCell ref="N111:N113"/>
    <mergeCell ref="B114:C114"/>
    <mergeCell ref="A118:A122"/>
    <mergeCell ref="N119:N121"/>
    <mergeCell ref="B120:C121"/>
    <mergeCell ref="B124:C124"/>
    <mergeCell ref="A128:A132"/>
    <mergeCell ref="N128:N132"/>
    <mergeCell ref="D129:D132"/>
    <mergeCell ref="A87:A92"/>
    <mergeCell ref="D87:D92"/>
    <mergeCell ref="E87:E92"/>
    <mergeCell ref="N87:N92"/>
    <mergeCell ref="A70:A75"/>
    <mergeCell ref="N70:N75"/>
    <mergeCell ref="D71:D75"/>
    <mergeCell ref="E71:E75"/>
    <mergeCell ref="B77:C77"/>
    <mergeCell ref="A61:A63"/>
    <mergeCell ref="D61:D63"/>
    <mergeCell ref="E61:E63"/>
    <mergeCell ref="N61:N63"/>
    <mergeCell ref="B66:C66"/>
    <mergeCell ref="A81:A86"/>
    <mergeCell ref="D81:D86"/>
    <mergeCell ref="E81:E86"/>
    <mergeCell ref="N81:N86"/>
    <mergeCell ref="C82:C83"/>
    <mergeCell ref="N51:N52"/>
    <mergeCell ref="A57:A59"/>
    <mergeCell ref="D57:D59"/>
    <mergeCell ref="E57:E59"/>
    <mergeCell ref="N57:N59"/>
    <mergeCell ref="N47:N48"/>
    <mergeCell ref="N49:N50"/>
    <mergeCell ref="F9:I9"/>
    <mergeCell ref="B11:C11"/>
    <mergeCell ref="B13:C13"/>
    <mergeCell ref="B14:C14"/>
    <mergeCell ref="D9:D10"/>
    <mergeCell ref="N44:N46"/>
    <mergeCell ref="B40:C40"/>
    <mergeCell ref="B39:C39"/>
    <mergeCell ref="A44:A52"/>
    <mergeCell ref="D44:D46"/>
    <mergeCell ref="E44:E46"/>
    <mergeCell ref="A7:N7"/>
    <mergeCell ref="N29:N37"/>
    <mergeCell ref="A9:A10"/>
    <mergeCell ref="B9:C10"/>
    <mergeCell ref="B19:C19"/>
    <mergeCell ref="B24:C24"/>
    <mergeCell ref="D29:D37"/>
    <mergeCell ref="B16:C16"/>
    <mergeCell ref="J9:N9"/>
    <mergeCell ref="E9:E10"/>
    <mergeCell ref="A28:A38"/>
    <mergeCell ref="B142:C142"/>
    <mergeCell ref="A146:A150"/>
    <mergeCell ref="D147:D149"/>
    <mergeCell ref="E147:E149"/>
    <mergeCell ref="N147:N149"/>
    <mergeCell ref="A133:A137"/>
    <mergeCell ref="E133:E137"/>
    <mergeCell ref="D134:D136"/>
    <mergeCell ref="N134:N136"/>
    <mergeCell ref="A138:A141"/>
    <mergeCell ref="D138:D141"/>
    <mergeCell ref="E138:E141"/>
    <mergeCell ref="N138:N141"/>
    <mergeCell ref="N234:N243"/>
    <mergeCell ref="B152:C152"/>
    <mergeCell ref="A156:A160"/>
    <mergeCell ref="D157:D159"/>
    <mergeCell ref="E157:E159"/>
    <mergeCell ref="N229:N231"/>
    <mergeCell ref="A233:A244"/>
    <mergeCell ref="A271:A275"/>
    <mergeCell ref="D272:D274"/>
    <mergeCell ref="E272:E274"/>
    <mergeCell ref="N272:N274"/>
    <mergeCell ref="A255:A270"/>
    <mergeCell ref="N255:N270"/>
    <mergeCell ref="A245:A254"/>
    <mergeCell ref="N245:N254"/>
    <mergeCell ref="N157:N159"/>
    <mergeCell ref="B158:C159"/>
    <mergeCell ref="A161:A165"/>
    <mergeCell ref="D162:D164"/>
    <mergeCell ref="E162:E164"/>
    <mergeCell ref="N162:N164"/>
    <mergeCell ref="B163:C164"/>
    <mergeCell ref="A166:A170"/>
    <mergeCell ref="D167:D169"/>
    <mergeCell ref="N277:N279"/>
    <mergeCell ref="N287:N289"/>
    <mergeCell ref="A276:A280"/>
    <mergeCell ref="D277:D279"/>
    <mergeCell ref="A286:A290"/>
    <mergeCell ref="D287:D289"/>
    <mergeCell ref="E287:E289"/>
    <mergeCell ref="A281:A285"/>
    <mergeCell ref="D282:D284"/>
    <mergeCell ref="E282:E284"/>
    <mergeCell ref="N282:N284"/>
    <mergeCell ref="N295:N296"/>
    <mergeCell ref="D321:D327"/>
    <mergeCell ref="B329:C329"/>
    <mergeCell ref="A336:A339"/>
    <mergeCell ref="D336:D340"/>
    <mergeCell ref="E336:E340"/>
    <mergeCell ref="N336:N340"/>
    <mergeCell ref="B322:C322"/>
    <mergeCell ref="B323:C323"/>
    <mergeCell ref="B324:C324"/>
    <mergeCell ref="B325:C325"/>
    <mergeCell ref="C338:C339"/>
    <mergeCell ref="C336:C337"/>
    <mergeCell ref="E357:E361"/>
    <mergeCell ref="N357:N361"/>
    <mergeCell ref="B364:C364"/>
    <mergeCell ref="A371:A375"/>
    <mergeCell ref="D371:D375"/>
    <mergeCell ref="E371:E375"/>
    <mergeCell ref="N371:N375"/>
    <mergeCell ref="A378:A381"/>
    <mergeCell ref="D378:D382"/>
    <mergeCell ref="E378:E382"/>
    <mergeCell ref="N378:N397"/>
    <mergeCell ref="E384:E387"/>
    <mergeCell ref="C371:C374"/>
    <mergeCell ref="C359:C361"/>
    <mergeCell ref="C357:C358"/>
    <mergeCell ref="E400:E404"/>
    <mergeCell ref="N400:N414"/>
    <mergeCell ref="E406:E409"/>
    <mergeCell ref="E411:E414"/>
    <mergeCell ref="A417:A420"/>
    <mergeCell ref="D417:D421"/>
    <mergeCell ref="E417:E421"/>
    <mergeCell ref="N417:N421"/>
    <mergeCell ref="A400:A403"/>
    <mergeCell ref="D400:D404"/>
    <mergeCell ref="E431:E435"/>
    <mergeCell ref="N431:N435"/>
    <mergeCell ref="A438:A441"/>
    <mergeCell ref="D438:D442"/>
    <mergeCell ref="E438:E442"/>
    <mergeCell ref="N438:N442"/>
    <mergeCell ref="A445:A448"/>
    <mergeCell ref="D445:D449"/>
    <mergeCell ref="E445:E449"/>
    <mergeCell ref="N445:N449"/>
    <mergeCell ref="E452:E456"/>
    <mergeCell ref="N452:N456"/>
    <mergeCell ref="B459:C459"/>
    <mergeCell ref="A466:A469"/>
    <mergeCell ref="D466:D470"/>
    <mergeCell ref="E466:E470"/>
    <mergeCell ref="N466:N470"/>
    <mergeCell ref="D473:D477"/>
    <mergeCell ref="E473:E477"/>
    <mergeCell ref="N473:N477"/>
    <mergeCell ref="C473:C474"/>
    <mergeCell ref="C467:C468"/>
    <mergeCell ref="C453:C455"/>
    <mergeCell ref="E480:E484"/>
    <mergeCell ref="N480:N484"/>
    <mergeCell ref="A487:A490"/>
    <mergeCell ref="D487:D491"/>
    <mergeCell ref="E487:E491"/>
    <mergeCell ref="N487:N491"/>
    <mergeCell ref="A501:A504"/>
    <mergeCell ref="D501:D505"/>
    <mergeCell ref="E501:E505"/>
    <mergeCell ref="N501:N505"/>
    <mergeCell ref="E494:E498"/>
    <mergeCell ref="N494:N499"/>
    <mergeCell ref="C487:C489"/>
    <mergeCell ref="C480:C481"/>
    <mergeCell ref="C494:C495"/>
    <mergeCell ref="C501:C502"/>
    <mergeCell ref="A543:A546"/>
    <mergeCell ref="D543:D547"/>
    <mergeCell ref="E543:E547"/>
    <mergeCell ref="N543:N547"/>
    <mergeCell ref="E550:E554"/>
    <mergeCell ref="N550:N554"/>
    <mergeCell ref="A557:A560"/>
    <mergeCell ref="D557:D561"/>
    <mergeCell ref="E557:E561"/>
    <mergeCell ref="N557:N561"/>
    <mergeCell ref="A550:A553"/>
    <mergeCell ref="D550:D554"/>
    <mergeCell ref="C550:C552"/>
    <mergeCell ref="D564:D568"/>
    <mergeCell ref="E564:E568"/>
    <mergeCell ref="N564:N568"/>
    <mergeCell ref="A571:A574"/>
    <mergeCell ref="D571:D575"/>
    <mergeCell ref="E571:E575"/>
    <mergeCell ref="N571:N575"/>
    <mergeCell ref="A564:A567"/>
    <mergeCell ref="D585:D589"/>
    <mergeCell ref="E585:E589"/>
    <mergeCell ref="N585:N589"/>
    <mergeCell ref="A592:A595"/>
    <mergeCell ref="D592:D596"/>
    <mergeCell ref="E592:E596"/>
    <mergeCell ref="N592:N596"/>
    <mergeCell ref="A585:A588"/>
    <mergeCell ref="A578:A581"/>
    <mergeCell ref="D578:D582"/>
    <mergeCell ref="E578:E582"/>
    <mergeCell ref="N578:N582"/>
    <mergeCell ref="C585:C586"/>
    <mergeCell ref="C592:C593"/>
    <mergeCell ref="A599:A602"/>
    <mergeCell ref="D599:D603"/>
    <mergeCell ref="E599:E603"/>
    <mergeCell ref="N599:N603"/>
    <mergeCell ref="A606:A610"/>
    <mergeCell ref="D606:D610"/>
    <mergeCell ref="E606:E610"/>
    <mergeCell ref="N606:N610"/>
    <mergeCell ref="D613:D617"/>
    <mergeCell ref="E613:E617"/>
    <mergeCell ref="N613:N617"/>
    <mergeCell ref="A613:A616"/>
    <mergeCell ref="C599:C600"/>
    <mergeCell ref="C606:C608"/>
    <mergeCell ref="C613:C614"/>
    <mergeCell ref="A620:A623"/>
    <mergeCell ref="D620:D624"/>
    <mergeCell ref="E620:E624"/>
    <mergeCell ref="N620:N624"/>
    <mergeCell ref="E627:E631"/>
    <mergeCell ref="N627:N631"/>
    <mergeCell ref="A634:A637"/>
    <mergeCell ref="D634:D638"/>
    <mergeCell ref="E634:E638"/>
    <mergeCell ref="N634:N638"/>
    <mergeCell ref="A627:A630"/>
    <mergeCell ref="D627:D631"/>
    <mergeCell ref="C620:C621"/>
    <mergeCell ref="A694:A697"/>
    <mergeCell ref="D694:D698"/>
    <mergeCell ref="E694:E698"/>
    <mergeCell ref="N694:N698"/>
    <mergeCell ref="N687:N691"/>
    <mergeCell ref="B701:C701"/>
    <mergeCell ref="D708:D712"/>
    <mergeCell ref="N708:N723"/>
    <mergeCell ref="E719:E722"/>
    <mergeCell ref="A725:A728"/>
    <mergeCell ref="D725:D729"/>
    <mergeCell ref="E725:E729"/>
    <mergeCell ref="N725:N729"/>
    <mergeCell ref="D732:D736"/>
    <mergeCell ref="E732:E736"/>
    <mergeCell ref="A708:A711"/>
    <mergeCell ref="E708:E711"/>
    <mergeCell ref="E714:E717"/>
    <mergeCell ref="A732:A735"/>
    <mergeCell ref="N732:N736"/>
    <mergeCell ref="A739:A742"/>
    <mergeCell ref="D739:D743"/>
    <mergeCell ref="E739:E743"/>
    <mergeCell ref="N739:N743"/>
    <mergeCell ref="A746:A749"/>
    <mergeCell ref="D746:D750"/>
    <mergeCell ref="E746:E750"/>
    <mergeCell ref="N746:N750"/>
    <mergeCell ref="A753:A756"/>
    <mergeCell ref="D753:D757"/>
    <mergeCell ref="E753:E757"/>
    <mergeCell ref="N753:N757"/>
    <mergeCell ref="A760:A763"/>
    <mergeCell ref="D760:D764"/>
    <mergeCell ref="E760:E764"/>
    <mergeCell ref="N760:N764"/>
    <mergeCell ref="A767:A771"/>
    <mergeCell ref="D767:D771"/>
    <mergeCell ref="E767:E771"/>
    <mergeCell ref="N767:N771"/>
    <mergeCell ref="A774:A777"/>
    <mergeCell ref="D774:D778"/>
    <mergeCell ref="E774:E778"/>
    <mergeCell ref="N774:N778"/>
    <mergeCell ref="A781:A784"/>
    <mergeCell ref="D781:D785"/>
    <mergeCell ref="E781:E785"/>
    <mergeCell ref="N781:N785"/>
    <mergeCell ref="A788:A791"/>
    <mergeCell ref="D788:D792"/>
    <mergeCell ref="E788:E792"/>
    <mergeCell ref="N788:N792"/>
    <mergeCell ref="A795:A798"/>
    <mergeCell ref="D795:D799"/>
    <mergeCell ref="E795:E799"/>
    <mergeCell ref="N795:N799"/>
    <mergeCell ref="A802:A805"/>
    <mergeCell ref="D802:D806"/>
    <mergeCell ref="E802:E806"/>
    <mergeCell ref="N802:N806"/>
    <mergeCell ref="A809:A812"/>
    <mergeCell ref="D809:D813"/>
    <mergeCell ref="E809:E813"/>
    <mergeCell ref="N809:N813"/>
    <mergeCell ref="A816:A819"/>
    <mergeCell ref="D816:D820"/>
    <mergeCell ref="E816:E820"/>
    <mergeCell ref="N816:N820"/>
    <mergeCell ref="C809:C810"/>
    <mergeCell ref="C816:C817"/>
    <mergeCell ref="A823:A826"/>
    <mergeCell ref="D823:D827"/>
    <mergeCell ref="E823:E827"/>
    <mergeCell ref="N823:N827"/>
    <mergeCell ref="A830:A833"/>
    <mergeCell ref="D830:D834"/>
    <mergeCell ref="E830:E834"/>
    <mergeCell ref="N830:N834"/>
    <mergeCell ref="A837:A840"/>
    <mergeCell ref="D837:D841"/>
    <mergeCell ref="E837:E841"/>
    <mergeCell ref="N837:N841"/>
    <mergeCell ref="A844:A847"/>
    <mergeCell ref="D844:D848"/>
    <mergeCell ref="E844:E848"/>
    <mergeCell ref="N844:N848"/>
    <mergeCell ref="A851:A854"/>
    <mergeCell ref="D851:D855"/>
    <mergeCell ref="E851:E855"/>
    <mergeCell ref="N851:N855"/>
    <mergeCell ref="A858:A861"/>
    <mergeCell ref="D858:D862"/>
    <mergeCell ref="E858:E862"/>
    <mergeCell ref="N858:N862"/>
    <mergeCell ref="C851:C852"/>
    <mergeCell ref="C858:C859"/>
    <mergeCell ref="A865:A868"/>
    <mergeCell ref="D865:D869"/>
    <mergeCell ref="E865:E869"/>
    <mergeCell ref="N865:N869"/>
    <mergeCell ref="A872:A875"/>
    <mergeCell ref="D872:D876"/>
    <mergeCell ref="E872:E876"/>
    <mergeCell ref="N872:N876"/>
    <mergeCell ref="A879:A882"/>
    <mergeCell ref="D879:D883"/>
    <mergeCell ref="E879:E883"/>
    <mergeCell ref="N879:N883"/>
    <mergeCell ref="C865:C866"/>
    <mergeCell ref="A886:A889"/>
    <mergeCell ref="D886:D890"/>
    <mergeCell ref="E886:E890"/>
    <mergeCell ref="N886:N890"/>
    <mergeCell ref="A893:A896"/>
    <mergeCell ref="D893:D897"/>
    <mergeCell ref="E893:E897"/>
    <mergeCell ref="N893:N897"/>
    <mergeCell ref="A900:A903"/>
    <mergeCell ref="D900:D904"/>
    <mergeCell ref="E900:E904"/>
    <mergeCell ref="N900:N904"/>
    <mergeCell ref="C886:C887"/>
    <mergeCell ref="C892:C894"/>
    <mergeCell ref="B892:B893"/>
    <mergeCell ref="C900:C901"/>
    <mergeCell ref="B935:C935"/>
    <mergeCell ref="A942:A945"/>
    <mergeCell ref="D942:D945"/>
    <mergeCell ref="E942:E945"/>
    <mergeCell ref="N942:N946"/>
    <mergeCell ref="B907:C907"/>
    <mergeCell ref="A914:A917"/>
    <mergeCell ref="D914:D917"/>
    <mergeCell ref="E914:E917"/>
    <mergeCell ref="N914:N919"/>
    <mergeCell ref="B921:C921"/>
    <mergeCell ref="A928:A931"/>
    <mergeCell ref="D928:D931"/>
    <mergeCell ref="E928:E931"/>
    <mergeCell ref="N928:N933"/>
    <mergeCell ref="C914:C915"/>
    <mergeCell ref="C942:C943"/>
    <mergeCell ref="C655:C656"/>
    <mergeCell ref="C662:C665"/>
    <mergeCell ref="C725:C726"/>
    <mergeCell ref="C746:C747"/>
    <mergeCell ref="C753:C754"/>
    <mergeCell ref="C760:C761"/>
    <mergeCell ref="C767:C770"/>
    <mergeCell ref="C781:C783"/>
    <mergeCell ref="C802:C803"/>
    <mergeCell ref="C688:C691"/>
  </mergeCells>
  <phoneticPr fontId="9" type="noConversion"/>
  <printOptions horizontalCentered="1"/>
  <pageMargins left="0.11811023622047245" right="0.11811023622047245" top="0.55118110236220474" bottom="0.62992125984251968" header="0.31496062992125984" footer="0.31496062992125984"/>
  <pageSetup paperSize="9" scale="62" firstPageNumber="130" orientation="landscape" useFirstPageNumber="1" r:id="rId1"/>
  <headerFooter>
    <oddFooter>&amp;C&amp;P</oddFooter>
  </headerFooter>
  <rowBreaks count="14" manualBreakCount="14">
    <brk id="54" max="13" man="1"/>
    <brk id="92" max="13" man="1"/>
    <brk id="137" max="13" man="1"/>
    <brk id="193" max="13" man="1"/>
    <brk id="244" max="13" man="1"/>
    <brk id="285" max="13" man="1"/>
    <brk id="328" max="13" man="1"/>
    <brk id="398" max="13" man="1"/>
    <brk id="548" max="13" man="1"/>
    <brk id="618" max="13" man="1"/>
    <brk id="691" max="13" man="1"/>
    <brk id="759" max="13" man="1"/>
    <brk id="821" max="13" man="1"/>
    <brk id="884"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6" sqref="H36"/>
    </sheetView>
  </sheetViews>
  <sheetFormatPr defaultRowHeight="12.75"/>
  <sheetData/>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przedsiewziecia pozostale</vt:lpstr>
      <vt:lpstr>Arkusz1</vt:lpstr>
      <vt:lpstr>'przedsiewziecia pozostale'!Obszar_wydruku</vt:lpstr>
      <vt:lpstr>'przedsiewziecia pozostale'!Tytuły_wydruku</vt:lpstr>
    </vt:vector>
  </TitlesOfParts>
  <Company>ZOUM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dsalwa</dc:creator>
  <cp:lastModifiedBy>Ewa Wypych</cp:lastModifiedBy>
  <cp:lastPrinted>2014-03-28T10:06:02Z</cp:lastPrinted>
  <dcterms:created xsi:type="dcterms:W3CDTF">2006-07-21T07:43:40Z</dcterms:created>
  <dcterms:modified xsi:type="dcterms:W3CDTF">2014-03-28T10:06:06Z</dcterms:modified>
</cp:coreProperties>
</file>